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defaultThemeVersion="124226"/>
  <mc:AlternateContent xmlns:mc="http://schemas.openxmlformats.org/markup-compatibility/2006">
    <mc:Choice Requires="x15">
      <x15ac:absPath xmlns:x15ac="http://schemas.microsoft.com/office/spreadsheetml/2010/11/ac" url="S:\PROJECT DEVELOPMENT (Matt)\Conceptual Projects\Palm Springs\Aloe Palm Canyon (1479)\05 Funding Sources\CDLAC TCAC\Round 3\01 Preliminary Reservation\04 Attachements\E-Application\"/>
    </mc:Choice>
  </mc:AlternateContent>
  <xr:revisionPtr revIDLastSave="0" documentId="13_ncr:1_{5AB7EF98-23E1-4168-8F57-926A507D44A0}" xr6:coauthVersionLast="36" xr6:coauthVersionMax="36" xr10:uidLastSave="{00000000-0000-0000-0000-000000000000}"/>
  <bookViews>
    <workbookView xWindow="0" yWindow="0" windowWidth="14850" windowHeight="1095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99" i="4" l="1"/>
  <c r="E30" i="4"/>
  <c r="C94" i="4"/>
  <c r="G643" i="3"/>
  <c r="G642" i="3"/>
  <c r="G641" i="3"/>
  <c r="G640" i="3"/>
  <c r="AO636" i="3"/>
  <c r="E41" i="7" l="1"/>
  <c r="F5" i="8"/>
  <c r="F4" i="8"/>
  <c r="AA901" i="3"/>
  <c r="B38" i="26"/>
  <c r="B39" i="26"/>
  <c r="B41" i="26"/>
  <c r="B40" i="26"/>
  <c r="AD189" i="20"/>
  <c r="AD190" i="20"/>
  <c r="AD188" i="20"/>
  <c r="E13" i="4"/>
  <c r="E4" i="4"/>
  <c r="E84" i="4"/>
  <c r="E85" i="4"/>
  <c r="E86" i="4"/>
  <c r="E87" i="4"/>
  <c r="E88" i="4"/>
  <c r="E89" i="4"/>
  <c r="E90" i="4"/>
  <c r="E91" i="4"/>
  <c r="E92" i="4"/>
  <c r="E93" i="4"/>
  <c r="E94" i="4"/>
  <c r="E95" i="4"/>
  <c r="E83" i="4"/>
  <c r="E80" i="4"/>
  <c r="E79" i="4"/>
  <c r="E75" i="4"/>
  <c r="E69" i="4"/>
  <c r="E65" i="4"/>
  <c r="E58" i="4"/>
  <c r="E56" i="4"/>
  <c r="E46" i="4"/>
  <c r="E47" i="4"/>
  <c r="E48" i="4"/>
  <c r="E49" i="4"/>
  <c r="E50" i="4"/>
  <c r="E51" i="4"/>
  <c r="E52" i="4"/>
  <c r="E53" i="4"/>
  <c r="E45" i="4"/>
  <c r="E43" i="4"/>
  <c r="E41" i="4"/>
  <c r="E40" i="4"/>
  <c r="E35" i="4"/>
  <c r="E33" i="4"/>
  <c r="E32" i="4"/>
  <c r="E31" i="4"/>
  <c r="E29" i="4"/>
  <c r="AA918" i="3"/>
  <c r="AA919" i="3"/>
  <c r="AA920" i="3"/>
  <c r="AA917" i="3"/>
  <c r="I920" i="3"/>
  <c r="I919" i="3"/>
  <c r="AA902" i="3"/>
  <c r="Z568" i="3" l="1"/>
  <c r="Z567" i="3"/>
  <c r="Z566" i="3"/>
  <c r="Z565" i="3"/>
  <c r="H316" i="3"/>
  <c r="H315" i="3"/>
  <c r="H314" i="3"/>
  <c r="H313" i="3"/>
  <c r="H312" i="3"/>
  <c r="H311" i="3"/>
  <c r="H310" i="3"/>
  <c r="H292" i="3"/>
  <c r="H291" i="3"/>
  <c r="P290" i="3"/>
  <c r="H290" i="3"/>
  <c r="Y277" i="3"/>
  <c r="T277" i="3"/>
  <c r="L277" i="3"/>
  <c r="L276" i="3"/>
  <c r="H289" i="3" s="1"/>
  <c r="AB275" i="3"/>
  <c r="AC244" i="3"/>
  <c r="W244" i="3"/>
  <c r="V275" i="3" s="1"/>
  <c r="AA248" i="3"/>
  <c r="L273" i="3" s="1"/>
  <c r="H286" i="3" s="1"/>
  <c r="M247" i="3"/>
  <c r="L278" i="3" s="1"/>
  <c r="Z246" i="3"/>
  <c r="U246" i="3"/>
  <c r="M246" i="3"/>
  <c r="M245" i="3"/>
  <c r="M244" i="3"/>
  <c r="L275" i="3" s="1"/>
  <c r="M243" i="3"/>
  <c r="L274" i="3" s="1"/>
  <c r="H287" i="3" s="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c r="AH25" i="26" a="1"/>
  <c r="AH25" i="26" s="1"/>
  <c r="P24" i="26" a="1"/>
  <c r="P24" i="26" s="1"/>
  <c r="P25" i="26" a="1"/>
  <c r="P25" i="26" s="1"/>
  <c r="AH23" i="26" a="1"/>
  <c r="AH23" i="26"/>
  <c r="V20" i="26" a="1"/>
  <c r="V20" i="26" s="1"/>
  <c r="AB19" i="26" a="1"/>
  <c r="AB19" i="26" s="1"/>
  <c r="P23" i="26" a="1"/>
  <c r="P23" i="26" s="1"/>
  <c r="AN21" i="26" a="1"/>
  <c r="AN21" i="26"/>
  <c r="AN22" i="26" a="1"/>
  <c r="AN22" i="26" s="1"/>
  <c r="AH22" i="26" a="1"/>
  <c r="AH22" i="26" s="1"/>
  <c r="AN20" i="26" a="1"/>
  <c r="AN20" i="26" s="1"/>
  <c r="P22" i="26" a="1"/>
  <c r="P22" i="26"/>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5" i="26"/>
  <c r="J20" i="26"/>
  <c r="J27"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A40" i="7"/>
  <c r="E33" i="7"/>
  <c r="E32" i="7"/>
  <c r="E31" i="7"/>
  <c r="E30" i="7"/>
  <c r="E29" i="7"/>
  <c r="E28" i="7"/>
  <c r="I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DX601" i="3" s="1"/>
  <c r="BN602" i="3"/>
  <c r="DX602" i="3" s="1"/>
  <c r="BN603" i="3"/>
  <c r="BN604" i="3"/>
  <c r="BN605" i="3"/>
  <c r="BN606" i="3"/>
  <c r="DX606" i="3" s="1"/>
  <c r="BN607" i="3"/>
  <c r="DX607" i="3" s="1"/>
  <c r="BN608" i="3"/>
  <c r="BN609" i="3"/>
  <c r="DX609" i="3" s="1"/>
  <c r="BN610" i="3"/>
  <c r="DX610" i="3" s="1"/>
  <c r="BN611" i="3"/>
  <c r="BN612" i="3"/>
  <c r="BN613" i="3"/>
  <c r="BN614" i="3"/>
  <c r="DX614" i="3" s="1"/>
  <c r="BN615" i="3"/>
  <c r="DX615" i="3" s="1"/>
  <c r="BN616" i="3"/>
  <c r="BN617" i="3"/>
  <c r="BN618" i="3"/>
  <c r="DX618" i="3" s="1"/>
  <c r="BN619" i="3"/>
  <c r="BN620" i="3"/>
  <c r="BN626" i="3"/>
  <c r="BN627" i="3"/>
  <c r="BN628" i="3"/>
  <c r="BN629" i="3"/>
  <c r="BN634" i="3"/>
  <c r="BN635" i="3"/>
  <c r="CS635" i="3" s="1"/>
  <c r="BN636" i="3"/>
  <c r="CS636" i="3" s="1"/>
  <c r="BN637" i="3"/>
  <c r="BN638" i="3"/>
  <c r="BN639" i="3"/>
  <c r="CS639" i="3" s="1"/>
  <c r="BN640" i="3"/>
  <c r="CS640" i="3" s="1"/>
  <c r="BN641" i="3"/>
  <c r="BN642" i="3"/>
  <c r="CS642" i="3" s="1"/>
  <c r="BN643" i="3"/>
  <c r="CS643" i="3" s="1"/>
  <c r="BS596" i="3"/>
  <c r="BS597" i="3"/>
  <c r="BS598" i="3"/>
  <c r="BS599" i="3"/>
  <c r="EC599" i="3" s="1"/>
  <c r="BS600" i="3"/>
  <c r="EC600" i="3" s="1"/>
  <c r="BS601" i="3"/>
  <c r="BS602" i="3"/>
  <c r="BS603" i="3"/>
  <c r="EC603" i="3" s="1"/>
  <c r="BS604" i="3"/>
  <c r="BS605" i="3"/>
  <c r="BS606" i="3"/>
  <c r="EC606" i="3" s="1"/>
  <c r="BS607" i="3"/>
  <c r="EC607" i="3" s="1"/>
  <c r="BS608" i="3"/>
  <c r="EC608" i="3" s="1"/>
  <c r="BS609" i="3"/>
  <c r="BS610" i="3"/>
  <c r="EC610" i="3" s="1"/>
  <c r="BS611" i="3"/>
  <c r="EC611" i="3" s="1"/>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CX636" i="3" s="1"/>
  <c r="BS637" i="3"/>
  <c r="CX637" i="3" s="1"/>
  <c r="BS638" i="3"/>
  <c r="BS639" i="3"/>
  <c r="CX639" i="3" s="1"/>
  <c r="BS640" i="3"/>
  <c r="CX640" i="3" s="1"/>
  <c r="BS641" i="3"/>
  <c r="CX641" i="3" s="1"/>
  <c r="BS642" i="3"/>
  <c r="CX642" i="3" s="1"/>
  <c r="BS643" i="3"/>
  <c r="CX643" i="3" s="1"/>
  <c r="BX596" i="3"/>
  <c r="BX597" i="3"/>
  <c r="BX598" i="3"/>
  <c r="BX599" i="3"/>
  <c r="BX600" i="3"/>
  <c r="EH600" i="3" s="1"/>
  <c r="BX601" i="3"/>
  <c r="EH601" i="3" s="1"/>
  <c r="BX602" i="3"/>
  <c r="BX603" i="3"/>
  <c r="BX604" i="3"/>
  <c r="EH604" i="3" s="1"/>
  <c r="BX605" i="3"/>
  <c r="BX606" i="3"/>
  <c r="BX607" i="3"/>
  <c r="BX608" i="3"/>
  <c r="BX609" i="3"/>
  <c r="EH609" i="3" s="1"/>
  <c r="BX610" i="3"/>
  <c r="EH610" i="3" s="1"/>
  <c r="BX611" i="3"/>
  <c r="EH611" i="3" s="1"/>
  <c r="BX612" i="3"/>
  <c r="EH612" i="3" s="1"/>
  <c r="BX613" i="3"/>
  <c r="BX614" i="3"/>
  <c r="BX615" i="3"/>
  <c r="EH615" i="3" s="1"/>
  <c r="BX616" i="3"/>
  <c r="EH616" i="3" s="1"/>
  <c r="BX617" i="3"/>
  <c r="BX618" i="3"/>
  <c r="EH618" i="3" s="1"/>
  <c r="BX619" i="3"/>
  <c r="EH619" i="3" s="1"/>
  <c r="BX620" i="3"/>
  <c r="EH620" i="3" s="1"/>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EM598" i="3" s="1"/>
  <c r="CC599" i="3"/>
  <c r="CC600" i="3"/>
  <c r="CC601" i="3"/>
  <c r="EM601" i="3" s="1"/>
  <c r="CC602" i="3"/>
  <c r="EM602" i="3" s="1"/>
  <c r="CC603" i="3"/>
  <c r="CC604" i="3"/>
  <c r="EM604" i="3" s="1"/>
  <c r="CC605" i="3"/>
  <c r="CC606" i="3"/>
  <c r="EM606" i="3" s="1"/>
  <c r="CC607" i="3"/>
  <c r="CC608" i="3"/>
  <c r="CC609" i="3"/>
  <c r="EM609" i="3" s="1"/>
  <c r="CC610" i="3"/>
  <c r="EM610" i="3" s="1"/>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DH637" i="3" s="1"/>
  <c r="CC638" i="3"/>
  <c r="DH638" i="3" s="1"/>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EW600" i="3" s="1"/>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EW615" i="3" s="1"/>
  <c r="CM616" i="3"/>
  <c r="EW616" i="3" s="1"/>
  <c r="CM617" i="3"/>
  <c r="CM618" i="3"/>
  <c r="EW618" i="3" s="1"/>
  <c r="CM619" i="3"/>
  <c r="EW619" i="3" s="1"/>
  <c r="CM620" i="3"/>
  <c r="EW620" i="3" s="1"/>
  <c r="CH596" i="3"/>
  <c r="ER596" i="3" s="1"/>
  <c r="CH597" i="3"/>
  <c r="ER597" i="3" s="1"/>
  <c r="CH598" i="3"/>
  <c r="ER598" i="3" s="1"/>
  <c r="CH599" i="3"/>
  <c r="ER599" i="3" s="1"/>
  <c r="CH600" i="3"/>
  <c r="CH601" i="3"/>
  <c r="ER601" i="3" s="1"/>
  <c r="CH602" i="3"/>
  <c r="CH603" i="3"/>
  <c r="ER603" i="3" s="1"/>
  <c r="CH604" i="3"/>
  <c r="ER604" i="3" s="1"/>
  <c r="CH605" i="3"/>
  <c r="CH606" i="3"/>
  <c r="ER606" i="3" s="1"/>
  <c r="CH607" i="3"/>
  <c r="ER607" i="3" s="1"/>
  <c r="CH608" i="3"/>
  <c r="CH609" i="3"/>
  <c r="CH610" i="3"/>
  <c r="CH611" i="3"/>
  <c r="ER611" i="3" s="1"/>
  <c r="CH612" i="3"/>
  <c r="CH613" i="3"/>
  <c r="CH614" i="3"/>
  <c r="ER614" i="3" s="1"/>
  <c r="CH615" i="3"/>
  <c r="ER615" i="3" s="1"/>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16" i="20"/>
  <c r="AO15" i="20"/>
  <c r="AO14" i="20"/>
  <c r="AO13" i="20"/>
  <c r="G113" i="21"/>
  <c r="G110" i="21"/>
  <c r="E112" i="21" s="1"/>
  <c r="I9" i="21"/>
  <c r="S26" i="4"/>
  <c r="C26" i="4"/>
  <c r="B26" i="13" s="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B4" i="8"/>
  <c r="G4" i="8" s="1"/>
  <c r="B5" i="8"/>
  <c r="G5" i="8" s="1"/>
  <c r="B6" i="8"/>
  <c r="G6" i="8" s="1"/>
  <c r="G102" i="21"/>
  <c r="G88" i="21"/>
  <c r="G92" i="21" s="1"/>
  <c r="B10" i="8"/>
  <c r="G10" i="8" s="1"/>
  <c r="CS634" i="3"/>
  <c r="CS638" i="3"/>
  <c r="CS641" i="3"/>
  <c r="CX638" i="3"/>
  <c r="DC634" i="3"/>
  <c r="DC635" i="3"/>
  <c r="DC639" i="3"/>
  <c r="DC643" i="3"/>
  <c r="DH636"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5" i="11" s="1"/>
  <c r="C104" i="11"/>
  <c r="B101" i="11"/>
  <c r="D101" i="11" s="1"/>
  <c r="B102" i="11"/>
  <c r="D102" i="11" s="1"/>
  <c r="B103" i="11"/>
  <c r="B104" i="11"/>
  <c r="C85" i="11"/>
  <c r="C86" i="11"/>
  <c r="C87" i="11"/>
  <c r="C88" i="11"/>
  <c r="C89" i="11"/>
  <c r="C90" i="11"/>
  <c r="D90" i="11" s="1"/>
  <c r="C91" i="11"/>
  <c r="C92" i="11"/>
  <c r="C93" i="11"/>
  <c r="C94" i="11"/>
  <c r="C95" i="11"/>
  <c r="D95" i="11" s="1"/>
  <c r="C96" i="11"/>
  <c r="B85" i="11"/>
  <c r="B86" i="11"/>
  <c r="D86" i="11" s="1"/>
  <c r="B87" i="11"/>
  <c r="B88" i="11"/>
  <c r="B89" i="11"/>
  <c r="B90" i="11"/>
  <c r="B91" i="11"/>
  <c r="B92" i="11"/>
  <c r="B93" i="11"/>
  <c r="B94" i="11"/>
  <c r="D94" i="11" s="1"/>
  <c r="B95" i="11"/>
  <c r="B96" i="11"/>
  <c r="A70" i="11"/>
  <c r="C67" i="11"/>
  <c r="C68" i="11"/>
  <c r="C69" i="11"/>
  <c r="C70" i="11"/>
  <c r="B67" i="11"/>
  <c r="B71" i="11" s="1"/>
  <c r="B68" i="11"/>
  <c r="B69" i="11"/>
  <c r="B70" i="11"/>
  <c r="A62" i="11"/>
  <c r="A54" i="11"/>
  <c r="A38" i="11"/>
  <c r="A26" i="11"/>
  <c r="C31" i="11"/>
  <c r="D31" i="11" s="1"/>
  <c r="C32" i="11"/>
  <c r="C33" i="11"/>
  <c r="C34" i="11"/>
  <c r="C35" i="11"/>
  <c r="C36" i="11"/>
  <c r="D36" i="11" s="1"/>
  <c r="C37" i="11"/>
  <c r="C38" i="11"/>
  <c r="D38" i="11" s="1"/>
  <c r="B31" i="11"/>
  <c r="B39" i="11" s="1"/>
  <c r="B32" i="11"/>
  <c r="B33" i="11"/>
  <c r="B34" i="11"/>
  <c r="B35" i="11"/>
  <c r="B36" i="11"/>
  <c r="B37" i="11"/>
  <c r="B38" i="11"/>
  <c r="C24" i="11"/>
  <c r="C25" i="11"/>
  <c r="C26" i="11"/>
  <c r="B25" i="11"/>
  <c r="B26" i="11"/>
  <c r="D70" i="4"/>
  <c r="B70" i="4" s="1"/>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s="1"/>
  <c r="K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B223" i="20" s="1"/>
  <c r="AB239" i="20" s="1"/>
  <c r="AB241" i="20" s="1"/>
  <c r="AB243" i="20" s="1"/>
  <c r="AB249" i="20" s="1"/>
  <c r="AD198" i="20" s="1"/>
  <c r="AD200" i="20" s="1"/>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S84" i="4" s="1"/>
  <c r="S96" i="4" s="1"/>
  <c r="E96" i="13" s="1"/>
  <c r="AI7" i="15"/>
  <c r="B59" i="4"/>
  <c r="C80" i="11"/>
  <c r="C81" i="11"/>
  <c r="B80" i="11"/>
  <c r="B81" i="11"/>
  <c r="D81" i="11" s="1"/>
  <c r="I96" i="13"/>
  <c r="J96" i="13"/>
  <c r="J81" i="13"/>
  <c r="I81" i="13"/>
  <c r="G81" i="13"/>
  <c r="F81" i="13"/>
  <c r="D81" i="13"/>
  <c r="C81" i="13"/>
  <c r="H80" i="13"/>
  <c r="E80" i="13"/>
  <c r="B80" i="13"/>
  <c r="R80" i="4"/>
  <c r="S80" i="4" s="1"/>
  <c r="R79" i="4"/>
  <c r="S79" i="4" s="1"/>
  <c r="S81" i="4" s="1"/>
  <c r="E81" i="13" s="1"/>
  <c r="D81" i="4"/>
  <c r="E81" i="4"/>
  <c r="F81" i="4"/>
  <c r="G81" i="4"/>
  <c r="H81" i="4"/>
  <c r="I81" i="4"/>
  <c r="J81" i="4"/>
  <c r="K81" i="4"/>
  <c r="L81" i="4"/>
  <c r="M81" i="4"/>
  <c r="N81" i="4"/>
  <c r="O81" i="4"/>
  <c r="P81" i="4"/>
  <c r="Q81" i="4"/>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7" i="13"/>
  <c r="E85" i="13"/>
  <c r="E84" i="13"/>
  <c r="E53" i="13"/>
  <c r="E49" i="13"/>
  <c r="E48" i="13"/>
  <c r="E47" i="13"/>
  <c r="E45" i="13"/>
  <c r="E37" i="13"/>
  <c r="E34" i="13"/>
  <c r="E33" i="13"/>
  <c r="E32"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C12" i="4" s="1"/>
  <c r="B12"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J63" i="13" s="1"/>
  <c r="J97" i="13" s="1"/>
  <c r="J105" i="13" s="1"/>
  <c r="J107" i="13" s="1"/>
  <c r="I54" i="13"/>
  <c r="G54" i="13"/>
  <c r="F54" i="13"/>
  <c r="D54" i="13"/>
  <c r="C54" i="13"/>
  <c r="J42" i="13"/>
  <c r="I42" i="13"/>
  <c r="G42" i="13"/>
  <c r="F42" i="13"/>
  <c r="F26" i="13"/>
  <c r="F38" i="13"/>
  <c r="D42" i="13"/>
  <c r="C42" i="13"/>
  <c r="J38" i="13"/>
  <c r="I38" i="13"/>
  <c r="G38" i="13"/>
  <c r="G63" i="13" s="1"/>
  <c r="G97" i="13" s="1"/>
  <c r="G105" i="13" s="1"/>
  <c r="G107" i="13" s="1"/>
  <c r="D38" i="13"/>
  <c r="C38" i="13"/>
  <c r="J26" i="13"/>
  <c r="I26" i="13"/>
  <c r="I11" i="13"/>
  <c r="I63" i="13" s="1"/>
  <c r="I97" i="13" s="1"/>
  <c r="I105" i="13" s="1"/>
  <c r="I107" i="13" s="1"/>
  <c r="G26" i="13"/>
  <c r="D26" i="13"/>
  <c r="C26" i="13"/>
  <c r="C63" i="13" s="1"/>
  <c r="C97" i="13" s="1"/>
  <c r="C105" i="13" s="1"/>
  <c r="J11" i="13"/>
  <c r="D11" i="13"/>
  <c r="C11" i="13"/>
  <c r="C8" i="13"/>
  <c r="D8" i="13"/>
  <c r="T104" i="4"/>
  <c r="H104" i="13"/>
  <c r="R103" i="4"/>
  <c r="R104" i="4" s="1"/>
  <c r="R102" i="4"/>
  <c r="R101" i="4"/>
  <c r="R99" i="4"/>
  <c r="S99" i="4" s="1"/>
  <c r="E99" i="13" s="1"/>
  <c r="R95" i="4"/>
  <c r="R94" i="4"/>
  <c r="S94" i="4" s="1"/>
  <c r="E94" i="13" s="1"/>
  <c r="R93" i="4"/>
  <c r="S93" i="4" s="1"/>
  <c r="E93" i="13" s="1"/>
  <c r="R92" i="4"/>
  <c r="S92" i="4" s="1"/>
  <c r="E92" i="13" s="1"/>
  <c r="R90" i="4"/>
  <c r="R89" i="4"/>
  <c r="S89" i="4" s="1"/>
  <c r="E89" i="13" s="1"/>
  <c r="R88" i="4"/>
  <c r="R87" i="4"/>
  <c r="S87" i="4" s="1"/>
  <c r="R86" i="4"/>
  <c r="S86" i="4" s="1"/>
  <c r="E86" i="13" s="1"/>
  <c r="R85" i="4"/>
  <c r="S85" i="4" s="1"/>
  <c r="R83" i="4"/>
  <c r="R76" i="4"/>
  <c r="R75" i="4"/>
  <c r="R77" i="4" s="1"/>
  <c r="R72" i="4"/>
  <c r="R73" i="4"/>
  <c r="R74" i="4"/>
  <c r="R69" i="4"/>
  <c r="R65" i="4"/>
  <c r="S65" i="4" s="1"/>
  <c r="E65" i="13" s="1"/>
  <c r="R61" i="4"/>
  <c r="R60" i="4"/>
  <c r="R59" i="4"/>
  <c r="R58" i="4"/>
  <c r="R57" i="4"/>
  <c r="R56" i="4"/>
  <c r="R53" i="4"/>
  <c r="S53" i="4" s="1"/>
  <c r="R52" i="4"/>
  <c r="S52" i="4" s="1"/>
  <c r="E52" i="13" s="1"/>
  <c r="R51" i="4"/>
  <c r="S51" i="4" s="1"/>
  <c r="E51" i="13" s="1"/>
  <c r="R50" i="4"/>
  <c r="S50" i="4" s="1"/>
  <c r="E50" i="13" s="1"/>
  <c r="R49" i="4"/>
  <c r="R48" i="4"/>
  <c r="S48" i="4" s="1"/>
  <c r="R47" i="4"/>
  <c r="S47" i="4" s="1"/>
  <c r="S54" i="4" s="1"/>
  <c r="E54" i="13" s="1"/>
  <c r="R46" i="4"/>
  <c r="S46" i="4" s="1"/>
  <c r="E46" i="13" s="1"/>
  <c r="R45" i="4"/>
  <c r="R43" i="4"/>
  <c r="S43" i="4" s="1"/>
  <c r="E43" i="13" s="1"/>
  <c r="R41" i="4"/>
  <c r="R40" i="4"/>
  <c r="S40" i="4" s="1"/>
  <c r="R37" i="4"/>
  <c r="R35" i="4"/>
  <c r="S35" i="4" s="1"/>
  <c r="E35" i="13" s="1"/>
  <c r="R34" i="4"/>
  <c r="S34" i="4" s="1"/>
  <c r="R33" i="4"/>
  <c r="S33" i="4" s="1"/>
  <c r="R32" i="4"/>
  <c r="S32" i="4" s="1"/>
  <c r="R31" i="4"/>
  <c r="S31" i="4" s="1"/>
  <c r="E31" i="13" s="1"/>
  <c r="R30" i="4"/>
  <c r="S30" i="4" s="1"/>
  <c r="E30" i="13" s="1"/>
  <c r="R29" i="4"/>
  <c r="S29" i="4" s="1"/>
  <c r="S38" i="4" s="1"/>
  <c r="E38" i="13" s="1"/>
  <c r="R27" i="4"/>
  <c r="R25" i="4"/>
  <c r="R23" i="4"/>
  <c r="R22" i="4"/>
  <c r="R21" i="4"/>
  <c r="R20" i="4"/>
  <c r="R19" i="4"/>
  <c r="R18" i="4"/>
  <c r="R17" i="4"/>
  <c r="R26" i="4" s="1"/>
  <c r="R15" i="4"/>
  <c r="R14" i="4"/>
  <c r="R13" i="4"/>
  <c r="R9" i="4"/>
  <c r="R11" i="4"/>
  <c r="R7" i="4"/>
  <c r="R6" i="4"/>
  <c r="R5" i="4"/>
  <c r="R4" i="4"/>
  <c r="B5" i="11"/>
  <c r="C5" i="11"/>
  <c r="B6" i="11"/>
  <c r="C6" i="11"/>
  <c r="D6" i="11" s="1"/>
  <c r="B7" i="11"/>
  <c r="C7" i="11"/>
  <c r="D7" i="11" s="1"/>
  <c r="C8" i="11"/>
  <c r="D8" i="11" s="1"/>
  <c r="B8" i="11"/>
  <c r="B10" i="11"/>
  <c r="B11" i="11"/>
  <c r="C10" i="11"/>
  <c r="C11" i="11"/>
  <c r="D11" i="11" s="1"/>
  <c r="B14" i="11"/>
  <c r="C14" i="11"/>
  <c r="D14" i="11" s="1"/>
  <c r="B15" i="11"/>
  <c r="D15" i="11" s="1"/>
  <c r="C15" i="11"/>
  <c r="B16" i="11"/>
  <c r="C16" i="11"/>
  <c r="B18" i="11"/>
  <c r="C18" i="11"/>
  <c r="B19" i="11"/>
  <c r="C19" i="11"/>
  <c r="D19" i="11" s="1"/>
  <c r="B20" i="11"/>
  <c r="C20" i="11"/>
  <c r="B21" i="11"/>
  <c r="C21" i="11"/>
  <c r="B22" i="11"/>
  <c r="C22" i="11"/>
  <c r="D22" i="11" s="1"/>
  <c r="B23" i="11"/>
  <c r="C23" i="11"/>
  <c r="B24" i="11"/>
  <c r="B28" i="11"/>
  <c r="C28" i="11"/>
  <c r="B30" i="11"/>
  <c r="C30" i="11"/>
  <c r="D30" i="11"/>
  <c r="D33" i="11"/>
  <c r="D34" i="11"/>
  <c r="B41" i="11"/>
  <c r="B43" i="11" s="1"/>
  <c r="C41" i="11"/>
  <c r="C42" i="11"/>
  <c r="B42" i="11"/>
  <c r="B44" i="11"/>
  <c r="C44" i="11"/>
  <c r="D44" i="11" s="1"/>
  <c r="B46" i="11"/>
  <c r="C46" i="11"/>
  <c r="B47" i="11"/>
  <c r="C47" i="11"/>
  <c r="B48" i="11"/>
  <c r="B49" i="11"/>
  <c r="B50" i="11"/>
  <c r="B51" i="11"/>
  <c r="D51" i="11" s="1"/>
  <c r="B52" i="11"/>
  <c r="B53" i="11"/>
  <c r="D53" i="11" s="1"/>
  <c r="C48" i="11"/>
  <c r="D48" i="11" s="1"/>
  <c r="C49" i="11"/>
  <c r="C50" i="11"/>
  <c r="C51" i="11"/>
  <c r="C52" i="11"/>
  <c r="C53" i="11"/>
  <c r="B57" i="11"/>
  <c r="C57" i="11"/>
  <c r="D57" i="11" s="1"/>
  <c r="B58" i="11"/>
  <c r="D58" i="11" s="1"/>
  <c r="C58" i="11"/>
  <c r="B59" i="11"/>
  <c r="C59" i="11"/>
  <c r="B60" i="11"/>
  <c r="C60" i="11"/>
  <c r="B61" i="11"/>
  <c r="C61" i="11"/>
  <c r="D61" i="11" s="1"/>
  <c r="B62" i="11"/>
  <c r="D62" i="11" s="1"/>
  <c r="C62" i="11"/>
  <c r="B66" i="11"/>
  <c r="C66" i="11"/>
  <c r="B73" i="11"/>
  <c r="C73" i="11"/>
  <c r="B74" i="11"/>
  <c r="C74" i="11"/>
  <c r="D74" i="11" s="1"/>
  <c r="B75" i="11"/>
  <c r="D75" i="11" s="1"/>
  <c r="C75" i="11"/>
  <c r="B76" i="11"/>
  <c r="C76" i="11"/>
  <c r="B77" i="11"/>
  <c r="C77" i="11"/>
  <c r="B84" i="11"/>
  <c r="C84" i="11"/>
  <c r="B100" i="11"/>
  <c r="D100" i="11" s="1"/>
  <c r="C100" i="11"/>
  <c r="A4" i="8"/>
  <c r="D4" i="8"/>
  <c r="I4" i="8" s="1"/>
  <c r="J4" i="8" s="1"/>
  <c r="A5" i="8"/>
  <c r="D5" i="8"/>
  <c r="I5" i="8"/>
  <c r="J5" i="8" s="1"/>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s="1"/>
  <c r="T54" i="4"/>
  <c r="H54" i="13" s="1"/>
  <c r="T70" i="4"/>
  <c r="H70" i="13"/>
  <c r="T96" i="4"/>
  <c r="H96" i="13"/>
  <c r="DX596" i="3"/>
  <c r="DX603" i="3"/>
  <c r="DX604" i="3"/>
  <c r="DX605" i="3"/>
  <c r="DX608" i="3"/>
  <c r="DX611" i="3"/>
  <c r="DX612" i="3"/>
  <c r="DX613" i="3"/>
  <c r="DX616" i="3"/>
  <c r="DX617" i="3"/>
  <c r="DX619" i="3"/>
  <c r="DX620" i="3"/>
  <c r="EC596" i="3"/>
  <c r="EC597" i="3"/>
  <c r="EC598" i="3"/>
  <c r="EC601" i="3"/>
  <c r="EC602" i="3"/>
  <c r="EC604" i="3"/>
  <c r="EC605" i="3"/>
  <c r="EC609" i="3"/>
  <c r="EC613" i="3"/>
  <c r="EC614" i="3"/>
  <c r="EC615" i="3"/>
  <c r="EC617" i="3"/>
  <c r="EC620" i="3"/>
  <c r="EH596" i="3"/>
  <c r="EH597" i="3"/>
  <c r="EH598" i="3"/>
  <c r="EH599" i="3"/>
  <c r="EH603" i="3"/>
  <c r="EH605" i="3"/>
  <c r="EH606" i="3"/>
  <c r="EH607" i="3"/>
  <c r="EH608" i="3"/>
  <c r="EH613" i="3"/>
  <c r="EH614" i="3"/>
  <c r="EH617" i="3"/>
  <c r="EM599" i="3"/>
  <c r="EM600" i="3"/>
  <c r="EM603" i="3"/>
  <c r="EM605" i="3"/>
  <c r="EM607" i="3"/>
  <c r="EM608" i="3"/>
  <c r="EM611" i="3"/>
  <c r="EM614" i="3"/>
  <c r="EM615" i="3"/>
  <c r="EM616" i="3"/>
  <c r="EM618" i="3"/>
  <c r="EM619" i="3"/>
  <c r="EW602" i="3"/>
  <c r="EW603" i="3"/>
  <c r="EW605" i="3"/>
  <c r="EW609" i="3"/>
  <c r="EW610" i="3"/>
  <c r="EW611" i="3"/>
  <c r="EW617" i="3"/>
  <c r="ER600" i="3"/>
  <c r="ER602" i="3"/>
  <c r="ER605" i="3"/>
  <c r="ER608" i="3"/>
  <c r="ER609" i="3"/>
  <c r="ER610" i="3"/>
  <c r="ER612" i="3"/>
  <c r="ER613" i="3"/>
  <c r="ER616" i="3"/>
  <c r="ER617" i="3"/>
  <c r="ER620" i="3"/>
  <c r="C11" i="4"/>
  <c r="C38" i="4"/>
  <c r="B38" i="13" s="1"/>
  <c r="C54" i="4"/>
  <c r="B54" i="4" s="1"/>
  <c r="C62" i="4"/>
  <c r="B62" i="13" s="1"/>
  <c r="C77" i="4"/>
  <c r="B77" i="13" s="1"/>
  <c r="C96" i="4"/>
  <c r="B96" i="13" s="1"/>
  <c r="D8" i="4"/>
  <c r="D12" i="4" s="1"/>
  <c r="D11" i="4"/>
  <c r="D26" i="4"/>
  <c r="D38" i="4"/>
  <c r="D63" i="4" s="1"/>
  <c r="D97" i="4" s="1"/>
  <c r="D105" i="4" s="1"/>
  <c r="D42" i="4"/>
  <c r="D54" i="4"/>
  <c r="D62" i="4"/>
  <c r="D77" i="4"/>
  <c r="D96" i="4"/>
  <c r="D104" i="4"/>
  <c r="B104" i="4"/>
  <c r="E26" i="13"/>
  <c r="F2" i="4"/>
  <c r="G2" i="4"/>
  <c r="H2" i="4"/>
  <c r="I2" i="4"/>
  <c r="J2" i="4"/>
  <c r="K2" i="4"/>
  <c r="L2" i="4"/>
  <c r="M2" i="4"/>
  <c r="N2" i="4"/>
  <c r="O2" i="4"/>
  <c r="P2" i="4"/>
  <c r="Q2" i="4"/>
  <c r="B4" i="4"/>
  <c r="B5" i="4"/>
  <c r="B6" i="4"/>
  <c r="B7" i="4"/>
  <c r="E8" i="4"/>
  <c r="F8" i="4"/>
  <c r="F12" i="4" s="1"/>
  <c r="G8" i="4"/>
  <c r="G12" i="4" s="1"/>
  <c r="G11" i="4"/>
  <c r="H8" i="4"/>
  <c r="H12" i="4" s="1"/>
  <c r="H11" i="4"/>
  <c r="I8" i="4"/>
  <c r="I11" i="4"/>
  <c r="I12" i="4" s="1"/>
  <c r="J8" i="4"/>
  <c r="J11" i="4"/>
  <c r="J12" i="4" s="1"/>
  <c r="J26" i="4"/>
  <c r="J38" i="4"/>
  <c r="J42" i="4"/>
  <c r="J54" i="4"/>
  <c r="J62" i="4"/>
  <c r="J70" i="4"/>
  <c r="J77" i="4"/>
  <c r="J96" i="4"/>
  <c r="J104" i="4"/>
  <c r="K8" i="4"/>
  <c r="K11" i="4"/>
  <c r="L8" i="4"/>
  <c r="L11" i="4"/>
  <c r="M8" i="4"/>
  <c r="M63" i="4" s="1"/>
  <c r="M97" i="4" s="1"/>
  <c r="M105" i="4" s="1"/>
  <c r="M11" i="4"/>
  <c r="N8" i="4"/>
  <c r="N12" i="4" s="1"/>
  <c r="O8" i="4"/>
  <c r="O63" i="4" s="1"/>
  <c r="O97" i="4" s="1"/>
  <c r="O105" i="4" s="1"/>
  <c r="Q8" i="4"/>
  <c r="Q11" i="4"/>
  <c r="B9" i="4"/>
  <c r="B10" i="4"/>
  <c r="E11" i="4"/>
  <c r="E12" i="4" s="1"/>
  <c r="F11" i="4"/>
  <c r="F26" i="4"/>
  <c r="F38" i="4"/>
  <c r="F63" i="4" s="1"/>
  <c r="F97" i="4" s="1"/>
  <c r="F105" i="4" s="1"/>
  <c r="F42" i="4"/>
  <c r="F54" i="4"/>
  <c r="F62" i="4"/>
  <c r="N11" i="4"/>
  <c r="O11" i="4"/>
  <c r="B13" i="4"/>
  <c r="B14" i="4"/>
  <c r="B15" i="4"/>
  <c r="AD199" i="20" s="1"/>
  <c r="B17" i="4"/>
  <c r="B18" i="4"/>
  <c r="B19" i="4"/>
  <c r="B20" i="4"/>
  <c r="B21" i="4"/>
  <c r="B22" i="4"/>
  <c r="B23" i="4"/>
  <c r="B25" i="4"/>
  <c r="E26" i="4"/>
  <c r="G26" i="4"/>
  <c r="H26" i="4"/>
  <c r="I26" i="4"/>
  <c r="I38" i="4"/>
  <c r="I42" i="4"/>
  <c r="I54" i="4"/>
  <c r="I63" i="4" s="1"/>
  <c r="I97" i="4" s="1"/>
  <c r="I105" i="4" s="1"/>
  <c r="I62" i="4"/>
  <c r="K26" i="4"/>
  <c r="L26" i="4"/>
  <c r="M26" i="4"/>
  <c r="M38" i="4"/>
  <c r="M42" i="4"/>
  <c r="M54" i="4"/>
  <c r="M62" i="4"/>
  <c r="M70" i="4"/>
  <c r="M77" i="4"/>
  <c r="M96" i="4"/>
  <c r="M104" i="4"/>
  <c r="N26" i="4"/>
  <c r="N38" i="4"/>
  <c r="N42" i="4"/>
  <c r="N54" i="4"/>
  <c r="N62" i="4"/>
  <c r="N70" i="4"/>
  <c r="N77" i="4"/>
  <c r="N96" i="4"/>
  <c r="N104" i="4"/>
  <c r="O26" i="4"/>
  <c r="P26" i="4"/>
  <c r="Q26" i="4"/>
  <c r="Q63" i="4" s="1"/>
  <c r="Q97" i="4" s="1"/>
  <c r="Q105" i="4" s="1"/>
  <c r="B27" i="4"/>
  <c r="B29" i="4"/>
  <c r="B30" i="4"/>
  <c r="B31" i="4"/>
  <c r="B32" i="4"/>
  <c r="B33" i="4"/>
  <c r="B34" i="4"/>
  <c r="B35" i="4"/>
  <c r="B37" i="4"/>
  <c r="E38" i="4"/>
  <c r="G38" i="4"/>
  <c r="H38" i="4"/>
  <c r="K38" i="4"/>
  <c r="L38" i="4"/>
  <c r="O38" i="4"/>
  <c r="P38" i="4"/>
  <c r="P63" i="4" s="1"/>
  <c r="P97" i="4" s="1"/>
  <c r="P105" i="4" s="1"/>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H63" i="4" s="1"/>
  <c r="H97" i="4" s="1"/>
  <c r="H105" i="4" s="1"/>
  <c r="K54" i="4"/>
  <c r="L54" i="4"/>
  <c r="L63" i="4" s="1"/>
  <c r="L97" i="4" s="1"/>
  <c r="L105" i="4" s="1"/>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AH717" i="3" s="1"/>
  <c r="X718" i="3"/>
  <c r="AH718" i="3" s="1"/>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7" i="4"/>
  <c r="D49" i="11"/>
  <c r="D50" i="11"/>
  <c r="AH720" i="3"/>
  <c r="B81" i="13"/>
  <c r="L12" i="4"/>
  <c r="AH715" i="3"/>
  <c r="D93" i="11"/>
  <c r="D70" i="11"/>
  <c r="D80" i="11"/>
  <c r="Q12" i="4"/>
  <c r="B11" i="4"/>
  <c r="D18" i="11"/>
  <c r="B8" i="4"/>
  <c r="N158" i="26" s="1"/>
  <c r="D10" i="11"/>
  <c r="D85" i="11"/>
  <c r="K12" i="4"/>
  <c r="C43" i="11"/>
  <c r="C12" i="13"/>
  <c r="D25" i="11"/>
  <c r="B82" i="11"/>
  <c r="B11" i="13"/>
  <c r="C82" i="11"/>
  <c r="D82" i="11" s="1"/>
  <c r="B9" i="11"/>
  <c r="B13" i="11" s="1"/>
  <c r="D89" i="11"/>
  <c r="D73" i="11"/>
  <c r="D35" i="11"/>
  <c r="D76" i="11"/>
  <c r="D32" i="11"/>
  <c r="D63" i="13"/>
  <c r="D97" i="13"/>
  <c r="D105" i="13" s="1"/>
  <c r="D87" i="11"/>
  <c r="N63" i="4"/>
  <c r="N97" i="4" s="1"/>
  <c r="N105" i="4" s="1"/>
  <c r="D60" i="11"/>
  <c r="M12" i="4"/>
  <c r="D12" i="13"/>
  <c r="D66" i="11"/>
  <c r="D92" i="11"/>
  <c r="D28" i="11"/>
  <c r="D103" i="11"/>
  <c r="D88" i="11"/>
  <c r="C78" i="11"/>
  <c r="D42" i="11"/>
  <c r="D16" i="11"/>
  <c r="B12" i="11"/>
  <c r="F63" i="13"/>
  <c r="F97" i="13"/>
  <c r="F105" i="13"/>
  <c r="F107" i="13" s="1"/>
  <c r="AH719" i="3"/>
  <c r="AH714" i="3"/>
  <c r="B42" i="4"/>
  <c r="D77" i="11"/>
  <c r="C71" i="11"/>
  <c r="D91" i="11"/>
  <c r="C12" i="11"/>
  <c r="D12" i="11" s="1"/>
  <c r="K63" i="4"/>
  <c r="K97" i="4" s="1"/>
  <c r="K105" i="4" s="1"/>
  <c r="B62" i="4"/>
  <c r="K28" i="7"/>
  <c r="M28" i="7"/>
  <c r="D104" i="11"/>
  <c r="D96" i="11"/>
  <c r="AK172" i="20"/>
  <c r="D41" i="11" l="1"/>
  <c r="B38" i="4"/>
  <c r="C39" i="11"/>
  <c r="D39" i="11" s="1"/>
  <c r="R70" i="4"/>
  <c r="D23" i="11"/>
  <c r="R42" i="4"/>
  <c r="S41" i="4"/>
  <c r="E41" i="13" s="1"/>
  <c r="D24" i="11"/>
  <c r="B63" i="11"/>
  <c r="D52" i="11"/>
  <c r="E40" i="13"/>
  <c r="AK524" i="20"/>
  <c r="T798" i="20" s="1"/>
  <c r="AF798" i="20" s="1"/>
  <c r="AO22" i="20"/>
  <c r="AB48" i="15"/>
  <c r="T63" i="4"/>
  <c r="D43" i="11"/>
  <c r="O12" i="4"/>
  <c r="D59" i="11"/>
  <c r="D21" i="11"/>
  <c r="D5" i="11"/>
  <c r="E29" i="13"/>
  <c r="S70" i="4"/>
  <c r="E70" i="13" s="1"/>
  <c r="AD7" i="15"/>
  <c r="G63" i="4"/>
  <c r="G97" i="4" s="1"/>
  <c r="G105" i="4" s="1"/>
  <c r="B78" i="11"/>
  <c r="D78" i="11" s="1"/>
  <c r="AP364" i="20"/>
  <c r="AQ364" i="20" s="1"/>
  <c r="D71" i="11"/>
  <c r="J63" i="4"/>
  <c r="J97" i="4" s="1"/>
  <c r="J105" i="4" s="1"/>
  <c r="D20" i="11"/>
  <c r="R8" i="4"/>
  <c r="R12" i="4" s="1"/>
  <c r="R62" i="4"/>
  <c r="R44" i="21"/>
  <c r="S104" i="4"/>
  <c r="E104" i="13" s="1"/>
  <c r="B96" i="4"/>
  <c r="N157" i="26"/>
  <c r="N164" i="26" s="1"/>
  <c r="R96" i="4"/>
  <c r="B97" i="11"/>
  <c r="E79" i="13"/>
  <c r="C55" i="11"/>
  <c r="D47" i="11"/>
  <c r="R54" i="4"/>
  <c r="G58" i="7"/>
  <c r="M53" i="7"/>
  <c r="I55" i="7"/>
  <c r="S43" i="7"/>
  <c r="AH716" i="3"/>
  <c r="AO637" i="3"/>
  <c r="AO65" i="20"/>
  <c r="R81" i="4"/>
  <c r="E63" i="4"/>
  <c r="E97" i="4" s="1"/>
  <c r="E105" i="4" s="1"/>
  <c r="R38" i="4"/>
  <c r="C97" i="11"/>
  <c r="B105" i="11"/>
  <c r="D105" i="11"/>
  <c r="D97" i="11"/>
  <c r="D84" i="11"/>
  <c r="C63" i="11"/>
  <c r="D63" i="11" s="1"/>
  <c r="B55" i="11"/>
  <c r="D55" i="11" s="1"/>
  <c r="D46" i="11"/>
  <c r="B54" i="13"/>
  <c r="B26" i="4"/>
  <c r="B63" i="4" s="1"/>
  <c r="C27" i="11"/>
  <c r="C9" i="11"/>
  <c r="C64" i="11" s="1"/>
  <c r="B8" i="13"/>
  <c r="C63" i="4"/>
  <c r="B63" i="13" s="1"/>
  <c r="B12" i="4"/>
  <c r="G28" i="7"/>
  <c r="O28" i="7"/>
  <c r="AG28" i="7"/>
  <c r="AC28" i="7"/>
  <c r="Y28" i="7"/>
  <c r="U28" i="7"/>
  <c r="S28" i="7"/>
  <c r="W28" i="7"/>
  <c r="AE28" i="7"/>
  <c r="Q28" i="7"/>
  <c r="AA28" i="7"/>
  <c r="AG40" i="7"/>
  <c r="AG43" i="7" s="1"/>
  <c r="G40" i="7"/>
  <c r="G43" i="7" s="1"/>
  <c r="AZ835" i="3"/>
  <c r="AZ840" i="3" s="1"/>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G53" i="21"/>
  <c r="E24" i="21"/>
  <c r="E22" i="21"/>
  <c r="F22" i="21" s="1"/>
  <c r="G30" i="8"/>
  <c r="I15" i="7"/>
  <c r="AI11" i="15"/>
  <c r="Y11" i="15"/>
  <c r="E26" i="21"/>
  <c r="E23" i="21"/>
  <c r="F23" i="21" s="1"/>
  <c r="G23" i="21" s="1"/>
  <c r="D27" i="11" l="1"/>
  <c r="S42" i="4"/>
  <c r="R63" i="4"/>
  <c r="H63" i="13"/>
  <c r="T97" i="4"/>
  <c r="I58" i="7"/>
  <c r="K55" i="7"/>
  <c r="O53" i="7"/>
  <c r="Z793" i="3"/>
  <c r="E6" i="7" s="1"/>
  <c r="M930" i="3"/>
  <c r="M931" i="3" s="1"/>
  <c r="AS351" i="20"/>
  <c r="AS347" i="20" s="1"/>
  <c r="AK458" i="20" s="1"/>
  <c r="T802" i="20" s="1"/>
  <c r="AF802" i="20" s="1"/>
  <c r="R97" i="4"/>
  <c r="R105" i="4" s="1"/>
  <c r="B64" i="11"/>
  <c r="B98" i="11" s="1"/>
  <c r="B106" i="11" s="1"/>
  <c r="C97" i="4"/>
  <c r="C105" i="4" s="1"/>
  <c r="B105" i="4" s="1"/>
  <c r="C13" i="11"/>
  <c r="D13" i="11" s="1"/>
  <c r="D9" i="11"/>
  <c r="AC869" i="3"/>
  <c r="EC628" i="3"/>
  <c r="T800" i="20"/>
  <c r="AF800" i="20" s="1"/>
  <c r="Y27" i="15"/>
  <c r="AI27" i="15"/>
  <c r="T789" i="20"/>
  <c r="AF789" i="20" s="1"/>
  <c r="AK78" i="20"/>
  <c r="Y23" i="15"/>
  <c r="Y26" i="15" s="1"/>
  <c r="AI23" i="15"/>
  <c r="AI26" i="15" s="1"/>
  <c r="E35" i="7"/>
  <c r="T27" i="15"/>
  <c r="BH702" i="3"/>
  <c r="BI702" i="3" s="1"/>
  <c r="Y784" i="3"/>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I35" i="7" s="1"/>
  <c r="E27" i="21"/>
  <c r="G22" i="21"/>
  <c r="H97" i="13" l="1"/>
  <c r="T105" i="4"/>
  <c r="E42" i="13"/>
  <c r="S63" i="4"/>
  <c r="Q53" i="7"/>
  <c r="M55" i="7"/>
  <c r="K58" i="7"/>
  <c r="D64" i="11"/>
  <c r="B97" i="4"/>
  <c r="AC454" i="3"/>
  <c r="B105" i="13"/>
  <c r="AG258" i="20"/>
  <c r="AB47" i="15"/>
  <c r="AB49" i="15" s="1"/>
  <c r="AB54" i="15" s="1"/>
  <c r="AB55" i="15" s="1"/>
  <c r="N154" i="26"/>
  <c r="B97" i="13"/>
  <c r="O23" i="21"/>
  <c r="P23" i="21" s="1" a="1"/>
  <c r="P23" i="21" s="1"/>
  <c r="R23" i="21" s="1"/>
  <c r="O24" i="21"/>
  <c r="P24" i="21" s="1" a="1"/>
  <c r="P24" i="21" s="1"/>
  <c r="R24" i="21" s="1"/>
  <c r="O21" i="21"/>
  <c r="P21" i="21" s="1" a="1"/>
  <c r="P21" i="21" s="1"/>
  <c r="R21" i="21" s="1"/>
  <c r="O22" i="21"/>
  <c r="P22" i="21" s="1" a="1"/>
  <c r="P22" i="21" s="1"/>
  <c r="R22" i="21" s="1"/>
  <c r="AW116" i="20"/>
  <c r="O20" i="21"/>
  <c r="P20" i="21" s="1" a="1"/>
  <c r="P20" i="21" s="1"/>
  <c r="R20" i="21" s="1"/>
  <c r="Y28" i="15"/>
  <c r="AI28" i="15"/>
  <c r="AK180" i="20"/>
  <c r="T796" i="20" s="1"/>
  <c r="AF796" i="20" s="1"/>
  <c r="T790" i="20"/>
  <c r="AF790" i="20" s="1"/>
  <c r="K8" i="7"/>
  <c r="M8" i="7" s="1"/>
  <c r="AB255" i="20"/>
  <c r="AG25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97" i="4" l="1"/>
  <c r="E63" i="13"/>
  <c r="T107" i="4"/>
  <c r="H107" i="13" s="1"/>
  <c r="AD11" i="15" s="1"/>
  <c r="AD23" i="15" s="1"/>
  <c r="AD26" i="15" s="1"/>
  <c r="AD28" i="15" s="1"/>
  <c r="H105" i="13"/>
  <c r="AG259" i="20"/>
  <c r="AK262" i="20" s="1"/>
  <c r="T797" i="20" s="1"/>
  <c r="AF797" i="20" s="1"/>
  <c r="O55" i="7"/>
  <c r="M58" i="7"/>
  <c r="S53" i="7"/>
  <c r="N165" i="26"/>
  <c r="N155" i="26"/>
  <c r="G38" i="21"/>
  <c r="G40" i="21" s="1"/>
  <c r="E10" i="21" s="1"/>
  <c r="I4" i="7"/>
  <c r="I5" i="7" s="1"/>
  <c r="K9" i="7"/>
  <c r="E11" i="7"/>
  <c r="E37" i="7" s="1"/>
  <c r="E49" i="7" s="1"/>
  <c r="AJ961" i="3"/>
  <c r="E132" i="20"/>
  <c r="E133" i="20" s="1"/>
  <c r="AK137" i="20" s="1"/>
  <c r="T792" i="20" s="1"/>
  <c r="AF792" i="20" s="1"/>
  <c r="E87" i="20"/>
  <c r="E88" i="20" s="1"/>
  <c r="E89" i="20" s="1"/>
  <c r="AP89" i="20" s="1"/>
  <c r="E97" i="20"/>
  <c r="E100" i="20" s="1"/>
  <c r="AP100" i="20" s="1"/>
  <c r="AB960" i="3"/>
  <c r="CS649" i="3"/>
  <c r="U362" i="20" s="1"/>
  <c r="O742" i="3"/>
  <c r="P420" i="3"/>
  <c r="I6" i="7"/>
  <c r="G7" i="7"/>
  <c r="G11" i="7" s="1"/>
  <c r="G37" i="7" s="1"/>
  <c r="M22" i="7"/>
  <c r="M35" i="7" s="1"/>
  <c r="O15" i="7"/>
  <c r="M9" i="7"/>
  <c r="O8" i="7"/>
  <c r="G25" i="21"/>
  <c r="F24" i="21"/>
  <c r="AK103" i="20" l="1"/>
  <c r="T791" i="20" s="1"/>
  <c r="AF791" i="20" s="1"/>
  <c r="E97" i="13"/>
  <c r="S105" i="4"/>
  <c r="U53" i="7"/>
  <c r="Q55" i="7"/>
  <c r="O58" i="7"/>
  <c r="AJ1006" i="3"/>
  <c r="AJ963" i="3"/>
  <c r="I13" i="21" s="1"/>
  <c r="B1025" i="3"/>
  <c r="AJ1010" i="3"/>
  <c r="AP541" i="20" s="1"/>
  <c r="AJ1014" i="3"/>
  <c r="AP542" i="20" s="1"/>
  <c r="K4" i="7"/>
  <c r="M4" i="7" s="1"/>
  <c r="E45" i="7"/>
  <c r="E48" i="7" s="1"/>
  <c r="AP539" i="20"/>
  <c r="G45" i="7"/>
  <c r="G49" i="7"/>
  <c r="K6" i="7"/>
  <c r="I7" i="7"/>
  <c r="I11" i="7" s="1"/>
  <c r="I37" i="7" s="1"/>
  <c r="G24" i="21"/>
  <c r="F27" i="21"/>
  <c r="G27" i="21"/>
  <c r="O22" i="7"/>
  <c r="O35" i="7" s="1"/>
  <c r="Q15" i="7"/>
  <c r="O9" i="7"/>
  <c r="Q8" i="7"/>
  <c r="S107" i="4" l="1"/>
  <c r="E105" i="13"/>
  <c r="AJ1018" i="3"/>
  <c r="T24" i="15" s="1"/>
  <c r="S55" i="7"/>
  <c r="Q58" i="7"/>
  <c r="W53" i="7"/>
  <c r="AP543" i="20"/>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E107" i="13"/>
  <c r="T11" i="15" s="1"/>
  <c r="T23" i="15" s="1"/>
  <c r="AF540" i="20"/>
  <c r="AC455" i="3"/>
  <c r="G66" i="7"/>
  <c r="G67" i="7"/>
  <c r="E62" i="7"/>
  <c r="E67" i="7"/>
  <c r="E66" i="7"/>
  <c r="Y53" i="7"/>
  <c r="U55" i="7"/>
  <c r="S58" i="7"/>
  <c r="K11" i="7"/>
  <c r="K37" i="7" s="1"/>
  <c r="K45" i="7" s="1"/>
  <c r="O5" i="7"/>
  <c r="Q4" i="7"/>
  <c r="AD38" i="15"/>
  <c r="AD40" i="15" s="1"/>
  <c r="M7" i="7"/>
  <c r="M11" i="7" s="1"/>
  <c r="M37" i="7" s="1"/>
  <c r="O6" i="7"/>
  <c r="G62" i="7"/>
  <c r="I48" i="7"/>
  <c r="I60" i="7"/>
  <c r="I47" i="7"/>
  <c r="G69" i="21"/>
  <c r="G81" i="21"/>
  <c r="G65" i="21"/>
  <c r="S22" i="7"/>
  <c r="S35" i="7" s="1"/>
  <c r="U15" i="7"/>
  <c r="E14" i="21"/>
  <c r="E15" i="21" s="1"/>
  <c r="U8" i="7"/>
  <c r="S9" i="7"/>
  <c r="T26" i="15" l="1"/>
  <c r="T28" i="15" s="1"/>
  <c r="Y64" i="15"/>
  <c r="Y68" i="15" s="1"/>
  <c r="AF542" i="20"/>
  <c r="AK548" i="20" s="1"/>
  <c r="T803" i="20" s="1"/>
  <c r="AF803" i="20" s="1"/>
  <c r="AF806" i="20" s="1"/>
  <c r="I66" i="7"/>
  <c r="I67" i="7"/>
  <c r="W55" i="7"/>
  <c r="U58" i="7"/>
  <c r="AA53" i="7"/>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T29" i="15" l="1"/>
  <c r="Y38" i="15"/>
  <c r="Y40" i="15" s="1"/>
  <c r="Y41" i="15" s="1"/>
  <c r="AB56" i="15" s="1"/>
  <c r="M26" i="3" s="1"/>
  <c r="P203" i="3" s="1"/>
  <c r="K66" i="7"/>
  <c r="K67" i="7"/>
  <c r="AC53" i="7"/>
  <c r="Y55" i="7"/>
  <c r="W58" i="7"/>
  <c r="AB57" i="15"/>
  <c r="U4" i="7"/>
  <c r="S5" i="7"/>
  <c r="M48" i="7"/>
  <c r="M47" i="7"/>
  <c r="M60" i="7"/>
  <c r="O45" i="7"/>
  <c r="O49" i="7"/>
  <c r="K62" i="7"/>
  <c r="Q7" i="7"/>
  <c r="Q11" i="7" s="1"/>
  <c r="Q37" i="7" s="1"/>
  <c r="S6" i="7"/>
  <c r="I70" i="7"/>
  <c r="I72" i="7" s="1"/>
  <c r="W22" i="7"/>
  <c r="W35" i="7" s="1"/>
  <c r="Y15" i="7"/>
  <c r="W9" i="7"/>
  <c r="Y8" i="7"/>
  <c r="M66" i="7" l="1"/>
  <c r="M67" i="7"/>
  <c r="AE53" i="7"/>
  <c r="AA55" i="7"/>
  <c r="Y58" i="7"/>
  <c r="AB59" i="15"/>
  <c r="AB76" i="15" s="1"/>
  <c r="AB77" i="15" s="1"/>
  <c r="AB78" i="15" s="1"/>
  <c r="U5" i="7"/>
  <c r="W4" i="7"/>
  <c r="Q49" i="7"/>
  <c r="Q45" i="7"/>
  <c r="M62" i="7"/>
  <c r="O47" i="7"/>
  <c r="O48" i="7"/>
  <c r="O60" i="7"/>
  <c r="K70" i="7"/>
  <c r="K72" i="7" s="1"/>
  <c r="S7" i="7"/>
  <c r="S11" i="7" s="1"/>
  <c r="S37" i="7" s="1"/>
  <c r="U6" i="7"/>
  <c r="Y22" i="7"/>
  <c r="Y35" i="7" s="1"/>
  <c r="AA15" i="7"/>
  <c r="Y9" i="7"/>
  <c r="AA8" i="7"/>
  <c r="O66" i="7" l="1"/>
  <c r="O67" i="7"/>
  <c r="AG53" i="7"/>
  <c r="AC55" i="7"/>
  <c r="AA58"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Q66" i="7" l="1"/>
  <c r="Q67" i="7"/>
  <c r="AE55" i="7"/>
  <c r="AC58" i="7"/>
  <c r="P204" i="3"/>
  <c r="AA4" i="7"/>
  <c r="Y5" i="7"/>
  <c r="Y6" i="7"/>
  <c r="W7" i="7"/>
  <c r="W11" i="7" s="1"/>
  <c r="W37" i="7" s="1"/>
  <c r="U45" i="7"/>
  <c r="U49" i="7"/>
  <c r="Q62" i="7"/>
  <c r="S48" i="7"/>
  <c r="S47" i="7"/>
  <c r="S60" i="7"/>
  <c r="O70" i="7"/>
  <c r="O72" i="7" s="1"/>
  <c r="AE15" i="7"/>
  <c r="AC22" i="7"/>
  <c r="AC35" i="7" s="1"/>
  <c r="AC9" i="7"/>
  <c r="AE8" i="7"/>
  <c r="S66" i="7" l="1"/>
  <c r="S67" i="7"/>
  <c r="AG55" i="7"/>
  <c r="AG58" i="7" s="1"/>
  <c r="AE58" i="7"/>
  <c r="AA5" i="7"/>
  <c r="AC4" i="7"/>
  <c r="S62" i="7"/>
  <c r="U48" i="7"/>
  <c r="U60" i="7"/>
  <c r="U47" i="7"/>
  <c r="Q70" i="7"/>
  <c r="Q72" i="7" s="1"/>
  <c r="W49" i="7"/>
  <c r="W45" i="7"/>
  <c r="Y7" i="7"/>
  <c r="Y11" i="7" s="1"/>
  <c r="Y37" i="7" s="1"/>
  <c r="AA6" i="7"/>
  <c r="AE22" i="7"/>
  <c r="AE35" i="7" s="1"/>
  <c r="AG15" i="7"/>
  <c r="AG22" i="7" s="1"/>
  <c r="AG35" i="7" s="1"/>
  <c r="AE9" i="7"/>
  <c r="AG8" i="7"/>
  <c r="AG9" i="7" s="1"/>
  <c r="U66" i="7" l="1"/>
  <c r="U67" i="7"/>
  <c r="S70" i="7"/>
  <c r="S72" i="7" s="1"/>
  <c r="AC5" i="7"/>
  <c r="AE4" i="7"/>
  <c r="AC6" i="7"/>
  <c r="AA7" i="7"/>
  <c r="AA11" i="7" s="1"/>
  <c r="AA37" i="7" s="1"/>
  <c r="U62" i="7"/>
  <c r="Y49" i="7"/>
  <c r="Y45" i="7"/>
  <c r="W60" i="7"/>
  <c r="W47" i="7"/>
  <c r="W48" i="7"/>
  <c r="W66" i="7" l="1"/>
  <c r="W67" i="7"/>
  <c r="AE5" i="7"/>
  <c r="AG4" i="7"/>
  <c r="AG5" i="7" s="1"/>
  <c r="AA45" i="7"/>
  <c r="AA49" i="7"/>
  <c r="U70" i="7"/>
  <c r="U72" i="7" s="1"/>
  <c r="W62" i="7"/>
  <c r="Y47" i="7"/>
  <c r="Y48" i="7"/>
  <c r="Y60" i="7"/>
  <c r="AE6" i="7"/>
  <c r="AC7" i="7"/>
  <c r="AC11" i="7" s="1"/>
  <c r="AC37" i="7" s="1"/>
  <c r="Y66" i="7" l="1"/>
  <c r="Y67" i="7"/>
  <c r="W70" i="7"/>
  <c r="W72" i="7" s="1"/>
  <c r="AA60" i="7"/>
  <c r="AA47" i="7"/>
  <c r="AA48" i="7"/>
  <c r="AC45" i="7"/>
  <c r="AC49" i="7"/>
  <c r="AE7" i="7"/>
  <c r="AE11" i="7" s="1"/>
  <c r="AE37" i="7" s="1"/>
  <c r="AG6" i="7"/>
  <c r="Y62" i="7"/>
  <c r="AA66" i="7" l="1"/>
  <c r="AA67" i="7"/>
  <c r="Y70" i="7"/>
  <c r="Y72" i="7" s="1"/>
  <c r="AG7" i="7"/>
  <c r="AG11" i="7" s="1"/>
  <c r="AG37" i="7" s="1"/>
  <c r="AE49" i="7"/>
  <c r="AE45" i="7"/>
  <c r="AC60" i="7"/>
  <c r="AC48" i="7"/>
  <c r="AC47" i="7"/>
  <c r="AA62" i="7"/>
  <c r="AC66" i="7" l="1"/>
  <c r="AC67" i="7"/>
  <c r="AA70" i="7"/>
  <c r="AA72" i="7" s="1"/>
  <c r="AC62" i="7"/>
  <c r="AE47" i="7"/>
  <c r="AE60" i="7"/>
  <c r="AE48" i="7"/>
  <c r="AG49" i="7"/>
  <c r="AG45" i="7"/>
  <c r="AE66" i="7" l="1"/>
  <c r="AE67" i="7"/>
  <c r="AG48" i="7"/>
  <c r="AG60" i="7"/>
  <c r="AG47" i="7"/>
  <c r="AE62" i="7"/>
  <c r="AC70" i="7"/>
  <c r="AC72" i="7" s="1"/>
  <c r="AG66" i="7" l="1"/>
  <c r="AG67" i="7"/>
  <c r="AE70" i="7"/>
  <c r="AE72" i="7" s="1"/>
  <c r="AG62"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<sst xmlns="http://schemas.openxmlformats.org/spreadsheetml/2006/main" count="5220" uniqueCount="2797">
  <si>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</si>
  <si>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</si>
  <si>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</si>
  <si>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</si>
  <si>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</si>
  <si>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</si>
  <si>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</si>
  <si>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</si>
  <si>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</si>
  <si>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</si>
  <si>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</si>
  <si>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</si>
  <si>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</si>
  <si>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</si>
  <si>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</si>
  <si>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</si>
  <si>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</si>
  <si>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</si>
  <si>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</si>
  <si>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</si>
  <si>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</si>
  <si>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</si>
  <si>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</si>
  <si>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</si>
  <si>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</si>
  <si>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</si>
  <si>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</si>
  <si>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</si>
  <si>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</si>
  <si>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</si>
  <si>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</si>
  <si>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</si>
  <si>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</si>
  <si>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</si>
  <si>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</si>
  <si>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</si>
  <si>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</si>
  <si>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</si>
  <si>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</si>
  <si>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</si>
  <si>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</si>
  <si>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</si>
  <si>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</si>
  <si>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</si>
  <si>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</si>
  <si>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</si>
  <si>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</si>
  <si>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</si>
  <si>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</si>
  <si>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</si>
  <si>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</si>
  <si>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</si>
  <si>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</si>
  <si>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</si>
  <si>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</si>
  <si>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</si>
  <si>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</si>
  <si>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</si>
  <si>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</si>
  <si>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</si>
  <si>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</si>
  <si>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</si>
  <si>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</si>
  <si>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</si>
  <si>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</si>
  <si>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</si>
  <si>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</si>
  <si>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</si>
  <si>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</si>
  <si>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</si>
  <si>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</si>
  <si>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</si>
  <si>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</si>
  <si>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</si>
  <si>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</si>
  <si>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</si>
  <si>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</si>
  <si>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</si>
  <si>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</si>
  <si>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</si>
  <si>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</si>
  <si>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</si>
  <si>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</si>
  <si>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</si>
  <si>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</si>
  <si>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</si>
  <si>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</si>
  <si>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</si>
  <si>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</si>
  <si>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</si>
  <si>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</si>
  <si>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</si>
  <si>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</si>
  <si>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</si>
  <si>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</si>
  <si>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</si>
  <si>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</si>
  <si>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</si>
  <si>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</si>
  <si>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</si>
  <si>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</si>
  <si>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</si>
  <si>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</si>
  <si>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</si>
  <si>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</si>
  <si>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</si>
  <si>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</si>
  <si>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</si>
  <si>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</si>
  <si>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</si>
  <si>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</si>
  <si>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</si>
  <si>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</si>
  <si>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</si>
  <si>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</si>
  <si>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</si>
  <si>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</si>
  <si>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</si>
  <si>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</si>
  <si>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</si>
  <si>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</si>
  <si>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</si>
  <si>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</si>
  <si>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</si>
  <si>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</si>
  <si>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</si>
  <si>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</si>
  <si>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</si>
  <si>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</si>
  <si>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</si>
  <si>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</si>
  <si>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</si>
  <si>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</si>
  <si>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</si>
  <si>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</si>
  <si>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</si>
  <si>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</si>
  <si>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</si>
  <si>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</si>
  <si>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</si>
  <si>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</si>
  <si>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</si>
  <si>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</si>
  <si>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</si>
  <si>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</si>
  <si>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</si>
  <si>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</si>
  <si>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</si>
  <si>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</si>
  <si>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</si>
  <si>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</si>
  <si>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</si>
  <si>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</si>
  <si>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</si>
  <si>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</si>
  <si>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</si>
  <si>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</si>
  <si>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</si>
  <si>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</si>
  <si>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</si>
  <si>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</si>
  <si>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</si>
  <si>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</si>
  <si>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</si>
  <si>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</si>
  <si>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</si>
  <si>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</si>
  <si>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</si>
  <si>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</si>
  <si>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</si>
  <si>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</si>
  <si>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</si>
  <si>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</si>
  <si>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</si>
  <si>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</si>
  <si>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</si>
  <si>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</si>
  <si>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</si>
  <si>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</si>
  <si>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</si>
  <si>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</si>
  <si>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</si>
  <si>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</si>
  <si>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</si>
  <si>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</si>
  <si>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</si>
  <si>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</si>
  <si>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</si>
  <si>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</si>
  <si>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</si>
  <si>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</si>
  <si>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</si>
  <si>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</si>
  <si>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</si>
  <si>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</si>
  <si>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</si>
  <si>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</si>
  <si>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</si>
  <si>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</si>
  <si>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</si>
  <si>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</si>
  <si>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</si>
  <si>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</si>
  <si>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</si>
  <si>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</si>
  <si>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</si>
  <si>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</si>
  <si>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</si>
  <si>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</si>
  <si>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</si>
  <si>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</si>
  <si>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</si>
  <si>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</si>
  <si>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</si>
  <si>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</si>
  <si>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</si>
  <si>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</si>
  <si>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</si>
  <si>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</si>
  <si>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</si>
  <si>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</si>
  <si>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</si>
  <si>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</si>
  <si>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</si>
  <si>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</si>
  <si>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</si>
  <si>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</si>
  <si>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</si>
  <si>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</si>
  <si>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</si>
  <si>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</si>
  <si>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</si>
  <si>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</si>
  <si>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</si>
  <si>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</si>
  <si>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</si>
  <si>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</si>
  <si>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</si>
  <si>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</si>
  <si>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</si>
  <si>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</si>
  <si>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</si>
  <si>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</si>
  <si>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</si>
  <si>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</si>
  <si>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</si>
  <si>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</si>
  <si>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</si>
  <si>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</si>
  <si>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</si>
  <si>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</si>
  <si>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</si>
  <si>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</si>
  <si>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</si>
  <si>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</si>
  <si>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</si>
  <si>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</si>
  <si>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</si>
  <si>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</si>
  <si>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</si>
  <si>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</si>
  <si>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</si>
  <si>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</si>
  <si>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</si>
  <si>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</si>
  <si>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</si>
  <si>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</si>
  <si>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</si>
  <si>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</si>
  <si>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</si>
  <si>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</si>
  <si>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</si>
  <si>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</si>
  <si>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</si>
  <si>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</si>
  <si>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</si>
  <si>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</si>
  <si>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</si>
  <si>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</si>
  <si>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</si>
  <si>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</si>
  <si>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</si>
  <si>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</si>
  <si>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</si>
  <si>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</si>
  <si>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</si>
  <si>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</si>
  <si>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</si>
  <si>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</si>
  <si>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</si>
  <si>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</si>
  <si>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</si>
  <si>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</si>
  <si>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</si>
  <si>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</si>
  <si>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</si>
  <si>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</si>
  <si>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</si>
  <si>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</si>
  <si>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</si>
  <si>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</si>
  <si>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</si>
  <si>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</si>
  <si>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</si>
  <si>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</si>
  <si>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</si>
  <si>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</si>
  <si>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</si>
  <si>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</si>
  <si>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</si>
  <si>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</si>
  <si>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</si>
  <si>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</si>
  <si>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</si>
  <si>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</si>
  <si>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</si>
  <si>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</si>
  <si>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</si>
  <si>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</si>
  <si>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</si>
  <si>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</si>
  <si>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</si>
  <si>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</si>
  <si>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</si>
  <si>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</si>
  <si>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</si>
  <si>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</si>
  <si>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</si>
  <si>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</si>
  <si>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</si>
  <si>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</si>
  <si>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</si>
  <si>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</si>
  <si>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</si>
  <si>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</si>
  <si>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</si>
  <si>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</si>
  <si>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</si>
  <si>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</si>
  <si>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</si>
  <si>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</si>
  <si>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</si>
  <si>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</si>
  <si>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</si>
  <si>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</si>
  <si>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</si>
  <si>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</si>
  <si>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</si>
  <si>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</si>
  <si>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</si>
  <si>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</si>
  <si>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</si>
  <si>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</si>
  <si>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</si>
  <si>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</si>
  <si>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</si>
  <si>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</si>
  <si>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</si>
  <si>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</si>
  <si>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</si>
  <si>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</si>
  <si>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</si>
  <si>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</si>
  <si>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</si>
  <si>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</si>
  <si>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</si>
  <si>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</si>
  <si>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</si>
  <si>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</si>
  <si>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</si>
  <si>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</si>
  <si>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</si>
  <si>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</si>
  <si>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</si>
  <si>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</si>
  <si>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</si>
  <si>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</si>
  <si>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</si>
  <si>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</si>
  <si>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</si>
  <si>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</si>
  <si>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</si>
  <si>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</si>
  <si>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</si>
  <si>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</si>
  <si>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</si>
  <si>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</si>
  <si>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</si>
  <si>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</si>
  <si>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</si>
  <si>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</si>
  <si>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</si>
  <si>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</si>
  <si>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</si>
  <si>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</si>
  <si>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</si>
  <si>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</si>
  <si>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</si>
  <si>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</si>
  <si>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</si>
  <si>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</si>
  <si>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</si>
  <si>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</si>
  <si>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</si>
  <si>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</si>
  <si>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</si>
  <si>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</si>
  <si>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</si>
  <si>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</si>
  <si>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</si>
  <si>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</si>
  <si>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</si>
  <si>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</si>
  <si>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</si>
  <si>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</si>
  <si>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</si>
  <si>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</si>
  <si>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</si>
  <si>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</si>
  <si>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</si>
  <si>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</si>
  <si>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</si>
  <si>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</si>
  <si>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</si>
  <si>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</si>
  <si>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</si>
  <si>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</si>
  <si>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</si>
  <si>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</si>
  <si>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</si>
  <si>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</si>
  <si>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</si>
  <si>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</si>
  <si>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</si>
  <si>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</si>
  <si>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</si>
  <si>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</si>
  <si>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</si>
  <si>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</si>
  <si>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</si>
  <si>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</si>
  <si>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</si>
  <si>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</si>
  <si>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</si>
  <si>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</si>
  <si>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</si>
  <si>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</si>
  <si>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</si>
  <si>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</si>
  <si>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</si>
  <si>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</si>
  <si>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</si>
  <si>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</si>
  <si>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</si>
  <si>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</si>
  <si>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</si>
  <si>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</si>
  <si>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</si>
  <si>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</si>
  <si>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</si>
  <si>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</si>
  <si>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</si>
  <si>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</si>
  <si>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</si>
  <si>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</si>
  <si>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</si>
  <si>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</si>
  <si>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</si>
  <si>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</si>
  <si>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</si>
  <si>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</si>
  <si>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</si>
  <si>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</si>
  <si>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</si>
  <si>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</si>
  <si>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</si>
  <si>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</si>
  <si>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</si>
  <si>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</si>
  <si>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</si>
  <si>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</si>
  <si>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</si>
  <si>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</si>
  <si>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</si>
  <si>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</si>
  <si>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</si>
  <si>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</si>
  <si>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</si>
  <si>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</si>
  <si>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</si>
  <si>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</si>
  <si>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</si>
  <si>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</si>
  <si>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</si>
  <si>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</si>
  <si>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</si>
  <si>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</si>
  <si>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</si>
  <si>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</si>
  <si>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</si>
  <si>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</si>
  <si>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</si>
  <si>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</si>
  <si>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</si>
  <si>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</si>
  <si>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</si>
  <si>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</si>
  <si>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</si>
  <si>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</si>
  <si>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</si>
  <si>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</si>
  <si>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</si>
  <si>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</si>
  <si>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</si>
  <si>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</si>
  <si>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</si>
  <si>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</si>
  <si>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</si>
  <si>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</si>
  <si>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</si>
  <si>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</si>
  <si>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</si>
  <si>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</si>
  <si>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</si>
  <si>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</si>
  <si>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</si>
  <si>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</si>
  <si>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</si>
  <si>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</si>
  <si>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</si>
  <si>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</si>
  <si>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</si>
  <si>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</si>
  <si>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</si>
  <si>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</si>
  <si>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</si>
  <si>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</si>
  <si>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</si>
  <si>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</si>
  <si>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</si>
  <si>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</si>
  <si>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</si>
  <si>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</si>
  <si>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</si>
  <si>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</si>
  <si>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</si>
  <si>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</si>
  <si>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</si>
  <si>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</si>
  <si>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</si>
  <si>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</si>
  <si>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</si>
  <si>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</si>
  <si>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</si>
  <si>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</si>
  <si>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</si>
  <si>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</si>
  <si>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</si>
  <si>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</si>
  <si>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</si>
  <si>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</si>
  <si>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</si>
  <si>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</si>
  <si>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</si>
  <si>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</si>
  <si>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</si>
  <si>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</si>
  <si>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</si>
  <si>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</si>
  <si>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</si>
  <si>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</si>
  <si>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</si>
  <si>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</si>
  <si>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</si>
  <si>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</si>
  <si>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</si>
  <si>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</si>
  <si>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</si>
  <si>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</si>
  <si>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</si>
  <si>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</si>
  <si>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</si>
  <si>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</si>
  <si>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</si>
  <si>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</si>
  <si>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</si>
  <si>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</si>
  <si>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</si>
  <si>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</si>
  <si>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</si>
  <si>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</si>
  <si>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</si>
  <si>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</si>
  <si>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</si>
  <si>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</si>
  <si>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</si>
  <si>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</si>
  <si>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</si>
  <si>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</si>
  <si>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</si>
  <si>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</si>
  <si>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</si>
  <si>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</si>
  <si>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</si>
  <si>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</si>
  <si>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</si>
  <si>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</si>
  <si>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</si>
  <si>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</si>
  <si>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</si>
  <si>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</si>
  <si>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</si>
  <si>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</si>
  <si>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</si>
  <si>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</si>
  <si>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</si>
  <si>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</si>
  <si>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</si>
  <si>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</si>
  <si>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</si>
  <si>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</si>
  <si>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</si>
  <si>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</si>
  <si>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</si>
  <si>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</si>
  <si>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</si>
  <si>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</si>
  <si>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</si>
  <si>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</si>
  <si>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</si>
  <si>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</si>
  <si>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</si>
  <si>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</si>
  <si>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</si>
  <si>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</si>
  <si>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</si>
  <si>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</si>
  <si>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</si>
  <si>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</si>
  <si>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</si>
  <si>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</si>
  <si>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</si>
  <si>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</si>
  <si>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</si>
  <si>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</si>
  <si>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</si>
  <si>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</si>
  <si>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</si>
  <si>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</si>
  <si>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</si>
  <si>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</si>
  <si>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</si>
  <si>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</si>
  <si>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</si>
  <si>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</si>
  <si>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</si>
  <si>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</si>
  <si>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</si>
  <si>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</si>
  <si>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</si>
  <si>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</si>
  <si>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</si>
  <si>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</si>
  <si>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</si>
  <si>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</si>
  <si>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</si>
  <si>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</si>
  <si>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</si>
  <si>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</si>
  <si>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</si>
  <si>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</si>
  <si>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</si>
  <si>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</si>
  <si>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</si>
  <si>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</si>
  <si>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</si>
  <si>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</si>
  <si>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</si>
  <si>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</si>
  <si>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</si>
  <si>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</si>
  <si>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</si>
  <si>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</si>
  <si>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</si>
  <si>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</si>
  <si>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</si>
  <si>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</si>
  <si>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</si>
  <si>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</si>
  <si>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</si>
  <si>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</si>
  <si>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</si>
  <si>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</si>
  <si>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</si>
  <si>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</si>
  <si>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</si>
  <si>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</si>
  <si>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</si>
  <si>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</si>
  <si>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</si>
  <si>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</si>
  <si>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</si>
  <si>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</si>
  <si>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</si>
  <si>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</si>
  <si>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</si>
  <si>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</si>
  <si>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</si>
  <si>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</si>
  <si>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</si>
  <si>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</si>
  <si>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</si>
  <si>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</si>
  <si>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</si>
  <si>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</si>
  <si>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</si>
  <si>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</si>
  <si>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</si>
  <si>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</si>
  <si>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</si>
  <si>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</si>
  <si>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</si>
  <si>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</si>
  <si>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</si>
  <si>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</si>
  <si>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</si>
  <si>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</si>
  <si>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</si>
  <si>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</si>
  <si>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</si>
  <si>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</si>
  <si>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</si>
  <si>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</si>
  <si>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</si>
  <si>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</si>
  <si>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</si>
  <si>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</si>
  <si>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</si>
  <si>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</si>
  <si>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</si>
  <si>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</si>
  <si>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</si>
  <si>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</si>
  <si>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</si>
  <si>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</si>
  <si>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</si>
  <si>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</si>
  <si>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</si>
  <si>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</si>
  <si>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</si>
  <si>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</si>
  <si>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</si>
  <si>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</si>
  <si>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</si>
  <si>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</si>
  <si>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</si>
  <si>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</si>
  <si>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</si>
  <si>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</si>
  <si>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</si>
  <si>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</si>
  <si>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</si>
  <si>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</si>
  <si>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</si>
  <si>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</si>
  <si>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</si>
  <si>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</si>
  <si>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</si>
  <si>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</si>
  <si>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</si>
  <si>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</si>
  <si>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</si>
  <si>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</si>
  <si>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</si>
  <si>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</si>
  <si>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</si>
  <si>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</si>
  <si>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</si>
  <si>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</si>
  <si>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</si>
  <si>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</si>
  <si>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</si>
  <si>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</si>
  <si>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</si>
  <si>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</si>
  <si>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</si>
  <si>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</si>
  <si>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</si>
  <si>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</si>
  <si>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</si>
  <si>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</si>
  <si>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</si>
  <si>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</si>
  <si>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</si>
  <si>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</si>
  <si>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</si>
  <si>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</si>
  <si>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</si>
  <si>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</si>
  <si>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</si>
  <si>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</si>
  <si>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</si>
  <si>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</si>
  <si>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</si>
  <si>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</si>
  <si>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</si>
  <si>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</si>
  <si>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</si>
  <si>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</si>
  <si>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</si>
  <si>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</si>
  <si>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</si>
  <si>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</si>
  <si>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</si>
  <si>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</si>
  <si>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</si>
  <si>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</si>
  <si>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</si>
  <si>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</si>
  <si>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</si>
  <si>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</si>
  <si>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</si>
  <si>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</si>
  <si>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</si>
  <si>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</si>
  <si>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</si>
  <si>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</si>
  <si>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</si>
  <si>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</si>
  <si>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</si>
  <si>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</si>
  <si>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</si>
  <si>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</si>
  <si>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</si>
  <si>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</si>
  <si>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</si>
  <si>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</si>
  <si>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</si>
  <si>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</si>
  <si>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</si>
  <si>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</si>
  <si>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</si>
  <si>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</si>
  <si>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</si>
  <si>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</si>
  <si>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</si>
  <si>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</si>
  <si>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</si>
  <si>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</si>
  <si>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</si>
  <si>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</si>
  <si>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</si>
  <si>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</si>
  <si>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</si>
  <si>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</si>
  <si>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</si>
  <si>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</si>
  <si>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</si>
  <si>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</si>
  <si>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</si>
  <si>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</si>
  <si>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</si>
  <si>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</si>
  <si>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</si>
  <si>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</si>
  <si>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</si>
  <si>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</si>
  <si>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</si>
  <si>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</si>
  <si>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</si>
  <si>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</si>
  <si>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</si>
  <si>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</si>
  <si>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</si>
  <si>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</si>
  <si>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</si>
  <si>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</si>
  <si>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</si>
  <si>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</si>
  <si>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</si>
  <si>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</si>
  <si>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</si>
  <si>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</si>
  <si>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</si>
  <si>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</si>
  <si>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</si>
  <si>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</si>
  <si>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</si>
  <si>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</si>
  <si>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</si>
  <si>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</si>
  <si>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</si>
  <si>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</si>
  <si>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</si>
  <si>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</si>
  <si>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</si>
  <si>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</si>
  <si>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</si>
  <si>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</si>
  <si>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</si>
  <si>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</si>
  <si>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</si>
  <si>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</si>
  <si>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</si>
  <si>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</si>
  <si>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</si>
  <si>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</si>
  <si>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</si>
  <si>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</si>
  <si>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</si>
  <si>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</si>
  <si>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</si>
  <si>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</si>
  <si>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</si>
  <si>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</si>
  <si>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</si>
  <si>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</si>
  <si>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</si>
  <si>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</si>
  <si>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</si>
  <si>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</si>
  <si>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</si>
  <si>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</si>
  <si>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</si>
  <si>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</si>
  <si>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</si>
  <si>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</si>
  <si>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</si>
  <si>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</si>
  <si>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</si>
  <si>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</si>
  <si>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</si>
  <si>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</si>
  <si>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</si>
  <si>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</si>
  <si>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</si>
  <si>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</si>
  <si>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</si>
  <si>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</si>
  <si>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</si>
  <si>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</si>
  <si>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</si>
  <si>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</si>
  <si>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</si>
  <si>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</si>
  <si>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</si>
  <si>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</si>
  <si>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</si>
  <si>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</si>
  <si>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</si>
  <si>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</si>
  <si>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</si>
  <si>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</si>
  <si>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</si>
  <si>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</si>
  <si>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</si>
  <si>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</si>
  <si>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</si>
  <si>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</si>
  <si>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</si>
  <si>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</si>
  <si>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</si>
  <si>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</si>
  <si>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</si>
  <si>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</si>
  <si>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</si>
  <si>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</si>
  <si>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</si>
  <si>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</si>
  <si>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</si>
  <si>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</si>
  <si>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</si>
  <si>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</si>
  <si>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</si>
  <si>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</si>
  <si>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</si>
  <si>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</si>
  <si>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</si>
  <si>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</si>
  <si>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</si>
  <si>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</si>
  <si>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</si>
  <si>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</si>
  <si>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</si>
  <si>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</si>
  <si>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</si>
  <si>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</si>
  <si>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</si>
  <si>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</si>
  <si>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</si>
  <si>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</si>
  <si>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</si>
  <si>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</si>
  <si>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</si>
  <si>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</si>
  <si>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</si>
  <si>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</si>
  <si>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</si>
  <si>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</si>
  <si>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</si>
  <si>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</si>
  <si>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</si>
  <si>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</si>
  <si>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</si>
  <si>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</si>
  <si>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</si>
  <si>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</si>
  <si>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</si>
  <si>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</si>
  <si>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</si>
  <si>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</si>
  <si>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</si>
  <si>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</si>
  <si>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</si>
  <si>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</si>
  <si>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</si>
  <si>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</si>
  <si>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</si>
  <si>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</si>
  <si>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</si>
  <si>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</si>
  <si>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</si>
  <si>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</si>
  <si>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</si>
  <si>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</si>
  <si>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</si>
  <si>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</si>
  <si>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</si>
  <si>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</si>
  <si>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</si>
  <si>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</si>
  <si>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</si>
  <si>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</si>
  <si>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</si>
  <si>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</si>
  <si>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</si>
  <si>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</si>
  <si>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</si>
  <si>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</si>
  <si>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</si>
  <si>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</si>
  <si>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</si>
  <si>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</si>
  <si>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</si>
  <si>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</si>
  <si>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</si>
  <si>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</si>
  <si>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</si>
  <si>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</si>
  <si>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</si>
  <si>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</si>
  <si>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</si>
  <si>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</si>
  <si>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</si>
  <si>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</si>
  <si>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</si>
  <si>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</si>
  <si>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</si>
  <si>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</si>
  <si>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</si>
  <si>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</si>
  <si>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</si>
  <si>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</si>
  <si>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</si>
  <si>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</si>
  <si>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</si>
  <si>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</si>
  <si>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</si>
  <si>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</si>
  <si>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</si>
  <si>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</si>
  <si>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</si>
  <si>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</si>
  <si>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</si>
  <si>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</si>
  <si>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</si>
  <si>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</si>
  <si>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</si>
  <si>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</si>
  <si>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</si>
  <si>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</si>
  <si>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</si>
  <si>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</si>
  <si>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</si>
  <si>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</si>
  <si>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</si>
  <si>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</si>
  <si>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</si>
  <si>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</si>
  <si>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</si>
  <si>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</si>
  <si>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</si>
  <si>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</si>
  <si>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</si>
  <si>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</si>
  <si>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</si>
  <si>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</si>
  <si>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</si>
  <si>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</si>
  <si>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</si>
  <si>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</si>
  <si>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</si>
  <si>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</si>
  <si>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</si>
  <si>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</si>
  <si>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</si>
  <si>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</si>
  <si>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</si>
  <si>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</si>
  <si>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</si>
  <si>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</si>
  <si>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</si>
  <si>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</si>
  <si>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</si>
  <si>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</si>
  <si>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</si>
  <si>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</si>
  <si>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</si>
  <si>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</si>
  <si>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</si>
  <si>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</si>
  <si>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</si>
  <si>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</si>
  <si>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</si>
  <si>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</si>
  <si>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</si>
  <si>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</si>
  <si>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</si>
  <si>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</si>
  <si>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</si>
  <si>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</si>
  <si>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</si>
  <si>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</si>
  <si>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</si>
  <si>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</si>
  <si>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</si>
  <si>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</si>
  <si>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</si>
  <si>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</si>
  <si>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</si>
  <si>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</si>
  <si>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</si>
  <si>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</si>
  <si>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</si>
  <si>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</si>
  <si>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</si>
  <si>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</si>
  <si>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</si>
  <si>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</si>
  <si>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</si>
  <si>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</si>
  <si>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</si>
  <si>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</si>
  <si>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</si>
  <si>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</si>
  <si>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</si>
  <si>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</si>
  <si>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</si>
  <si>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</si>
  <si>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</si>
  <si>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</si>
  <si>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</si>
  <si>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</si>
  <si>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</si>
  <si>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</si>
  <si>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</si>
  <si>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</si>
  <si>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</si>
  <si>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</si>
  <si>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</si>
  <si>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</si>
  <si>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</si>
  <si>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</si>
  <si>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</si>
  <si>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</si>
  <si>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</si>
  <si>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</si>
  <si>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</si>
  <si>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</si>
  <si>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</si>
  <si>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</si>
  <si>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</si>
  <si>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</si>
  <si>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</si>
  <si>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</si>
  <si>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</si>
  <si>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</si>
  <si>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</si>
  <si>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</si>
  <si>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</si>
  <si>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</si>
  <si>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</si>
  <si>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</si>
  <si>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</si>
  <si>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</si>
  <si>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</si>
  <si>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</si>
  <si>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</si>
  <si>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</si>
  <si>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</si>
  <si>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</si>
  <si>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</si>
  <si>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</si>
  <si>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</si>
  <si>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</si>
  <si>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</si>
  <si>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</si>
  <si>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</si>
  <si>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</si>
  <si>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</si>
  <si>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</si>
  <si>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</si>
  <si>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</si>
  <si>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</si>
  <si>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</si>
  <si>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</si>
  <si>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</si>
  <si>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</si>
  <si>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</si>
  <si>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</si>
  <si>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</si>
  <si>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</si>
  <si>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</si>
  <si>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</si>
  <si>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</si>
  <si>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</si>
  <si>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</si>
  <si>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</si>
  <si>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</si>
  <si>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</si>
  <si>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</si>
  <si>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</si>
  <si>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</si>
  <si>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</si>
  <si>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</si>
  <si>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</si>
  <si>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</si>
  <si>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</si>
  <si>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</si>
  <si>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</si>
  <si>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</si>
  <si>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</si>
  <si>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</si>
  <si>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</si>
  <si>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</si>
  <si>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</si>
  <si>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</si>
  <si>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</si>
  <si>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</si>
  <si>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</si>
  <si>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</si>
  <si>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</si>
  <si>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</si>
  <si>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</si>
  <si>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</si>
  <si>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</si>
  <si>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</si>
  <si>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</si>
  <si>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</si>
  <si>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</si>
  <si>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</si>
  <si>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</si>
  <si>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</si>
  <si>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</si>
  <si>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</si>
  <si>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</si>
  <si>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</si>
  <si>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</si>
  <si>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</si>
  <si>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</si>
  <si>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</si>
  <si>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</si>
  <si>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</si>
  <si>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</si>
  <si>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</si>
  <si>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</si>
  <si>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</si>
  <si>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</si>
  <si>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</si>
  <si>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</si>
  <si>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</si>
  <si>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</si>
  <si>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</si>
  <si>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</si>
  <si>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</si>
  <si>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</si>
  <si>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</si>
  <si>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</si>
  <si>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</si>
  <si>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</si>
  <si>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</si>
  <si>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</si>
  <si>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</si>
  <si>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</si>
  <si>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</si>
  <si>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</si>
  <si>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</si>
  <si>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</si>
  <si>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</si>
  <si>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</si>
  <si>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</si>
  <si>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</si>
  <si>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</si>
  <si>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</si>
  <si>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</si>
  <si>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</si>
  <si>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</si>
  <si>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</si>
  <si>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</si>
  <si>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</si>
  <si>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</si>
  <si>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</si>
  <si>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</si>
  <si>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</si>
  <si>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</si>
  <si>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</si>
  <si>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</si>
  <si>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</si>
  <si>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</si>
  <si>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</si>
  <si>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</si>
  <si>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</si>
  <si>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</si>
  <si>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</si>
  <si>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</si>
  <si>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</si>
  <si>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</si>
  <si>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</si>
  <si>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</si>
  <si>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</si>
  <si>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</si>
  <si>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</si>
  <si>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</si>
  <si>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</si>
  <si>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</si>
  <si>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</si>
  <si>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</si>
  <si>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</si>
  <si>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</si>
  <si>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</si>
  <si>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</si>
  <si>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</si>
  <si>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</si>
  <si>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</si>
  <si>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</si>
  <si>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</si>
  <si>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</si>
  <si>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</si>
  <si>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</si>
  <si>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</si>
  <si>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</si>
  <si>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</si>
  <si>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</si>
  <si>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</si>
  <si>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</si>
  <si>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</si>
  <si>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</si>
  <si>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</si>
  <si>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</si>
  <si>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</si>
  <si>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</si>
  <si>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</si>
  <si>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</si>
  <si>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</si>
  <si>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</si>
  <si>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</si>
  <si>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</si>
  <si>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</si>
  <si>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</si>
  <si>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</si>
  <si>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</si>
  <si>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</si>
  <si>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</si>
  <si>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</si>
  <si>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</si>
  <si>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</si>
  <si>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</si>
  <si>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</si>
  <si>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</si>
  <si>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</si>
  <si>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</si>
  <si>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</si>
  <si>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</si>
  <si>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</si>
  <si>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</si>
  <si>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</si>
  <si>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</si>
  <si>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</si>
  <si>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</si>
  <si>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</si>
  <si>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</si>
  <si>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</si>
  <si>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</si>
  <si>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</si>
  <si>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</si>
  <si>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</si>
  <si>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</si>
  <si>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</si>
  <si>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</si>
  <si>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</si>
  <si>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</si>
  <si>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</si>
  <si>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</si>
  <si>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</si>
  <si>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</si>
  <si>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</si>
  <si>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</si>
  <si>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</si>
  <si>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</si>
  <si>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</si>
  <si>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</si>
  <si>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</si>
  <si>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</si>
  <si>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</si>
  <si>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</si>
  <si>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</si>
  <si>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</si>
  <si>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</si>
  <si>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</si>
  <si>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</si>
  <si>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</si>
  <si>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</si>
  <si>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</si>
  <si>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</si>
  <si>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</si>
  <si>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</si>
  <si>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</si>
  <si>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</si>
  <si>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</si>
  <si>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</si>
  <si>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</si>
  <si>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</si>
  <si>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</si>
  <si>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</si>
  <si>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</si>
  <si>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</si>
  <si>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</si>
  <si>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</si>
  <si>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</si>
  <si>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</si>
  <si>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</si>
  <si>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</si>
  <si>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</si>
  <si>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</si>
  <si>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</si>
  <si>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</si>
  <si>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</si>
  <si>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</si>
  <si>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</si>
  <si>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</si>
  <si>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</si>
  <si>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</si>
  <si>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</si>
  <si>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</si>
  <si>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</si>
  <si>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</si>
  <si>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</si>
  <si>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</si>
  <si>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</si>
  <si>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</si>
  <si>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</si>
  <si>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</si>
  <si>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</si>
  <si>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</si>
  <si>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</si>
  <si>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</si>
  <si>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</si>
  <si>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</si>
  <si>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</si>
  <si>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</si>
  <si>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</si>
  <si>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</si>
  <si>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</si>
  <si>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</si>
  <si>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</si>
  <si>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</si>
  <si>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</si>
  <si>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</si>
  <si>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</si>
  <si>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</si>
  <si>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</si>
  <si>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</si>
  <si>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</si>
  <si>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</si>
  <si>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</si>
  <si>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</si>
  <si>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</si>
  <si>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</si>
  <si>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</si>
  <si>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</si>
  <si>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</si>
  <si>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</si>
  <si>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</si>
  <si>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</si>
  <si>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</si>
  <si>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</si>
  <si>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</si>
  <si>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</si>
  <si>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</si>
  <si>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</si>
  <si>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</si>
  <si>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</si>
  <si>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</si>
  <si>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</si>
  <si>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</si>
  <si>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</si>
  <si>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</si>
  <si>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</si>
  <si>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</si>
  <si>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</si>
  <si>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</si>
  <si>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</si>
  <si>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</si>
  <si>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</si>
  <si>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</si>
  <si>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</si>
  <si>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</si>
  <si>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</si>
  <si>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</si>
  <si>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</si>
  <si>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</si>
  <si>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</si>
  <si>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</si>
  <si>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</si>
  <si>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</si>
  <si>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</si>
  <si>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</si>
  <si>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</si>
  <si>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</si>
  <si>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</si>
  <si>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</si>
  <si>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</si>
  <si>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</si>
  <si>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</si>
  <si>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</si>
  <si>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</si>
  <si>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</si>
  <si>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</si>
  <si>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</si>
  <si>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</si>
  <si>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</si>
  <si>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</si>
  <si>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</si>
  <si>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</si>
  <si>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</si>
  <si>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</si>
  <si>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</si>
  <si>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</si>
  <si>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</si>
  <si>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</si>
  <si>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</si>
  <si>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</si>
  <si>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</si>
  <si>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</si>
  <si>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</si>
  <si>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</si>
  <si>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</si>
  <si>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</si>
  <si>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</si>
  <si>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</si>
  <si>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</si>
  <si>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</si>
  <si>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</si>
  <si>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</si>
  <si>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</si>
  <si>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</si>
  <si>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</si>
  <si>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</si>
  <si>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</si>
  <si>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</si>
  <si>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</si>
  <si>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</si>
  <si>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</si>
  <si>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</si>
  <si>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</si>
  <si>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</si>
  <si>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</si>
  <si>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</si>
  <si>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</si>
  <si>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</si>
  <si>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</si>
  <si>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</si>
  <si>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</si>
  <si>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</si>
  <si>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</si>
  <si>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</si>
  <si>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</si>
  <si>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</si>
  <si>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</si>
  <si>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</si>
  <si>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</si>
  <si>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</si>
  <si>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</si>
  <si>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</si>
  <si>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</si>
  <si>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</si>
  <si>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</si>
  <si>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</si>
  <si>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</si>
  <si>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</si>
  <si>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</si>
  <si>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</si>
  <si>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</si>
  <si>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</si>
  <si>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</si>
  <si>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</si>
  <si>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</si>
  <si>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</si>
  <si>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</si>
  <si>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</si>
  <si>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</si>
  <si>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</si>
  <si>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</si>
  <si>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</si>
  <si>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</si>
  <si>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</si>
  <si>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</si>
  <si>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</si>
  <si>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</si>
  <si>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</si>
  <si>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</si>
  <si>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</si>
  <si>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</si>
  <si>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</si>
  <si>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</si>
  <si>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</si>
  <si>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</si>
  <si>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</si>
  <si>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</si>
  <si>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</si>
  <si>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</si>
  <si>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</si>
  <si>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</si>
  <si>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</si>
  <si>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</si>
  <si>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</si>
  <si>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</si>
  <si>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</si>
  <si>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</si>
  <si>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</si>
  <si>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</si>
  <si>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</si>
  <si>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</si>
  <si>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</si>
  <si>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</si>
  <si>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</si>
  <si>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</si>
  <si>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</si>
  <si>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</si>
  <si>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</si>
  <si>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</si>
  <si>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</si>
  <si>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</si>
  <si>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</si>
  <si>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</si>
  <si>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</si>
  <si>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</si>
  <si>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</si>
  <si>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</si>
  <si>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</si>
  <si>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</si>
  <si>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</si>
  <si>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</si>
  <si>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</si>
  <si>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</si>
  <si>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</si>
  <si>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</si>
  <si>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</si>
  <si>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</si>
  <si>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</si>
  <si>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</si>
  <si>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</si>
  <si>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</si>
  <si>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</si>
  <si>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</si>
  <si>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</si>
  <si>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</si>
  <si>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</si>
  <si>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</si>
  <si>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</si>
  <si>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</si>
  <si>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</si>
  <si>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</si>
  <si>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</si>
  <si>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</si>
  <si>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</si>
  <si>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</si>
  <si>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</si>
  <si>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</si>
  <si>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</si>
  <si>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</si>
  <si>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</si>
  <si>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</si>
  <si>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</si>
  <si>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</si>
  <si>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</si>
  <si>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</si>
  <si>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</si>
  <si>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</si>
  <si>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</si>
  <si>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</si>
  <si>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</si>
  <si>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</si>
  <si>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</si>
  <si>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</si>
  <si>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</si>
  <si>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</si>
  <si>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</si>
  <si>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</si>
  <si>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</si>
  <si>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</si>
  <si>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</si>
  <si>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</si>
  <si>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</si>
  <si>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</si>
  <si>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</si>
  <si>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</si>
  <si>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</si>
  <si>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</si>
  <si>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</si>
  <si>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</si>
  <si>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</si>
  <si>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</si>
  <si>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</si>
  <si>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</si>
  <si>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</si>
  <si>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</si>
  <si>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</si>
  <si>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</si>
  <si>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</si>
  <si>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</si>
  <si>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</si>
  <si>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</si>
  <si>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</si>
  <si>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</si>
  <si>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</si>
  <si>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</si>
  <si>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</si>
  <si>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</si>
  <si>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</si>
  <si>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</si>
  <si>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</si>
  <si>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</si>
  <si>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</si>
  <si>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</si>
  <si>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</si>
  <si>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</si>
  <si>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</si>
  <si>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</si>
  <si>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</si>
  <si>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</si>
  <si>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</si>
  <si>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</si>
  <si>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</si>
  <si>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</si>
  <si>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</si>
  <si>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</si>
  <si>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</si>
  <si>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</si>
  <si>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</si>
  <si>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</si>
  <si>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</si>
  <si>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</si>
  <si>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</si>
  <si>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</si>
  <si>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</si>
  <si>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</si>
  <si>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</si>
  <si>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</si>
  <si>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</si>
  <si>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</si>
  <si>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</si>
  <si>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</si>
  <si>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</si>
  <si>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</si>
  <si>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</si>
  <si>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</si>
  <si>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</si>
  <si>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</si>
  <si>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</si>
  <si>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</si>
  <si>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</si>
  <si>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</si>
  <si>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</si>
  <si>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</si>
  <si>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</si>
  <si>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</si>
  <si>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</si>
  <si>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</si>
  <si>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</si>
  <si>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</si>
  <si>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</si>
  <si>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</si>
  <si>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</si>
  <si>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</si>
  <si>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</si>
  <si>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</si>
  <si>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</si>
  <si>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</si>
  <si>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</si>
  <si>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</si>
  <si>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</si>
  <si>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</si>
  <si>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</si>
  <si>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</si>
  <si>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</si>
  <si>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</si>
  <si>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</si>
  <si>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</si>
  <si>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</si>
  <si>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</si>
  <si>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</si>
  <si>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</si>
  <si>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</si>
  <si>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</si>
  <si>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</si>
  <si>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</si>
  <si>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</si>
  <si>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</si>
  <si>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</si>
  <si>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</si>
  <si>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</si>
  <si>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</si>
  <si>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</si>
  <si>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</si>
  <si>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</si>
  <si>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</si>
  <si>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</si>
  <si>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</si>
  <si>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</si>
  <si>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</si>
  <si>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</si>
  <si>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</si>
  <si>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</si>
  <si>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</si>
  <si>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</si>
  <si>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</si>
  <si>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</si>
  <si>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</si>
  <si>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</si>
  <si>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</si>
  <si>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</si>
  <si>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</si>
  <si>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</si>
  <si>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</si>
  <si>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</si>
  <si>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</si>
  <si>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</si>
  <si>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</si>
  <si>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</si>
  <si>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</si>
  <si>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</si>
  <si>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</si>
  <si>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</si>
  <si>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</si>
  <si>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</si>
  <si>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</si>
  <si>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</si>
  <si>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</si>
  <si>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</si>
  <si>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</si>
  <si>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</si>
  <si>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</si>
  <si>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</si>
  <si>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</si>
  <si>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</si>
  <si>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</si>
  <si>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</si>
  <si>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</si>
  <si>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</si>
  <si>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</si>
  <si>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</si>
  <si>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</si>
  <si>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</si>
  <si>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</si>
  <si>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</si>
  <si>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</si>
  <si>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</si>
  <si>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</si>
  <si>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</si>
  <si>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</si>
  <si>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</si>
  <si>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</si>
  <si>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</si>
  <si>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</si>
  <si>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</si>
  <si>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</si>
  <si>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</si>
  <si>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</si>
  <si>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</si>
  <si>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</si>
  <si>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</si>
  <si>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</si>
  <si>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</si>
  <si>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</si>
  <si>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</si>
  <si>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</si>
  <si>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</si>
  <si>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</si>
  <si>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</si>
  <si>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</si>
  <si>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</si>
  <si>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</si>
  <si>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</si>
  <si>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</si>
  <si>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</si>
  <si>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</si>
  <si>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</si>
  <si>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</si>
  <si>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</si>
  <si>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</si>
  <si>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</si>
  <si>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</si>
  <si>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</si>
  <si>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</si>
  <si>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</si>
  <si>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</si>
  <si>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</si>
  <si>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</si>
  <si>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</si>
  <si>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</si>
  <si>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</si>
  <si>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</si>
  <si>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</si>
  <si>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</si>
  <si>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</si>
  <si>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</si>
  <si>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</si>
  <si>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</si>
  <si>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</si>
  <si>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</si>
  <si>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</si>
  <si>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</si>
  <si>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</si>
  <si>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</si>
  <si>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</si>
  <si>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</si>
  <si>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</si>
  <si>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</si>
  <si>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</si>
  <si>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</si>
  <si>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</si>
  <si>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</si>
  <si>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</si>
  <si>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</si>
  <si>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</si>
  <si>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</si>
  <si>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</si>
  <si>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</si>
  <si>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</si>
  <si>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</si>
  <si>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</si>
  <si>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</si>
  <si>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</si>
  <si>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</si>
  <si>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</si>
  <si>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</si>
  <si>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</si>
  <si>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</si>
  <si>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</si>
  <si>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</si>
  <si>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</si>
  <si>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</si>
  <si>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</si>
  <si>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</si>
  <si>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</si>
  <si>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</si>
  <si>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</si>
  <si>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</si>
  <si>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</si>
  <si>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</si>
  <si>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</si>
  <si>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</si>
  <si>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</si>
  <si>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</si>
  <si>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</si>
  <si>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</si>
  <si>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</si>
  <si>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</si>
  <si>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</si>
  <si>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</si>
  <si>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</si>
  <si>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</si>
  <si>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</si>
  <si>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</si>
  <si>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</si>
  <si>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</si>
  <si>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</si>
  <si>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</si>
  <si>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</si>
  <si>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</si>
  <si>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</si>
  <si>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</si>
  <si>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</si>
  <si>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</si>
  <si>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</si>
  <si>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</si>
  <si>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</si>
  <si>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</si>
  <si>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</si>
  <si>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</si>
  <si>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</si>
  <si>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</si>
  <si>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</si>
  <si>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</si>
  <si>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</si>
  <si>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</si>
  <si>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</si>
  <si>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</si>
  <si>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</si>
  <si>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</si>
  <si>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</si>
  <si>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</si>
  <si>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</si>
  <si>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</si>
  <si>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</si>
  <si>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</si>
  <si>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</si>
  <si>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</si>
  <si>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</si>
  <si>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</si>
  <si>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</si>
  <si>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</si>
  <si>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</si>
  <si>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</si>
  <si>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</si>
  <si>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</si>
  <si>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</si>
  <si>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</si>
  <si>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</si>
  <si>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</si>
  <si>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</si>
  <si>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</si>
  <si>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</si>
  <si>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</si>
  <si>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</si>
  <si>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</si>
  <si>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</si>
  <si>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</si>
  <si>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</si>
  <si>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</si>
  <si>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</si>
  <si>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</si>
  <si>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</si>
  <si>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</si>
  <si>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</si>
  <si>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</si>
  <si>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</si>
  <si>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</si>
  <si>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</si>
  <si>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</si>
  <si>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</si>
  <si>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</si>
  <si>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</si>
  <si>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</si>
  <si>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</si>
  <si>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</si>
  <si>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</si>
  <si>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</si>
  <si>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</si>
  <si>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</si>
  <si>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</si>
  <si>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</si>
  <si>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</si>
  <si>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</si>
  <si>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</si>
  <si>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</si>
  <si>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</si>
  <si>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</si>
  <si>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</si>
  <si>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</si>
  <si>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</si>
  <si>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</si>
  <si>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</si>
  <si>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</si>
  <si>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</si>
  <si>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</si>
  <si>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</si>
  <si>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</si>
  <si>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</si>
  <si>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</si>
  <si>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</si>
  <si>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</si>
  <si>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</si>
  <si>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</si>
  <si>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</si>
  <si>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</si>
  <si>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</si>
  <si>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</si>
  <si>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</si>
  <si>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</si>
  <si>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</si>
  <si>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</si>
  <si>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</si>
  <si>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</si>
  <si>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</si>
  <si>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</si>
  <si>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</si>
  <si>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</si>
  <si>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</si>
  <si>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</si>
  <si>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</si>
  <si>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</si>
  <si>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</si>
  <si>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</si>
  <si>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</si>
  <si>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</si>
  <si>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</si>
  <si>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</si>
  <si>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</si>
  <si>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</si>
  <si>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</si>
  <si>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</si>
  <si>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</si>
  <si>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</si>
  <si>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</si>
  <si>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</si>
  <si>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</si>
  <si>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</si>
  <si>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</si>
  <si>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</si>
  <si>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</si>
  <si>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</si>
  <si>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</si>
  <si>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</si>
  <si>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</si>
  <si>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</si>
  <si>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</si>
  <si>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</si>
  <si>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</si>
  <si>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</si>
  <si>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</si>
  <si>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</si>
  <si>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</si>
  <si>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</si>
  <si>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</si>
  <si>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</si>
  <si>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</si>
  <si>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</si>
  <si>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</si>
  <si>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</si>
  <si>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</si>
  <si>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</si>
  <si>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</si>
  <si>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</si>
  <si>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</si>
  <si>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</si>
  <si>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</si>
  <si>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</si>
  <si>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</si>
  <si>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</si>
  <si>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</si>
  <si>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</si>
  <si>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</si>
  <si>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</si>
  <si>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</si>
  <si>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</si>
  <si>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</si>
  <si>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</si>
  <si>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</si>
  <si>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</si>
  <si>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</si>
  <si>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</si>
  <si>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</si>
  <si>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</si>
  <si>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</si>
  <si>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</si>
  <si>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</si>
  <si>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</si>
  <si>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</si>
  <si>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</si>
  <si>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</si>
  <si>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</si>
  <si>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</si>
  <si>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</si>
  <si>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</si>
  <si>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</si>
  <si>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</si>
  <si>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</si>
  <si>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</si>
  <si>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</si>
  <si>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</si>
  <si>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</si>
  <si>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</si>
  <si>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</si>
  <si>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</si>
  <si>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</si>
  <si>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</si>
  <si>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</si>
  <si>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</si>
  <si>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</si>
  <si>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</si>
  <si>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</si>
  <si>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</si>
  <si>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</si>
  <si>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</si>
  <si>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</si>
  <si>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</si>
  <si>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</si>
  <si>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</si>
  <si>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</si>
  <si>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</si>
  <si>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</si>
  <si>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</si>
  <si>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</si>
  <si>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</si>
  <si>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</si>
  <si>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</si>
  <si>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</si>
  <si>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</si>
  <si>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</si>
  <si>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</si>
  <si>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</si>
  <si>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</si>
  <si>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</si>
  <si>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</si>
  <si>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</si>
  <si>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</si>
  <si>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</si>
  <si>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</si>
  <si>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</si>
  <si>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</si>
  <si>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</si>
  <si>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</si>
  <si>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</si>
  <si>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</si>
  <si>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</si>
  <si>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</si>
  <si>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</si>
  <si>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</si>
  <si>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</si>
  <si>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</si>
  <si>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</si>
  <si>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</si>
  <si>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</si>
  <si>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</si>
  <si>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</si>
  <si>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</si>
  <si>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</si>
  <si>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</si>
  <si>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</si>
  <si>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</si>
  <si>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</si>
  <si>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</si>
  <si>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</si>
  <si>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</si>
  <si>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</si>
  <si>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</si>
  <si>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</si>
  <si>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</si>
  <si>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</si>
  <si>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</si>
  <si>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</si>
  <si>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</si>
  <si>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Completed within past 5 years in CA</t>
  </si>
  <si>
    <t>If no, provide explanation:</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</si>
  <si>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</si>
  <si>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</si>
  <si>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</si>
  <si>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</si>
  <si>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</si>
  <si>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</si>
  <si>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</si>
  <si>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</si>
  <si>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</si>
  <si>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</si>
  <si>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</si>
  <si>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</si>
  <si>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</si>
  <si>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</si>
  <si>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</si>
  <si>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</si>
  <si>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</si>
  <si>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</si>
  <si>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</si>
  <si>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</si>
  <si>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</si>
  <si>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</si>
  <si>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</si>
  <si>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</si>
  <si>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</si>
  <si>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</si>
  <si>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</si>
  <si>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</si>
  <si>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</si>
  <si>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</si>
  <si>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</si>
  <si>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</si>
  <si>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</si>
  <si>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</si>
  <si>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</si>
  <si>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</si>
  <si>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</si>
  <si>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</si>
  <si>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</si>
  <si>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</si>
  <si>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</si>
  <si>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</si>
  <si>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</si>
  <si>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</si>
  <si>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</si>
  <si>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</si>
  <si>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</si>
  <si>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</si>
  <si>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</si>
  <si>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</si>
  <si>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</si>
  <si>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</si>
  <si>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</si>
  <si>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</si>
  <si>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</si>
  <si>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</si>
  <si>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</si>
  <si>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</si>
  <si>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</si>
  <si>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</si>
  <si>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</si>
  <si>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</si>
  <si>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</si>
  <si>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</si>
  <si>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</si>
  <si>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</si>
  <si>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</si>
  <si>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</si>
  <si>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</si>
  <si>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</si>
  <si>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</si>
  <si>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</si>
  <si>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</si>
  <si>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</si>
  <si>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</si>
  <si>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</si>
  <si>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</si>
  <si>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</si>
  <si>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</si>
  <si>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</si>
  <si>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</si>
  <si>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</si>
  <si>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</si>
  <si>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</si>
  <si>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</si>
  <si>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</si>
  <si>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</si>
  <si>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</si>
  <si>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</si>
  <si>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</si>
  <si>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</si>
  <si>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</si>
  <si>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</si>
  <si>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</si>
  <si>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</si>
  <si>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</si>
  <si>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</si>
  <si>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</si>
  <si>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</si>
  <si>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</si>
  <si>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</si>
  <si>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</si>
  <si>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</si>
  <si>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</si>
  <si>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</si>
  <si>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</si>
  <si>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</si>
  <si>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</si>
  <si>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</si>
  <si>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</si>
  <si>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</si>
  <si>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</si>
  <si>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</si>
  <si>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</si>
  <si>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</si>
  <si>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</si>
  <si>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</si>
  <si>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</si>
  <si>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</si>
  <si>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</si>
  <si>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</si>
  <si>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</si>
  <si>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</si>
  <si>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</si>
  <si>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</si>
  <si>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</si>
  <si>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</si>
  <si>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</si>
  <si>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</si>
  <si>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</si>
  <si>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</si>
  <si>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</si>
  <si>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</si>
  <si>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</si>
  <si>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</si>
  <si>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</si>
  <si>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</si>
  <si>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</si>
  <si>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</si>
  <si>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</si>
  <si>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</si>
  <si>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</si>
  <si>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</si>
  <si>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</si>
  <si>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</si>
  <si>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</si>
  <si>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</si>
  <si>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</si>
  <si>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</si>
  <si>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</si>
  <si>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</si>
  <si>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</si>
  <si>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</si>
  <si>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</si>
  <si>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</si>
  <si>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</si>
  <si>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</si>
  <si>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</si>
  <si>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</si>
  <si>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</si>
  <si>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</si>
  <si>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</si>
  <si>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</si>
  <si>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</si>
  <si>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</si>
  <si>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</si>
  <si>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</si>
  <si>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</si>
  <si>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</si>
  <si>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</si>
  <si>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</si>
  <si>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</si>
  <si>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</si>
  <si>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</si>
  <si>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</si>
  <si>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</si>
  <si>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</si>
  <si>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</si>
  <si>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</si>
  <si>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</si>
  <si>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</si>
  <si>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</si>
  <si>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</si>
  <si>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</si>
  <si>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</si>
  <si>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</si>
  <si>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</si>
  <si>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</si>
  <si>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</si>
  <si>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</si>
  <si>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</si>
  <si>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</si>
  <si>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</si>
  <si>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</si>
  <si>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</si>
  <si>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</si>
  <si>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</si>
  <si>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</si>
  <si>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</si>
  <si>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</si>
  <si>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</si>
  <si>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</si>
  <si>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</si>
  <si>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</si>
  <si>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</si>
  <si>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</si>
  <si>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</si>
  <si>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</si>
  <si>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</si>
  <si>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</si>
  <si>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</si>
  <si>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</si>
  <si>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</si>
  <si>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</si>
  <si>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</si>
  <si>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</si>
  <si>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</si>
  <si>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</si>
  <si>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</si>
  <si>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</si>
  <si>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</si>
  <si>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</si>
  <si>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</si>
  <si>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</si>
  <si>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</si>
  <si>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</si>
  <si>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</si>
  <si>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</si>
  <si>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</si>
  <si>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</si>
  <si>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</si>
  <si>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</si>
  <si>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</si>
  <si>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</si>
  <si>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</si>
  <si>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</si>
  <si>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</si>
  <si>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</si>
  <si>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</si>
  <si>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</si>
  <si>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</si>
  <si>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</si>
  <si>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</si>
  <si>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</si>
  <si>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</si>
  <si>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</si>
  <si>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</si>
  <si>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</si>
  <si>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</si>
  <si>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</si>
  <si>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</si>
  <si>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</si>
  <si>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</si>
  <si>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</si>
  <si>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</si>
  <si>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</si>
  <si>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</si>
  <si>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</si>
  <si>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</si>
  <si>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</si>
  <si>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</si>
  <si>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</si>
  <si>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</si>
  <si>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</si>
  <si>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</si>
  <si>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</si>
  <si>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</si>
  <si>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</si>
  <si>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</si>
  <si>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</si>
  <si>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</si>
  <si>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</si>
  <si>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</si>
  <si>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</si>
  <si>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</si>
  <si>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</si>
  <si>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</si>
  <si>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</si>
  <si>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</si>
  <si>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</si>
  <si>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</si>
  <si>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</si>
  <si>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</si>
  <si>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</si>
  <si>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</si>
  <si>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</si>
  <si>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</si>
  <si>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</si>
  <si>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</si>
  <si>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</si>
  <si>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</si>
  <si>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</si>
  <si>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</si>
  <si>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</si>
  <si>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</si>
  <si>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</si>
  <si>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</si>
  <si>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</si>
  <si>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</si>
  <si>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</si>
  <si>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</si>
  <si>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</si>
  <si>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</si>
  <si>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</si>
  <si>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</si>
  <si>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</si>
  <si>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</si>
  <si>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</si>
  <si>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</si>
  <si>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</si>
  <si>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</si>
  <si>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</si>
  <si>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</si>
  <si>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</si>
  <si>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</si>
  <si>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</si>
  <si>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</si>
  <si>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</si>
  <si>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</si>
  <si>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</si>
  <si>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</si>
  <si>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</si>
  <si>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</si>
  <si>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</si>
  <si>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</si>
  <si>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</si>
  <si>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</si>
  <si>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</si>
  <si>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</si>
  <si>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</si>
  <si>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</si>
  <si>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</si>
  <si>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</si>
  <si>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</si>
  <si>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</si>
  <si>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</si>
  <si>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</si>
  <si>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</si>
  <si>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</si>
  <si>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</si>
  <si>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</si>
  <si>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</si>
  <si>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</si>
  <si>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</si>
  <si>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</si>
  <si>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</si>
  <si>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</si>
  <si>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</si>
  <si>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</si>
  <si>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</si>
  <si>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</si>
  <si>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</si>
  <si>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</si>
  <si>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</si>
  <si>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</si>
  <si>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</si>
  <si>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</si>
  <si>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Aloe Palm Canyon, L.P.</t>
  </si>
  <si>
    <t>Aloe Palm Canyon</t>
  </si>
  <si>
    <t>City of Palm Springs</t>
  </si>
  <si>
    <t>Teresa Gallavan</t>
  </si>
  <si>
    <t>3200 E Tahquits Canyon Way</t>
  </si>
  <si>
    <t>Palm Springs</t>
  </si>
  <si>
    <t>760-322-8380</t>
  </si>
  <si>
    <t>760-323-8207</t>
  </si>
  <si>
    <t>Teresa.Gallavan@palmspringsca.gov</t>
  </si>
  <si>
    <t>1475 N. Palm Canyon Drive</t>
  </si>
  <si>
    <t>505-182-010
505-182-004</t>
  </si>
  <si>
    <t>$500M</t>
  </si>
  <si>
    <t>40%/60% Average Income</t>
  </si>
  <si>
    <t>7530 Santa Monica Blvd</t>
  </si>
  <si>
    <t>West Hollywood</t>
  </si>
  <si>
    <t>CA</t>
  </si>
  <si>
    <t>Sergio Rosas</t>
  </si>
  <si>
    <t>323-650-8771</t>
  </si>
  <si>
    <t>323-650-4745</t>
  </si>
  <si>
    <t>sergio@whchc.org</t>
  </si>
  <si>
    <t>West Hollywood Communty Housing Corporation</t>
  </si>
  <si>
    <t>Managing GP</t>
  </si>
  <si>
    <t>General Partner</t>
  </si>
  <si>
    <t>West Hollywood, CA 90046</t>
  </si>
  <si>
    <t>64North</t>
  </si>
  <si>
    <t>719 N. Fairfax Avenue Suite C</t>
  </si>
  <si>
    <t>Los Angeles, CA 90046</t>
  </si>
  <si>
    <t>Wil Carson</t>
  </si>
  <si>
    <t>310-919-0919</t>
  </si>
  <si>
    <t>310-933-0550</t>
  </si>
  <si>
    <t>carson@64north.com</t>
  </si>
  <si>
    <t>Gubb &amp; Barshay LLp</t>
  </si>
  <si>
    <t>235 Montgomery Street, Suite 1110</t>
  </si>
  <si>
    <t>San Francisco, CA 94104</t>
  </si>
  <si>
    <t>Nicole Kline</t>
  </si>
  <si>
    <t>415-781-6600</t>
  </si>
  <si>
    <t>415-781-6967</t>
  </si>
  <si>
    <t>nkline@gubbandbarshay.com</t>
  </si>
  <si>
    <t>TBD</t>
  </si>
  <si>
    <t>Levitt &amp; Rosenblum</t>
  </si>
  <si>
    <t>10801 National Blvd. Ste. 604</t>
  </si>
  <si>
    <t>Los Angeles, CA 90064</t>
  </si>
  <si>
    <t>Jeff Rosenblum</t>
  </si>
  <si>
    <t>310-441-1233</t>
  </si>
  <si>
    <t>310-441-7995</t>
  </si>
  <si>
    <t>jeff@levittandrosenblum.com</t>
  </si>
  <si>
    <t>Partner Energy</t>
  </si>
  <si>
    <t>680 Knox St. Suite 150</t>
  </si>
  <si>
    <t>Los Angeles, CA 90502</t>
  </si>
  <si>
    <t>Kyle Brumfitt</t>
  </si>
  <si>
    <t>310-622-8854</t>
  </si>
  <si>
    <t>310-862-2399</t>
  </si>
  <si>
    <t xml:space="preserve">kbrumfitt@ptrenergy.com </t>
  </si>
  <si>
    <t>Enterprise</t>
  </si>
  <si>
    <t>700 Flower Street</t>
  </si>
  <si>
    <t>Los Angeles, CA 90017</t>
  </si>
  <si>
    <t>Regan Maechling</t>
  </si>
  <si>
    <t>213-787-8238</t>
  </si>
  <si>
    <t>rmaechling@enterprisecommunity.com</t>
  </si>
  <si>
    <t>Veloce Partners Inc.</t>
  </si>
  <si>
    <t>10 Hampshire Court</t>
  </si>
  <si>
    <t>Ladera Ranch, CA 92694</t>
  </si>
  <si>
    <t>David Nahas</t>
  </si>
  <si>
    <t>949-510-6552</t>
  </si>
  <si>
    <t>dnahas@velocepartners.com</t>
  </si>
  <si>
    <t>M.E. Shay &amp; Co</t>
  </si>
  <si>
    <t>1724 10th Street, Suite 110</t>
  </si>
  <si>
    <t>Sacramento, CA 95811</t>
  </si>
  <si>
    <t>Mary Ellen Shay</t>
  </si>
  <si>
    <t>916-444-0288</t>
  </si>
  <si>
    <t>916-444-3408</t>
  </si>
  <si>
    <t>meshay@meshayco.com</t>
  </si>
  <si>
    <t>Michael Popwell Associates, Inc.</t>
  </si>
  <si>
    <t>2345 Zorada Court</t>
  </si>
  <si>
    <t>Michael Popwell</t>
  </si>
  <si>
    <t>323-874-2384</t>
  </si>
  <si>
    <t>michael@mpopwell.com</t>
  </si>
  <si>
    <t>CalHFA</t>
  </si>
  <si>
    <t>500 Capitol Mall, Suite 400, MS 990</t>
  </si>
  <si>
    <t>Sacramento, CA 95814</t>
  </si>
  <si>
    <t>Ashley Carroll</t>
  </si>
  <si>
    <t>916-326-8810</t>
  </si>
  <si>
    <t>916-326-6430</t>
  </si>
  <si>
    <t>acarroll@CalHFA.ca.gov</t>
  </si>
  <si>
    <t>Barker Management Incorporated</t>
  </si>
  <si>
    <t>1101 E. Orangewood Avenue</t>
  </si>
  <si>
    <t>Anaheim, CA 92805</t>
  </si>
  <si>
    <t>Tracy Jauregui</t>
  </si>
  <si>
    <t>714-533-3450</t>
  </si>
  <si>
    <t>TJauregui@barkermgt.com</t>
  </si>
  <si>
    <t>City of Palm Springs / Redevelopment Agency</t>
  </si>
  <si>
    <t>Jay Virata</t>
  </si>
  <si>
    <t>Director of Economic Development</t>
  </si>
  <si>
    <t>3200 E Tahquitz Canyon Way</t>
  </si>
  <si>
    <t>Palm Springs, CA 92262</t>
  </si>
  <si>
    <t>Interim City Manager</t>
  </si>
  <si>
    <t>760-322-8362</t>
  </si>
  <si>
    <t>None</t>
  </si>
  <si>
    <t>Inner City Infill Site</t>
  </si>
  <si>
    <t>Mixed Use/Multi-Use</t>
  </si>
  <si>
    <t>C-1/R2 - 30 Units per Acre - 53 Total</t>
  </si>
  <si>
    <t>R-2 - 40.5 Units per Acre - 71 Total (Density bonus already approved)</t>
  </si>
  <si>
    <t xml:space="preserve">"TOC density bonus includes income restrictions recorded 
against the property"																		
																		</t>
  </si>
  <si>
    <t>41' for C-1, 35' for R-2 (with Density Bonus)</t>
  </si>
  <si>
    <t>1/2 Space Per Bedroom</t>
  </si>
  <si>
    <t>HCD - No Place Like Home</t>
  </si>
  <si>
    <t>HACR PBV</t>
  </si>
  <si>
    <t>City of Palm Springs Loan</t>
  </si>
  <si>
    <t>Chase - Construction Loan</t>
  </si>
  <si>
    <t>Chase Taxable Tail Construction Loan</t>
  </si>
  <si>
    <t>Permanent Local Housing Allocation</t>
  </si>
  <si>
    <t>Enterprise Tax Credit Equity</t>
  </si>
  <si>
    <t>Affordable Housing Program</t>
  </si>
  <si>
    <t>Deferred Costs</t>
  </si>
  <si>
    <t>Variable</t>
  </si>
  <si>
    <t>Fixed</t>
  </si>
  <si>
    <t>300 S. Grand Ave, Suite 300</t>
  </si>
  <si>
    <t>Eri Kameyama</t>
  </si>
  <si>
    <t>213-621-8310</t>
  </si>
  <si>
    <t>Construction Loan Tax Exempt</t>
  </si>
  <si>
    <t>SOFR</t>
  </si>
  <si>
    <t>Taxable Tail Construction Loan</t>
  </si>
  <si>
    <t>3200 E. Tahquitz Canyon Way</t>
  </si>
  <si>
    <t>760-323-8228</t>
  </si>
  <si>
    <t>Residual Receipts</t>
  </si>
  <si>
    <t>Reagan Maechling</t>
  </si>
  <si>
    <t>213-787-8328</t>
  </si>
  <si>
    <t>Equity</t>
  </si>
  <si>
    <t>600 California St. Ste. 300</t>
  </si>
  <si>
    <t>Alyssa Thunberg</t>
  </si>
  <si>
    <t>415-616-2687</t>
  </si>
  <si>
    <t>FHLBSF AHP</t>
  </si>
  <si>
    <t>Deferred Fee</t>
  </si>
  <si>
    <t>Permanent Loan</t>
  </si>
  <si>
    <t>2020 W. El Camino Avenue, Suite 670</t>
  </si>
  <si>
    <t>Aaron New</t>
  </si>
  <si>
    <t>916-263-2742</t>
  </si>
  <si>
    <t>Affordable housing Program</t>
  </si>
  <si>
    <t>Air Conditioning</t>
  </si>
  <si>
    <t>Housing Authority of the County of Riverside</t>
  </si>
  <si>
    <t>Real Page Software</t>
  </si>
  <si>
    <t>Business License Tax</t>
  </si>
  <si>
    <t>Bond/Trustee Loan Monitoring Fees</t>
  </si>
  <si>
    <t>Riverside County Loan Monitoring Fees</t>
  </si>
  <si>
    <t>Asset Management Fee</t>
  </si>
  <si>
    <t>Managing General Partner Fee</t>
  </si>
  <si>
    <t>Benefits &amp; Compensation</t>
  </si>
  <si>
    <t>HACR</t>
  </si>
  <si>
    <t>Project-based vouchers (PBVs)</t>
  </si>
  <si>
    <t>Bank Inspector</t>
  </si>
  <si>
    <t>Transaction Legal Fees</t>
  </si>
  <si>
    <t>Construction Mgmt, Deputy Inspections &amp; Security</t>
  </si>
  <si>
    <t>Green Building Certification &amp; ACBCI Monitoring</t>
  </si>
  <si>
    <t>Lease Up Expense &amp; Syndication Consulting</t>
  </si>
  <si>
    <t>West Hollywood Community Housing Corporation</t>
  </si>
  <si>
    <t>Barker Management, Incorporated</t>
  </si>
  <si>
    <t>1 bedroom</t>
  </si>
  <si>
    <t>HACR - PBVs</t>
  </si>
  <si>
    <t>4th</t>
  </si>
  <si>
    <t>5th</t>
  </si>
  <si>
    <t>6th</t>
  </si>
  <si>
    <t>7th</t>
  </si>
  <si>
    <t>Riverside University Health System</t>
  </si>
  <si>
    <t>Desert AIDS Project</t>
  </si>
  <si>
    <t>WHCHC will provide one resident service coordinator to serve the 44 affordable senior units. The role of the WHCHC RSC(s) is to provide residential stability and provide residents with the tools they need to live a healthy life as they Age-in-Place. Paid from cash flow.</t>
  </si>
  <si>
    <t>DAP will provide approximately one full-time equivalent resident services coordinator (RSC) who will assess resident’s needs, link them to critical resources, and provide lifelong learning and cultural enrichment programs. Paid from cash flow.</t>
  </si>
  <si>
    <t>Specialized case management services that focus on support for those with special needs unique to the formerly homeless and those with physical and mental health challenges. Paid by RUHS outside of cashflow</t>
  </si>
  <si>
    <t>Aloe Palm Canyon will seek LEED for Homes Gold. Sustainable features include rooftop and surface parking-shed 
solar, solar heated hot water, exceeding Title 24 energy standards by 15%, energy star appliances, drought-tolerant and native plantings, low-flow plumbing fixtures, no VOC interior paint, CRI green label carpeting, and formaldehyde-free composite wood materials.</t>
  </si>
  <si>
    <t>A general contractor has not been selected for construction phase.</t>
  </si>
  <si>
    <t>Pre-construction agreement</t>
  </si>
  <si>
    <t>Not Applicable</t>
  </si>
  <si>
    <t>Geotechnical</t>
  </si>
  <si>
    <t>Phase One</t>
  </si>
  <si>
    <t>Phase I Cultural &amp; Paleontological Resources Assessment</t>
  </si>
  <si>
    <t>Not applicable</t>
  </si>
  <si>
    <t>Jesse Slansky</t>
  </si>
  <si>
    <t>President &amp; CEO</t>
  </si>
  <si>
    <t>Aloe Palm Canyon LLC</t>
  </si>
  <si>
    <t>January</t>
  </si>
  <si>
    <t>Wet Hollywood</t>
  </si>
  <si>
    <t>, 2023 at</t>
  </si>
  <si>
    <t>GP Equity</t>
  </si>
  <si>
    <t>Chase - Permanent Loan</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</si>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</sst>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7">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3" fillId="0" borderId="0"/>
  </cellStyleXfs>
  <cellXfs count="335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0" fillId="0" borderId="0" xfId="0" applyFont="1"/>
    <xf numFmtId="0" fontId="13" fillId="0" borderId="0" xfId="0" applyFont="1"/>
    <xf numFmtId="0" fontId="22" fillId="0" borderId="0" xfId="0" applyFont="1" applyProtection="1"/>
    <xf numFmtId="0" fontId="0" fillId="0" borderId="4" xfId="0" applyBorder="1"/>
    <xf numFmtId="0" fontId="0" fillId="0" borderId="0" xfId="0" applyAlignment="1"/>
    <xf numFmtId="0" fontId="22" fillId="0" borderId="0" xfId="0" applyFont="1" applyAlignment="1">
      <alignment horizontal="center"/>
    </xf>
    <xf numFmtId="0" fontId="13"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0" fillId="0" borderId="4" xfId="0" applyFont="1" applyBorder="1"/>
    <xf numFmtId="164" fontId="0" fillId="0" borderId="0" xfId="0" applyNumberFormat="1" applyFill="1" applyBorder="1" applyAlignment="1" applyProtection="1">
      <alignment horizontal="right"/>
    </xf>
    <xf numFmtId="0" fontId="22"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13" fillId="0" borderId="0" xfId="543" applyFont="1" applyAlignment="1" applyProtection="1"/>
    <xf numFmtId="0" fontId="13" fillId="0" borderId="0" xfId="0" applyFont="1" applyFill="1"/>
    <xf numFmtId="0" fontId="20" fillId="0" borderId="0" xfId="0" applyFont="1" applyAlignment="1" applyProtection="1">
      <alignment horizontal="center"/>
    </xf>
    <xf numFmtId="0" fontId="22" fillId="0" borderId="0" xfId="0" applyFont="1" applyAlignment="1" applyProtection="1">
      <alignment horizontal="left" vertical="top" wrapText="1"/>
    </xf>
    <xf numFmtId="0" fontId="0" fillId="0" borderId="0" xfId="0" applyBorder="1" applyProtection="1"/>
    <xf numFmtId="0" fontId="28" fillId="0" borderId="0" xfId="0" applyFont="1" applyProtection="1"/>
    <xf numFmtId="0" fontId="21" fillId="0" borderId="0" xfId="0" applyFont="1" applyAlignment="1" applyProtection="1">
      <alignment vertical="top"/>
    </xf>
    <xf numFmtId="0" fontId="21" fillId="0" borderId="0" xfId="0" applyFont="1" applyAlignment="1" applyProtection="1">
      <alignment vertical="top" wrapText="1"/>
    </xf>
    <xf numFmtId="0" fontId="22" fillId="0" borderId="0" xfId="0" applyFont="1" applyAlignment="1" applyProtection="1">
      <alignment horizontal="left" indent="4"/>
    </xf>
    <xf numFmtId="0" fontId="22" fillId="0" borderId="0" xfId="0" applyFont="1" applyAlignment="1" applyProtection="1"/>
    <xf numFmtId="0" fontId="21" fillId="0" borderId="0" xfId="0" applyFont="1" applyAlignment="1" applyProtection="1">
      <alignment horizontal="left" vertical="top"/>
    </xf>
    <xf numFmtId="0" fontId="0" fillId="0" borderId="0" xfId="0" applyAlignment="1" applyProtection="1"/>
    <xf numFmtId="0" fontId="21" fillId="0" borderId="0" xfId="0" applyFont="1" applyAlignment="1" applyProtection="1">
      <alignment horizontal="left"/>
    </xf>
    <xf numFmtId="0" fontId="21" fillId="0" borderId="0" xfId="0" applyFont="1" applyAlignment="1" applyProtection="1"/>
    <xf numFmtId="0" fontId="21" fillId="0" borderId="0" xfId="0" applyFont="1" applyProtection="1"/>
    <xf numFmtId="0" fontId="33" fillId="0" borderId="0" xfId="543" applyFont="1" applyFill="1" applyProtection="1"/>
    <xf numFmtId="0" fontId="20" fillId="0" borderId="0" xfId="0" applyFont="1" applyFill="1" applyBorder="1" applyProtection="1"/>
    <xf numFmtId="1" fontId="21" fillId="0" borderId="0" xfId="0" applyNumberFormat="1" applyFont="1" applyBorder="1" applyAlignment="1" applyProtection="1">
      <alignment horizontal="left"/>
    </xf>
    <xf numFmtId="0" fontId="0" fillId="0" borderId="0" xfId="0" applyFill="1" applyProtection="1"/>
    <xf numFmtId="0" fontId="23" fillId="0" borderId="0" xfId="0" applyFont="1" applyProtection="1"/>
    <xf numFmtId="1" fontId="21" fillId="0" borderId="0" xfId="0" applyNumberFormat="1" applyFont="1" applyBorder="1" applyAlignment="1" applyProtection="1">
      <alignment horizontal="right"/>
    </xf>
    <xf numFmtId="0" fontId="0" fillId="0" borderId="0" xfId="0" applyBorder="1" applyAlignment="1" applyProtection="1">
      <alignment horizontal="right"/>
    </xf>
    <xf numFmtId="1" fontId="21" fillId="0" borderId="0" xfId="0" applyNumberFormat="1" applyFont="1" applyFill="1" applyBorder="1" applyAlignment="1" applyProtection="1">
      <alignment horizontal="left"/>
    </xf>
    <xf numFmtId="0" fontId="0" fillId="0" borderId="0" xfId="0" applyBorder="1" applyAlignment="1" applyProtection="1">
      <alignment horizontal="left"/>
    </xf>
    <xf numFmtId="0" fontId="21" fillId="0" borderId="0" xfId="0" applyFont="1" applyBorder="1" applyAlignment="1" applyProtection="1">
      <alignment horizontal="left"/>
    </xf>
    <xf numFmtId="0" fontId="21" fillId="0" borderId="0" xfId="0" applyFont="1" applyFill="1" applyBorder="1" applyAlignment="1" applyProtection="1">
      <alignment horizontal="left"/>
    </xf>
    <xf numFmtId="0" fontId="32" fillId="0" borderId="0" xfId="0" applyFont="1" applyBorder="1" applyProtection="1"/>
    <xf numFmtId="0" fontId="25" fillId="0" borderId="0" xfId="0" applyFont="1" applyBorder="1" applyProtection="1"/>
    <xf numFmtId="0" fontId="20" fillId="0" borderId="0" xfId="0" applyFont="1" applyBorder="1" applyProtection="1"/>
    <xf numFmtId="0" fontId="20" fillId="0" borderId="0" xfId="0" applyFont="1" applyProtection="1"/>
    <xf numFmtId="0" fontId="13" fillId="0" borderId="0" xfId="543" applyFont="1" applyProtection="1"/>
    <xf numFmtId="172" fontId="13" fillId="0" borderId="0" xfId="543" applyNumberFormat="1" applyFont="1" applyAlignment="1" applyProtection="1"/>
    <xf numFmtId="9" fontId="13" fillId="0" borderId="0" xfId="543" applyNumberFormat="1" applyFont="1" applyAlignment="1" applyProtection="1">
      <alignment horizontal="left"/>
    </xf>
    <xf numFmtId="168" fontId="13" fillId="0" borderId="0" xfId="543" applyNumberFormat="1" applyFont="1" applyProtection="1"/>
    <xf numFmtId="168" fontId="13" fillId="0" borderId="0" xfId="543" applyNumberFormat="1" applyFont="1" applyFill="1" applyProtection="1"/>
    <xf numFmtId="0" fontId="13" fillId="0" borderId="0" xfId="543" applyFont="1" applyFill="1" applyProtection="1"/>
    <xf numFmtId="0" fontId="22" fillId="0" borderId="0" xfId="0" applyFont="1" applyBorder="1" applyProtection="1"/>
    <xf numFmtId="0" fontId="13" fillId="0" borderId="0" xfId="0" applyFont="1" applyProtection="1"/>
    <xf numFmtId="0" fontId="22" fillId="0" borderId="0" xfId="0" applyFont="1" applyBorder="1" applyAlignment="1" applyProtection="1">
      <alignment horizontal="right"/>
    </xf>
    <xf numFmtId="0" fontId="22" fillId="0" borderId="0" xfId="0" applyFont="1" applyFill="1" applyBorder="1" applyProtection="1"/>
    <xf numFmtId="0" fontId="36" fillId="0" borderId="0" xfId="0" applyFont="1" applyProtection="1"/>
    <xf numFmtId="0" fontId="22" fillId="0" borderId="0" xfId="0" applyFont="1" applyFill="1" applyBorder="1" applyAlignment="1" applyProtection="1">
      <alignment horizontal="left"/>
    </xf>
    <xf numFmtId="0" fontId="24" fillId="0" borderId="0" xfId="0" applyFont="1" applyFill="1" applyBorder="1" applyProtection="1"/>
    <xf numFmtId="0" fontId="26" fillId="0" borderId="0" xfId="0" applyFont="1" applyProtection="1"/>
    <xf numFmtId="0" fontId="20" fillId="0" borderId="6" xfId="0" applyFont="1" applyBorder="1" applyAlignment="1" applyProtection="1">
      <alignment horizontal="center"/>
    </xf>
    <xf numFmtId="0" fontId="23" fillId="0" borderId="0" xfId="0" applyFont="1" applyFill="1" applyBorder="1" applyProtection="1"/>
    <xf numFmtId="0" fontId="3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0" fillId="0" borderId="1"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0" fillId="0" borderId="4" xfId="0" applyFont="1" applyBorder="1" applyAlignment="1" applyProtection="1">
      <alignment horizontal="center"/>
    </xf>
    <xf numFmtId="0" fontId="29" fillId="0" borderId="3" xfId="0" applyFont="1" applyFill="1" applyBorder="1" applyAlignment="1" applyProtection="1">
      <alignment horizontal="left"/>
    </xf>
    <xf numFmtId="0" fontId="29" fillId="0" borderId="9" xfId="0" applyFont="1" applyFill="1" applyBorder="1" applyAlignment="1" applyProtection="1">
      <alignment horizontal="lef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0" fontId="29" fillId="0" borderId="0" xfId="0" applyFont="1" applyFill="1" applyBorder="1" applyAlignment="1" applyProtection="1">
      <alignment horizontal="left"/>
    </xf>
    <xf numFmtId="0" fontId="0" fillId="0" borderId="0" xfId="0" applyFill="1" applyBorder="1" applyAlignment="1" applyProtection="1"/>
    <xf numFmtId="0" fontId="20" fillId="0" borderId="0" xfId="0" applyFont="1" applyBorder="1" applyAlignment="1" applyProtection="1">
      <alignment horizontal="right"/>
    </xf>
    <xf numFmtId="0" fontId="0" fillId="0" borderId="0" xfId="0" applyFill="1" applyBorder="1" applyAlignment="1" applyProtection="1">
      <alignment horizontal="right"/>
    </xf>
    <xf numFmtId="0" fontId="20" fillId="0" borderId="0" xfId="0" applyFont="1" applyFill="1" applyBorder="1" applyAlignment="1" applyProtection="1">
      <alignment horizontal="right"/>
    </xf>
    <xf numFmtId="0" fontId="20" fillId="0" borderId="0" xfId="0" applyFont="1" applyFill="1" applyBorder="1" applyAlignment="1" applyProtection="1">
      <alignment horizontal="left"/>
    </xf>
    <xf numFmtId="0" fontId="20"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2" fillId="0" borderId="11" xfId="0" applyFont="1" applyBorder="1" applyAlignment="1" applyProtection="1">
      <alignment horizontal="left"/>
    </xf>
    <xf numFmtId="0" fontId="20"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0" fillId="0" borderId="0" xfId="0" applyFont="1" applyAlignment="1" applyProtection="1"/>
    <xf numFmtId="0" fontId="22" fillId="0" borderId="3" xfId="0" applyFont="1" applyBorder="1" applyProtection="1"/>
    <xf numFmtId="0" fontId="22" fillId="0" borderId="0" xfId="543" applyFont="1" applyProtection="1"/>
    <xf numFmtId="0" fontId="38" fillId="0" borderId="0" xfId="543" applyFont="1" applyAlignment="1" applyProtection="1"/>
    <xf numFmtId="49" fontId="13" fillId="0" borderId="0" xfId="543" applyNumberFormat="1" applyFont="1" applyProtection="1"/>
    <xf numFmtId="0" fontId="36" fillId="0" borderId="0" xfId="543" applyFont="1" applyProtection="1"/>
    <xf numFmtId="168" fontId="33" fillId="0" borderId="6" xfId="543" applyNumberFormat="1" applyFont="1" applyFill="1" applyBorder="1" applyAlignment="1" applyProtection="1">
      <alignment horizontal="left"/>
    </xf>
    <xf numFmtId="168" fontId="33" fillId="0" borderId="6" xfId="543" applyNumberFormat="1" applyFont="1" applyFill="1" applyBorder="1" applyAlignment="1" applyProtection="1">
      <alignment horizontal="center"/>
    </xf>
    <xf numFmtId="0" fontId="13" fillId="0" borderId="8" xfId="543" applyFont="1" applyBorder="1" applyProtection="1"/>
    <xf numFmtId="0" fontId="33" fillId="0" borderId="0" xfId="543" applyFont="1" applyBorder="1" applyAlignment="1" applyProtection="1">
      <alignment horizontal="center"/>
    </xf>
    <xf numFmtId="0" fontId="13" fillId="0" borderId="0" xfId="543" applyFont="1" applyBorder="1" applyProtection="1"/>
    <xf numFmtId="0" fontId="32" fillId="0" borderId="9" xfId="543" applyFont="1" applyBorder="1" applyAlignment="1" applyProtection="1">
      <alignment horizontal="left" vertical="top" wrapText="1"/>
    </xf>
    <xf numFmtId="0" fontId="32" fillId="0" borderId="6" xfId="543" applyFont="1" applyBorder="1" applyAlignment="1" applyProtection="1">
      <alignment horizontal="center" vertical="top" wrapText="1"/>
    </xf>
    <xf numFmtId="0" fontId="13" fillId="0" borderId="9" xfId="543" applyFont="1" applyBorder="1" applyProtection="1"/>
    <xf numFmtId="0" fontId="13" fillId="0" borderId="10" xfId="543" applyFont="1" applyBorder="1" applyProtection="1"/>
    <xf numFmtId="0" fontId="13" fillId="0" borderId="1" xfId="543" applyFont="1" applyBorder="1" applyProtection="1"/>
    <xf numFmtId="0" fontId="33" fillId="0" borderId="2" xfId="543" applyFont="1" applyBorder="1" applyAlignment="1" applyProtection="1">
      <alignment horizontal="center"/>
    </xf>
    <xf numFmtId="0" fontId="35" fillId="0" borderId="8" xfId="543" applyFont="1" applyBorder="1" applyAlignment="1" applyProtection="1">
      <alignment horizontal="left" vertical="top" wrapText="1"/>
    </xf>
    <xf numFmtId="0" fontId="32" fillId="0" borderId="0" xfId="543" applyFont="1" applyBorder="1" applyAlignment="1" applyProtection="1">
      <alignment horizontal="center" vertical="top" wrapText="1"/>
    </xf>
    <xf numFmtId="0" fontId="13" fillId="0" borderId="12" xfId="543" applyFont="1" applyBorder="1" applyProtection="1"/>
    <xf numFmtId="0" fontId="35" fillId="0" borderId="0" xfId="543" applyFont="1" applyBorder="1" applyAlignment="1" applyProtection="1">
      <alignment horizontal="center" vertical="top" wrapText="1"/>
    </xf>
    <xf numFmtId="0" fontId="35" fillId="0" borderId="9" xfId="543" applyFont="1" applyBorder="1" applyAlignment="1" applyProtection="1">
      <alignment horizontal="left" vertical="top" wrapText="1"/>
    </xf>
    <xf numFmtId="0" fontId="13" fillId="0" borderId="2" xfId="543" applyFont="1" applyBorder="1" applyProtection="1"/>
    <xf numFmtId="0" fontId="13" fillId="0" borderId="7" xfId="543" applyFont="1" applyBorder="1" applyProtection="1"/>
    <xf numFmtId="172" fontId="13" fillId="0" borderId="0" xfId="543" applyNumberFormat="1" applyFont="1" applyProtection="1"/>
    <xf numFmtId="172" fontId="13" fillId="0" borderId="0" xfId="543" applyNumberFormat="1" applyFont="1" applyBorder="1" applyAlignment="1" applyProtection="1"/>
    <xf numFmtId="0" fontId="32" fillId="0" borderId="0" xfId="543" applyFont="1" applyAlignment="1" applyProtection="1"/>
    <xf numFmtId="0" fontId="13" fillId="0" borderId="0" xfId="543" applyFont="1" applyFill="1" applyAlignment="1" applyProtection="1">
      <alignment horizontal="center"/>
    </xf>
    <xf numFmtId="0" fontId="22" fillId="0" borderId="0" xfId="0" applyFont="1" applyFill="1" applyProtection="1"/>
    <xf numFmtId="0" fontId="38" fillId="0" borderId="0" xfId="543" applyFont="1" applyProtection="1"/>
    <xf numFmtId="0" fontId="22" fillId="0" borderId="0" xfId="0" applyFont="1" applyAlignment="1" applyProtection="1">
      <alignment horizontal="center"/>
    </xf>
    <xf numFmtId="0" fontId="21" fillId="0" borderId="6" xfId="543" applyFont="1" applyBorder="1" applyAlignment="1" applyProtection="1">
      <alignment vertical="top" wrapText="1"/>
    </xf>
    <xf numFmtId="0" fontId="20" fillId="0" borderId="0" xfId="0" applyFont="1" applyAlignment="1" applyProtection="1">
      <alignment horizontal="left"/>
    </xf>
    <xf numFmtId="0" fontId="22" fillId="0" borderId="0" xfId="0" applyFont="1" applyAlignment="1" applyProtection="1">
      <alignment horizontal="left"/>
    </xf>
    <xf numFmtId="0" fontId="20" fillId="0" borderId="0" xfId="0" applyFont="1" applyAlignment="1" applyProtection="1">
      <alignment horizontal="right"/>
    </xf>
    <xf numFmtId="0" fontId="22" fillId="0" borderId="0" xfId="0" applyFont="1" applyAlignment="1" applyProtection="1">
      <alignment horizontal="right"/>
    </xf>
    <xf numFmtId="0" fontId="22"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2" fillId="0" borderId="0" xfId="0" applyNumberFormat="1" applyFont="1" applyAlignment="1" applyProtection="1"/>
    <xf numFmtId="0" fontId="20" fillId="0" borderId="6" xfId="0" applyFont="1" applyBorder="1" applyAlignment="1" applyProtection="1">
      <alignment horizontal="right"/>
    </xf>
    <xf numFmtId="0" fontId="19" fillId="0" borderId="0" xfId="0" applyFont="1" applyFill="1" applyBorder="1" applyAlignment="1" applyProtection="1">
      <alignment horizontal="center" vertical="center"/>
    </xf>
    <xf numFmtId="0" fontId="20" fillId="0" borderId="0" xfId="0" applyFont="1" applyAlignment="1" applyProtection="1">
      <alignment vertical="top"/>
    </xf>
    <xf numFmtId="166" fontId="0" fillId="0" borderId="0" xfId="0" applyNumberFormat="1" applyFill="1" applyBorder="1" applyAlignment="1" applyProtection="1">
      <alignment horizontal="right"/>
    </xf>
    <xf numFmtId="0" fontId="22" fillId="0" borderId="0" xfId="0" applyFont="1" applyBorder="1" applyAlignment="1" applyProtection="1">
      <alignment horizontal="left"/>
    </xf>
    <xf numFmtId="0" fontId="0" fillId="0" borderId="4" xfId="0" applyFill="1" applyBorder="1" applyProtection="1"/>
    <xf numFmtId="0" fontId="22" fillId="0" borderId="0" xfId="0" applyFont="1"/>
    <xf numFmtId="0" fontId="22" fillId="0" borderId="0" xfId="0" applyFont="1" applyBorder="1"/>
    <xf numFmtId="0" fontId="22" fillId="0" borderId="0" xfId="0" applyFont="1" applyAlignment="1">
      <alignment horizontal="left"/>
    </xf>
    <xf numFmtId="0" fontId="43" fillId="0" borderId="0" xfId="0" applyFont="1"/>
    <xf numFmtId="0" fontId="30" fillId="0" borderId="0" xfId="0" applyFont="1"/>
    <xf numFmtId="0" fontId="20" fillId="0" borderId="0" xfId="0" applyNumberFormat="1" applyFont="1"/>
    <xf numFmtId="0" fontId="13" fillId="0" borderId="0" xfId="0" applyFont="1" applyBorder="1"/>
    <xf numFmtId="0" fontId="14" fillId="0" borderId="0" xfId="244" applyBorder="1" applyProtection="1"/>
    <xf numFmtId="0" fontId="14" fillId="0" borderId="0" xfId="244" applyFill="1" applyBorder="1" applyAlignment="1">
      <alignment horizontal="center" vertical="center"/>
    </xf>
    <xf numFmtId="0" fontId="13" fillId="0" borderId="3" xfId="543" applyFont="1" applyBorder="1" applyProtection="1"/>
    <xf numFmtId="0" fontId="35" fillId="0" borderId="4" xfId="543" applyNumberFormat="1" applyFont="1" applyBorder="1" applyAlignment="1" applyProtection="1">
      <alignment horizontal="right" vertical="top" wrapText="1"/>
    </xf>
    <xf numFmtId="0" fontId="22" fillId="0" borderId="6" xfId="0" applyFont="1" applyBorder="1" applyProtection="1"/>
    <xf numFmtId="0" fontId="22" fillId="0" borderId="2" xfId="0" applyFont="1" applyBorder="1" applyProtection="1"/>
    <xf numFmtId="0" fontId="22" fillId="0" borderId="7" xfId="0" applyFont="1" applyBorder="1" applyProtection="1"/>
    <xf numFmtId="0" fontId="22" fillId="0" borderId="12" xfId="0" applyFont="1" applyBorder="1" applyProtection="1"/>
    <xf numFmtId="0" fontId="22" fillId="0" borderId="9" xfId="0" applyFont="1" applyBorder="1" applyProtection="1"/>
    <xf numFmtId="0" fontId="22" fillId="0" borderId="10" xfId="0" applyFont="1" applyBorder="1" applyProtection="1"/>
    <xf numFmtId="0" fontId="27" fillId="0" borderId="6" xfId="0" applyFont="1" applyBorder="1" applyAlignment="1" applyProtection="1">
      <alignment vertical="top" wrapText="1"/>
    </xf>
    <xf numFmtId="0" fontId="27" fillId="0" borderId="5" xfId="0" applyFont="1" applyBorder="1" applyAlignment="1" applyProtection="1">
      <alignment vertical="top" wrapText="1"/>
    </xf>
    <xf numFmtId="0" fontId="27" fillId="0" borderId="4" xfId="0" applyFont="1" applyBorder="1" applyAlignment="1" applyProtection="1">
      <alignment vertical="top" wrapText="1"/>
    </xf>
    <xf numFmtId="0" fontId="27"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0" fillId="0" borderId="2" xfId="0" applyFont="1" applyBorder="1" applyProtection="1"/>
    <xf numFmtId="0" fontId="22" fillId="0" borderId="0" xfId="0" applyFont="1" applyAlignment="1" applyProtection="1">
      <alignment vertical="top"/>
    </xf>
    <xf numFmtId="0" fontId="22" fillId="0" borderId="0" xfId="0" applyFont="1" applyAlignment="1" applyProtection="1">
      <alignment vertical="top" wrapText="1"/>
    </xf>
    <xf numFmtId="0" fontId="22" fillId="0" borderId="0" xfId="0" applyNumberFormat="1" applyFont="1" applyAlignment="1" applyProtection="1">
      <alignment horizontal="left" vertical="top"/>
    </xf>
    <xf numFmtId="0" fontId="22" fillId="0" borderId="0" xfId="0" applyNumberFormat="1" applyFont="1" applyProtection="1"/>
    <xf numFmtId="0" fontId="13" fillId="0" borderId="0" xfId="0" applyFont="1" applyBorder="1" applyProtection="1"/>
    <xf numFmtId="0" fontId="13" fillId="0" borderId="0" xfId="0" applyFont="1" applyBorder="1" applyAlignment="1" applyProtection="1"/>
    <xf numFmtId="0" fontId="13" fillId="0" borderId="0" xfId="0" applyFont="1" applyBorder="1" applyAlignment="1" applyProtection="1">
      <alignment horizontal="left"/>
    </xf>
    <xf numFmtId="0" fontId="13" fillId="0" borderId="0" xfId="0" applyFont="1" applyAlignment="1" applyProtection="1">
      <alignment vertical="top"/>
    </xf>
    <xf numFmtId="0" fontId="13" fillId="0" borderId="0" xfId="0" applyFont="1" applyAlignment="1" applyProtection="1"/>
    <xf numFmtId="0" fontId="22" fillId="0" borderId="0" xfId="0" applyFont="1" applyFill="1"/>
    <xf numFmtId="0" fontId="20" fillId="0" borderId="0" xfId="0" applyFont="1" applyFill="1"/>
    <xf numFmtId="0" fontId="42" fillId="0" borderId="0" xfId="0" applyFont="1"/>
    <xf numFmtId="0" fontId="13" fillId="0" borderId="3" xfId="0" applyFont="1" applyBorder="1" applyProtection="1"/>
    <xf numFmtId="0" fontId="13"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7" fillId="3" borderId="4" xfId="0" applyFont="1" applyFill="1" applyBorder="1" applyAlignment="1" applyProtection="1">
      <alignment vertical="top" wrapText="1"/>
    </xf>
    <xf numFmtId="0" fontId="27" fillId="3" borderId="5" xfId="0" applyFont="1" applyFill="1" applyBorder="1" applyAlignment="1" applyProtection="1">
      <alignment vertical="top" wrapText="1"/>
    </xf>
    <xf numFmtId="0" fontId="45" fillId="0" borderId="0" xfId="0" applyFont="1"/>
    <xf numFmtId="0" fontId="22" fillId="0" borderId="4" xfId="0" applyFont="1" applyBorder="1"/>
    <xf numFmtId="0" fontId="20" fillId="0" borderId="4" xfId="0" applyFont="1" applyFill="1" applyBorder="1"/>
    <xf numFmtId="0" fontId="20" fillId="0" borderId="0" xfId="0" applyFont="1" applyBorder="1"/>
    <xf numFmtId="0" fontId="20" fillId="0" borderId="0" xfId="0" applyFont="1" applyFill="1" applyBorder="1"/>
    <xf numFmtId="0" fontId="20" fillId="0" borderId="2" xfId="0" applyFont="1" applyBorder="1" applyAlignment="1" applyProtection="1">
      <alignment horizontal="center"/>
    </xf>
    <xf numFmtId="0" fontId="20" fillId="0" borderId="0" xfId="0" applyFont="1" applyBorder="1" applyAlignment="1" applyProtection="1">
      <alignment horizontal="center" vertical="center" wrapText="1"/>
    </xf>
    <xf numFmtId="0" fontId="20" fillId="0" borderId="7" xfId="543" applyFont="1" applyBorder="1" applyAlignment="1" applyProtection="1">
      <alignment horizontal="right"/>
    </xf>
    <xf numFmtId="0" fontId="21" fillId="0" borderId="9" xfId="543" applyFont="1" applyBorder="1" applyProtection="1"/>
    <xf numFmtId="0" fontId="22" fillId="0" borderId="6" xfId="543" applyFont="1" applyBorder="1" applyProtection="1"/>
    <xf numFmtId="0" fontId="21" fillId="0" borderId="6" xfId="543" applyFont="1" applyBorder="1" applyAlignment="1" applyProtection="1">
      <alignment horizontal="right"/>
    </xf>
    <xf numFmtId="0" fontId="20"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0" fillId="0" borderId="0" xfId="0" applyBorder="1" applyAlignment="1" applyProtection="1"/>
    <xf numFmtId="0" fontId="22" fillId="0" borderId="0" xfId="0" applyFont="1" applyFill="1" applyBorder="1" applyAlignment="1" applyProtection="1">
      <alignment horizontal="left" vertical="center"/>
    </xf>
    <xf numFmtId="0" fontId="22" fillId="0" borderId="0" xfId="0" applyNumberFormat="1" applyFont="1" applyAlignment="1" applyProtection="1">
      <alignment vertical="top"/>
    </xf>
    <xf numFmtId="0" fontId="51" fillId="0" borderId="3" xfId="0" applyFont="1" applyBorder="1" applyAlignment="1" applyProtection="1">
      <alignment horizontal="left" vertical="top"/>
    </xf>
    <xf numFmtId="0" fontId="51" fillId="0" borderId="13" xfId="0" applyFont="1" applyBorder="1" applyAlignment="1" applyProtection="1">
      <alignment horizontal="center" wrapText="1"/>
    </xf>
    <xf numFmtId="0" fontId="51" fillId="0" borderId="13" xfId="0" applyFont="1" applyFill="1" applyBorder="1" applyAlignment="1" applyProtection="1">
      <alignment horizontal="center" vertical="top" wrapText="1"/>
    </xf>
    <xf numFmtId="0" fontId="51" fillId="2" borderId="13" xfId="0" applyFont="1" applyFill="1" applyBorder="1" applyAlignment="1" applyProtection="1">
      <alignment horizontal="center" wrapText="1"/>
    </xf>
    <xf numFmtId="0" fontId="52" fillId="2" borderId="11" xfId="0" applyFont="1" applyFill="1" applyBorder="1" applyAlignment="1" applyProtection="1">
      <alignment horizontal="left" vertical="top" wrapText="1"/>
    </xf>
    <xf numFmtId="0" fontId="53" fillId="4" borderId="11" xfId="0" applyFont="1" applyFill="1" applyBorder="1" applyAlignment="1" applyProtection="1">
      <alignment vertical="top" wrapText="1"/>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pplyProtection="1">
      <alignment horizontal="center"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3" fillId="4" borderId="11" xfId="0" applyNumberFormat="1"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16" fillId="0" borderId="11" xfId="0" applyFont="1" applyBorder="1" applyAlignment="1" applyProtection="1">
      <alignment horizontal="right" vertical="top" wrapText="1"/>
    </xf>
    <xf numFmtId="0" fontId="53" fillId="0" borderId="11" xfId="0" applyFont="1" applyFill="1" applyBorder="1" applyAlignment="1" applyProtection="1">
      <alignment horizontal="right" vertical="top" wrapText="1"/>
      <protection locked="0"/>
    </xf>
    <xf numFmtId="0" fontId="51" fillId="0" borderId="0" xfId="0" applyFont="1" applyBorder="1" applyAlignment="1" applyProtection="1">
      <alignment horizontal="left" vertical="top"/>
    </xf>
    <xf numFmtId="0" fontId="53" fillId="0" borderId="0" xfId="0" applyFont="1" applyBorder="1" applyAlignment="1" applyProtection="1">
      <alignment horizontal="left"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1" fillId="0" borderId="0" xfId="0" applyFont="1" applyBorder="1" applyAlignment="1" applyProtection="1">
      <alignment horizontal="right" vertical="top"/>
    </xf>
    <xf numFmtId="0" fontId="53" fillId="2" borderId="0" xfId="0" applyFont="1" applyFill="1" applyBorder="1" applyAlignment="1" applyProtection="1">
      <alignment vertical="top" wrapText="1"/>
    </xf>
    <xf numFmtId="0" fontId="51" fillId="0" borderId="0" xfId="0" applyFont="1" applyBorder="1" applyAlignment="1" applyProtection="1">
      <alignment vertical="top"/>
    </xf>
    <xf numFmtId="168" fontId="51"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3" fillId="0" borderId="0" xfId="0" applyFont="1" applyFill="1" applyBorder="1" applyAlignment="1" applyProtection="1"/>
    <xf numFmtId="166" fontId="22" fillId="0" borderId="0" xfId="0" applyNumberFormat="1" applyFont="1" applyFill="1" applyBorder="1" applyAlignment="1" applyProtection="1">
      <alignment horizontal="left"/>
    </xf>
    <xf numFmtId="0" fontId="13" fillId="0" borderId="0" xfId="0" applyFont="1" applyFill="1" applyProtection="1"/>
    <xf numFmtId="0" fontId="13" fillId="0" borderId="0" xfId="0" applyFont="1" applyFill="1" applyBorder="1" applyProtection="1"/>
    <xf numFmtId="0" fontId="54" fillId="0" borderId="0" xfId="0" applyFont="1" applyFill="1" applyBorder="1" applyProtection="1"/>
    <xf numFmtId="0" fontId="13" fillId="0" borderId="0" xfId="244" applyFont="1" applyFill="1" applyBorder="1" applyAlignment="1" applyProtection="1">
      <alignment horizontal="left"/>
    </xf>
    <xf numFmtId="0" fontId="44" fillId="0" borderId="0" xfId="0" applyFont="1" applyFill="1" applyAlignment="1" applyProtection="1"/>
    <xf numFmtId="0" fontId="44" fillId="0" borderId="0" xfId="0" applyFont="1" applyFill="1" applyProtection="1"/>
    <xf numFmtId="0" fontId="44" fillId="0" borderId="0" xfId="244" applyFont="1" applyFill="1" applyBorder="1" applyAlignment="1" applyProtection="1">
      <alignment horizontal="left"/>
    </xf>
    <xf numFmtId="0" fontId="19" fillId="3" borderId="11" xfId="0" applyFont="1" applyFill="1" applyBorder="1" applyAlignment="1" applyProtection="1">
      <alignment vertical="top"/>
    </xf>
    <xf numFmtId="0" fontId="0" fillId="7" borderId="0" xfId="0" applyFill="1"/>
    <xf numFmtId="0" fontId="42" fillId="0" borderId="0" xfId="0" applyFont="1" applyFill="1"/>
    <xf numFmtId="0" fontId="0" fillId="0" borderId="0" xfId="0" applyAlignment="1">
      <alignment horizontal="left"/>
    </xf>
    <xf numFmtId="0" fontId="42" fillId="0" borderId="0" xfId="0" applyNumberFormat="1" applyFont="1"/>
    <xf numFmtId="0" fontId="0" fillId="0" borderId="0" xfId="0" applyBorder="1" applyAlignment="1"/>
    <xf numFmtId="0" fontId="33" fillId="0" borderId="0" xfId="0" applyFont="1" applyFill="1"/>
    <xf numFmtId="0" fontId="56" fillId="0" borderId="0" xfId="0" applyFont="1"/>
    <xf numFmtId="0" fontId="13" fillId="0" borderId="0" xfId="0" applyFont="1" applyFill="1" applyBorder="1" applyAlignment="1" applyProtection="1">
      <alignment horizontal="left"/>
    </xf>
    <xf numFmtId="0" fontId="31" fillId="0" borderId="0" xfId="0" applyFont="1" applyAlignment="1" applyProtection="1">
      <alignment horizontal="center"/>
    </xf>
    <xf numFmtId="0" fontId="31" fillId="0" borderId="0" xfId="0" applyFont="1" applyAlignment="1" applyProtection="1"/>
    <xf numFmtId="0" fontId="31" fillId="0" borderId="0" xfId="0" applyFont="1" applyFill="1" applyAlignment="1" applyProtection="1">
      <alignment horizontal="center"/>
    </xf>
    <xf numFmtId="0" fontId="31" fillId="0" borderId="0" xfId="0" applyFont="1" applyAlignment="1" applyProtection="1">
      <alignment horizontal="left"/>
    </xf>
    <xf numFmtId="0" fontId="31" fillId="0" borderId="0" xfId="0" applyFont="1" applyProtection="1"/>
    <xf numFmtId="49" fontId="20" fillId="0" borderId="0" xfId="0" applyNumberFormat="1" applyFont="1" applyAlignment="1" applyProtection="1">
      <alignment horizontal="center"/>
    </xf>
    <xf numFmtId="0" fontId="48" fillId="0" borderId="0" xfId="0" applyFont="1" applyAlignment="1" applyProtection="1">
      <alignment horizontal="center"/>
    </xf>
    <xf numFmtId="0" fontId="47" fillId="0" borderId="0" xfId="244" applyFont="1" applyAlignment="1" applyProtection="1">
      <alignment horizontal="center"/>
    </xf>
    <xf numFmtId="0" fontId="22" fillId="0" borderId="0" xfId="0" quotePrefix="1" applyFont="1" applyAlignment="1" applyProtection="1">
      <alignment horizontal="left"/>
    </xf>
    <xf numFmtId="0" fontId="20" fillId="0" borderId="0" xfId="0" applyFont="1" applyBorder="1" applyAlignment="1" applyProtection="1"/>
    <xf numFmtId="0" fontId="22" fillId="0" borderId="0" xfId="0" applyFont="1" applyBorder="1" applyAlignment="1" applyProtection="1">
      <alignment horizontal="center"/>
    </xf>
    <xf numFmtId="49" fontId="22" fillId="0" borderId="0" xfId="0" applyNumberFormat="1" applyFont="1" applyAlignment="1" applyProtection="1">
      <alignment horizontal="center"/>
    </xf>
    <xf numFmtId="0" fontId="31" fillId="0" borderId="0" xfId="0" applyFont="1" applyBorder="1" applyAlignment="1" applyProtection="1">
      <alignment horizontal="center"/>
    </xf>
    <xf numFmtId="0" fontId="20" fillId="0" borderId="0" xfId="0" quotePrefix="1" applyFont="1" applyAlignment="1" applyProtection="1">
      <alignment horizontal="center"/>
    </xf>
    <xf numFmtId="49" fontId="0" fillId="0" borderId="0" xfId="0" applyNumberFormat="1" applyProtection="1"/>
    <xf numFmtId="0" fontId="45" fillId="0" borderId="0" xfId="0" applyFont="1" applyAlignment="1" applyProtection="1">
      <alignment horizontal="left"/>
    </xf>
    <xf numFmtId="49" fontId="22" fillId="0" borderId="0" xfId="0" applyNumberFormat="1" applyFont="1" applyProtection="1"/>
    <xf numFmtId="49" fontId="0" fillId="0" borderId="0" xfId="0" applyNumberFormat="1" applyFill="1" applyProtection="1"/>
    <xf numFmtId="0" fontId="22" fillId="0" borderId="0" xfId="0" applyFont="1" applyFill="1" applyAlignment="1" applyProtection="1">
      <alignment horizontal="center"/>
    </xf>
    <xf numFmtId="0" fontId="22" fillId="0" borderId="0" xfId="0" applyFont="1" applyFill="1" applyAlignment="1" applyProtection="1">
      <alignment horizontal="left"/>
    </xf>
    <xf numFmtId="49" fontId="22" fillId="0" borderId="0" xfId="0" applyNumberFormat="1" applyFont="1" applyFill="1" applyProtection="1"/>
    <xf numFmtId="49" fontId="20" fillId="0" borderId="0" xfId="0" applyNumberFormat="1" applyFont="1" applyAlignment="1" applyProtection="1">
      <alignment horizontal="left"/>
    </xf>
    <xf numFmtId="0" fontId="31" fillId="0" borderId="0" xfId="0" applyFont="1" applyBorder="1" applyAlignment="1" applyProtection="1">
      <alignment horizontal="left"/>
    </xf>
    <xf numFmtId="0" fontId="22" fillId="0" borderId="0" xfId="0" applyFont="1" applyFill="1" applyAlignment="1" applyProtection="1">
      <alignment horizontal="left" vertical="top"/>
    </xf>
    <xf numFmtId="0" fontId="21" fillId="0" borderId="0" xfId="0" applyFont="1" applyFill="1" applyAlignment="1" applyProtection="1">
      <alignment horizontal="left" vertical="top"/>
    </xf>
    <xf numFmtId="0" fontId="22" fillId="0" borderId="0" xfId="0" applyFont="1" applyFill="1" applyAlignment="1" applyProtection="1"/>
    <xf numFmtId="168" fontId="22"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2" fillId="0" borderId="0" xfId="0" applyNumberFormat="1" applyFont="1" applyFill="1" applyBorder="1" applyAlignment="1" applyProtection="1">
      <alignment horizontal="left" vertical="top" wrapText="1"/>
    </xf>
    <xf numFmtId="0" fontId="50" fillId="0" borderId="3" xfId="0" applyFont="1" applyBorder="1" applyProtection="1"/>
    <xf numFmtId="168" fontId="0" fillId="0" borderId="0" xfId="0" applyNumberFormat="1" applyFill="1" applyBorder="1" applyAlignment="1" applyProtection="1">
      <alignment horizontal="center"/>
    </xf>
    <xf numFmtId="0" fontId="33" fillId="0" borderId="0" xfId="0" applyFont="1" applyFill="1" applyAlignment="1">
      <alignment vertical="top" wrapText="1"/>
    </xf>
    <xf numFmtId="0" fontId="51" fillId="0" borderId="4" xfId="0" applyFont="1" applyBorder="1" applyAlignment="1" applyProtection="1">
      <alignment horizontal="right"/>
    </xf>
    <xf numFmtId="0" fontId="58" fillId="0" borderId="0" xfId="0" applyFont="1"/>
    <xf numFmtId="3" fontId="22"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left" vertical="top"/>
    </xf>
    <xf numFmtId="168" fontId="22" fillId="0" borderId="0" xfId="0" applyNumberFormat="1" applyFont="1" applyFill="1" applyBorder="1" applyAlignment="1" applyProtection="1">
      <alignment horizontal="left" vertical="top"/>
    </xf>
    <xf numFmtId="0" fontId="22" fillId="0" borderId="0" xfId="0" applyFont="1" applyAlignment="1" applyProtection="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pplyProtection="1">
      <alignment horizontal="right" vertical="top"/>
    </xf>
    <xf numFmtId="0" fontId="53" fillId="0" borderId="0" xfId="0" applyFont="1" applyBorder="1" applyAlignment="1" applyProtection="1">
      <alignment horizontal="right" vertical="top" wrapText="1"/>
    </xf>
    <xf numFmtId="0" fontId="53" fillId="2" borderId="12" xfId="0" applyFont="1" applyFill="1" applyBorder="1" applyAlignment="1" applyProtection="1">
      <alignment vertical="top" wrapText="1"/>
    </xf>
    <xf numFmtId="0" fontId="53" fillId="0" borderId="14" xfId="0" applyFont="1" applyBorder="1" applyAlignment="1" applyProtection="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Fill="1" applyBorder="1" applyAlignment="1" applyProtection="1">
      <alignment vertical="top"/>
    </xf>
    <xf numFmtId="168" fontId="53" fillId="6" borderId="11" xfId="0" applyNumberFormat="1" applyFont="1" applyFill="1" applyBorder="1" applyAlignment="1" applyProtection="1">
      <alignment horizontal="center" vertical="top"/>
    </xf>
    <xf numFmtId="0" fontId="20" fillId="0" borderId="0" xfId="542" applyFont="1" applyAlignment="1" applyProtection="1">
      <protection locked="0"/>
    </xf>
    <xf numFmtId="0" fontId="13" fillId="0" borderId="0" xfId="539" applyAlignment="1" applyProtection="1"/>
    <xf numFmtId="0" fontId="33" fillId="8" borderId="0" xfId="539" applyFont="1" applyFill="1" applyAlignment="1" applyProtection="1">
      <alignment horizontal="centerContinuous"/>
    </xf>
    <xf numFmtId="0" fontId="13" fillId="0" borderId="0" xfId="539" applyProtection="1"/>
    <xf numFmtId="0" fontId="44" fillId="0" borderId="0" xfId="0" applyFont="1" applyProtection="1"/>
    <xf numFmtId="4" fontId="22" fillId="0" borderId="0" xfId="0" applyNumberFormat="1" applyFont="1" applyProtection="1"/>
    <xf numFmtId="0" fontId="31" fillId="0" borderId="0" xfId="0" applyFont="1" applyFill="1" applyAlignment="1">
      <alignment horizontal="center"/>
    </xf>
    <xf numFmtId="49" fontId="20" fillId="0" borderId="0" xfId="0" applyNumberFormat="1" applyFont="1" applyAlignment="1">
      <alignment horizontal="center"/>
    </xf>
    <xf numFmtId="0" fontId="20" fillId="0" borderId="0" xfId="0" applyFont="1" applyAlignment="1">
      <alignment horizontal="left"/>
    </xf>
    <xf numFmtId="49" fontId="22" fillId="0" borderId="0" xfId="0" applyNumberFormat="1" applyFont="1" applyAlignment="1">
      <alignment horizontal="center"/>
    </xf>
    <xf numFmtId="0" fontId="20" fillId="0" borderId="0" xfId="543" applyFont="1" applyProtection="1"/>
    <xf numFmtId="0" fontId="23" fillId="0" borderId="0" xfId="0" applyFont="1" applyFill="1" applyBorder="1" applyAlignment="1" applyProtection="1"/>
    <xf numFmtId="0" fontId="22" fillId="0" borderId="0" xfId="543" applyFont="1" applyAlignment="1" applyProtection="1">
      <alignment horizontal="left"/>
    </xf>
    <xf numFmtId="0" fontId="22" fillId="0" borderId="0" xfId="543" applyFont="1" applyFill="1" applyAlignment="1" applyProtection="1">
      <alignment horizontal="left"/>
    </xf>
    <xf numFmtId="0" fontId="22" fillId="0" borderId="15" xfId="0" applyFont="1" applyBorder="1" applyProtection="1"/>
    <xf numFmtId="0" fontId="22" fillId="0" borderId="11" xfId="0" applyFont="1" applyBorder="1" applyProtection="1"/>
    <xf numFmtId="2" fontId="36" fillId="0" borderId="11" xfId="0" applyNumberFormat="1" applyFont="1" applyBorder="1" applyProtection="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Font="1"/>
    <xf numFmtId="0" fontId="22" fillId="0" borderId="0" xfId="271" applyFill="1"/>
    <xf numFmtId="0" fontId="22" fillId="0" borderId="0" xfId="271" applyFont="1" applyFill="1"/>
    <xf numFmtId="0" fontId="20" fillId="0" borderId="0" xfId="271" applyFont="1" applyFill="1"/>
    <xf numFmtId="0" fontId="22" fillId="0" borderId="0" xfId="271" applyAlignment="1">
      <alignment horizontal="left"/>
    </xf>
    <xf numFmtId="0" fontId="22" fillId="0" borderId="0" xfId="271" applyFill="1" applyAlignment="1">
      <alignment horizontal="left"/>
    </xf>
    <xf numFmtId="0" fontId="14" fillId="0" borderId="0" xfId="244" applyFill="1" applyBorder="1" applyProtection="1">
      <protection locked="0"/>
    </xf>
    <xf numFmtId="0" fontId="20" fillId="0" borderId="0" xfId="271" applyFont="1" applyProtection="1"/>
    <xf numFmtId="168" fontId="20" fillId="0" borderId="2" xfId="543" applyNumberFormat="1" applyFont="1" applyFill="1" applyBorder="1" applyAlignment="1" applyProtection="1">
      <alignment horizontal="center" vertical="center"/>
    </xf>
    <xf numFmtId="0" fontId="0" fillId="0" borderId="5" xfId="0" applyFill="1" applyBorder="1" applyProtection="1"/>
    <xf numFmtId="0" fontId="35" fillId="0" borderId="0" xfId="543" applyNumberFormat="1" applyFont="1" applyBorder="1" applyAlignment="1" applyProtection="1">
      <alignment horizontal="right" vertical="top" wrapText="1"/>
    </xf>
    <xf numFmtId="0" fontId="33" fillId="0" borderId="2" xfId="543" applyNumberFormat="1" applyFont="1" applyBorder="1" applyAlignment="1" applyProtection="1">
      <alignment horizontal="right" vertical="top" wrapText="1"/>
    </xf>
    <xf numFmtId="0" fontId="18" fillId="0" borderId="0" xfId="0" applyFont="1"/>
    <xf numFmtId="0" fontId="63" fillId="0" borderId="0" xfId="0" applyFont="1"/>
    <xf numFmtId="0" fontId="61" fillId="0" borderId="0" xfId="0" applyFont="1"/>
    <xf numFmtId="0" fontId="33" fillId="0" borderId="0" xfId="543" applyNumberFormat="1" applyFont="1" applyBorder="1" applyAlignment="1" applyProtection="1">
      <alignment horizontal="right" vertical="top" wrapText="1"/>
    </xf>
    <xf numFmtId="0" fontId="20" fillId="0" borderId="0" xfId="0" applyFont="1" applyAlignment="1">
      <alignment horizontal="center"/>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3" fontId="22" fillId="0" borderId="0" xfId="0" applyNumberFormat="1" applyFont="1" applyAlignment="1">
      <alignment horizontal="center"/>
    </xf>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168"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Fill="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172" fontId="22" fillId="0" borderId="0" xfId="0" applyNumberFormat="1" applyFont="1" applyFill="1" applyAlignment="1">
      <alignment horizontal="center"/>
    </xf>
    <xf numFmtId="4" fontId="22" fillId="0" borderId="0" xfId="271" applyNumberFormat="1" applyFont="1" applyAlignment="1" applyProtection="1">
      <alignment horizontal="left"/>
    </xf>
    <xf numFmtId="0" fontId="22" fillId="0" borderId="0" xfId="271" applyFont="1" applyAlignment="1" applyProtection="1">
      <alignment horizontal="center"/>
    </xf>
    <xf numFmtId="0" fontId="0" fillId="0" borderId="0" xfId="0" applyAlignment="1">
      <alignment horizontal="right"/>
    </xf>
    <xf numFmtId="0" fontId="22" fillId="0" borderId="0" xfId="0" applyFont="1" applyBorder="1" applyAlignment="1" applyProtection="1"/>
    <xf numFmtId="0" fontId="22" fillId="9" borderId="6" xfId="0" applyFont="1" applyFill="1" applyBorder="1" applyAlignment="1" applyProtection="1"/>
    <xf numFmtId="0" fontId="22" fillId="0" borderId="0" xfId="271" applyFont="1" applyProtection="1"/>
    <xf numFmtId="0" fontId="22" fillId="0" borderId="0" xfId="271" applyProtection="1"/>
    <xf numFmtId="0" fontId="22" fillId="0" borderId="0" xfId="271" applyBorder="1" applyProtection="1"/>
    <xf numFmtId="0" fontId="20" fillId="0" borderId="0" xfId="271" applyFont="1" applyBorder="1" applyProtection="1"/>
    <xf numFmtId="0" fontId="22" fillId="0" borderId="0" xfId="271" applyFont="1" applyBorder="1" applyProtection="1"/>
    <xf numFmtId="0" fontId="22" fillId="0" borderId="0" xfId="271" applyFont="1" applyFill="1" applyBorder="1" applyProtection="1"/>
    <xf numFmtId="0" fontId="22" fillId="0" borderId="4" xfId="271" applyFont="1" applyBorder="1" applyProtection="1"/>
    <xf numFmtId="0" fontId="22" fillId="0" borderId="6" xfId="271" applyFont="1" applyBorder="1" applyProtection="1"/>
    <xf numFmtId="0" fontId="36" fillId="0" borderId="0" xfId="0" applyFont="1" applyFill="1" applyBorder="1" applyProtection="1"/>
    <xf numFmtId="0" fontId="22" fillId="0" borderId="1" xfId="0" applyFont="1" applyBorder="1" applyProtection="1"/>
    <xf numFmtId="168" fontId="22" fillId="0" borderId="3" xfId="0" applyNumberFormat="1" applyFont="1" applyFill="1" applyBorder="1" applyAlignment="1" applyProtection="1">
      <alignment vertical="top"/>
    </xf>
    <xf numFmtId="168" fontId="22" fillId="0" borderId="4" xfId="0" applyNumberFormat="1" applyFont="1" applyFill="1" applyBorder="1" applyAlignment="1" applyProtection="1">
      <alignment vertical="top"/>
    </xf>
    <xf numFmtId="168" fontId="22" fillId="0" borderId="5" xfId="0" applyNumberFormat="1" applyFont="1" applyFill="1" applyBorder="1" applyAlignment="1" applyProtection="1">
      <alignment vertical="top"/>
    </xf>
    <xf numFmtId="168" fontId="22" fillId="0" borderId="8" xfId="0" applyNumberFormat="1" applyFont="1" applyFill="1" applyBorder="1" applyAlignment="1" applyProtection="1">
      <alignment vertical="top"/>
    </xf>
    <xf numFmtId="168" fontId="22" fillId="0" borderId="0" xfId="0" applyNumberFormat="1" applyFont="1" applyFill="1" applyBorder="1" applyAlignment="1" applyProtection="1">
      <alignment vertical="top"/>
    </xf>
    <xf numFmtId="0" fontId="22" fillId="0" borderId="0" xfId="0" applyNumberFormat="1" applyFont="1" applyFill="1" applyBorder="1" applyAlignment="1" applyProtection="1">
      <alignment horizontal="right" vertical="top"/>
    </xf>
    <xf numFmtId="0" fontId="22"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NumberFormat="1" applyFont="1" applyFill="1" applyBorder="1" applyAlignment="1" applyProtection="1">
      <alignment horizontal="left" vertical="top"/>
      <protection locked="0"/>
    </xf>
    <xf numFmtId="0" fontId="22" fillId="5" borderId="5" xfId="0" applyNumberFormat="1" applyFont="1" applyFill="1" applyBorder="1" applyAlignment="1" applyProtection="1">
      <alignment horizontal="left" vertical="top"/>
      <protection locked="0"/>
    </xf>
    <xf numFmtId="0" fontId="48" fillId="0" borderId="0" xfId="0" applyFont="1" applyFill="1" applyAlignment="1" applyProtection="1">
      <alignment horizontal="center"/>
    </xf>
    <xf numFmtId="0" fontId="22" fillId="0" borderId="0" xfId="271" applyFont="1" applyAlignment="1">
      <alignment horizontal="left"/>
    </xf>
    <xf numFmtId="0" fontId="22" fillId="0" borderId="0" xfId="271" applyFont="1" applyFill="1" applyAlignment="1" applyProtection="1"/>
    <xf numFmtId="0" fontId="22" fillId="0" borderId="0" xfId="0" applyFont="1" applyFill="1" applyBorder="1" applyAlignment="1" applyProtection="1"/>
    <xf numFmtId="4" fontId="48" fillId="0" borderId="0" xfId="0" applyNumberFormat="1" applyFont="1" applyAlignment="1" applyProtection="1">
      <alignment horizontal="center"/>
    </xf>
    <xf numFmtId="4" fontId="22" fillId="0" borderId="0" xfId="0" applyNumberFormat="1" applyFont="1" applyAlignment="1" applyProtection="1">
      <alignment horizontal="center"/>
    </xf>
    <xf numFmtId="4" fontId="0" fillId="0" borderId="0" xfId="0" applyNumberFormat="1" applyFill="1" applyProtection="1"/>
    <xf numFmtId="0" fontId="32" fillId="0" borderId="1" xfId="543" applyFont="1" applyBorder="1" applyAlignment="1" applyProtection="1">
      <alignment horizontal="left" vertical="top" wrapText="1"/>
    </xf>
    <xf numFmtId="0" fontId="32" fillId="0" borderId="12" xfId="543" applyFont="1" applyBorder="1" applyAlignment="1" applyProtection="1">
      <alignment horizontal="center" vertical="top" wrapText="1"/>
    </xf>
    <xf numFmtId="0" fontId="32" fillId="0" borderId="8" xfId="543" applyFont="1" applyBorder="1" applyAlignment="1" applyProtection="1">
      <alignment horizontal="left" vertical="top" wrapText="1"/>
    </xf>
    <xf numFmtId="0" fontId="27" fillId="3" borderId="4" xfId="271" applyFont="1" applyFill="1" applyBorder="1" applyAlignment="1" applyProtection="1">
      <alignment vertical="top" wrapText="1"/>
    </xf>
    <xf numFmtId="0" fontId="19" fillId="3" borderId="11" xfId="271" applyFont="1" applyFill="1" applyBorder="1" applyAlignment="1" applyProtection="1">
      <alignment vertical="top"/>
    </xf>
    <xf numFmtId="0" fontId="20" fillId="0" borderId="9" xfId="271" applyFont="1" applyBorder="1" applyAlignment="1" applyProtection="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pplyProtection="1">
      <alignment horizontal="center" wrapText="1"/>
    </xf>
    <xf numFmtId="0" fontId="45" fillId="2" borderId="11" xfId="271" applyFont="1" applyFill="1" applyBorder="1" applyAlignment="1" applyProtection="1">
      <alignment horizontal="left" vertical="top" wrapText="1"/>
    </xf>
    <xf numFmtId="0" fontId="22" fillId="0" borderId="11" xfId="271" applyFont="1" applyBorder="1" applyAlignment="1" applyProtection="1">
      <alignment vertical="top" wrapText="1"/>
      <protection locked="0"/>
    </xf>
    <xf numFmtId="168" fontId="22" fillId="5" borderId="11" xfId="271" applyNumberFormat="1" applyFont="1" applyFill="1" applyBorder="1" applyAlignment="1" applyProtection="1">
      <alignment vertical="top" wrapText="1"/>
      <protection locked="0"/>
    </xf>
    <xf numFmtId="0" fontId="22" fillId="5" borderId="3" xfId="271" applyFont="1" applyFill="1" applyBorder="1" applyAlignment="1" applyProtection="1">
      <alignment vertical="top" wrapText="1"/>
      <protection locked="0"/>
    </xf>
    <xf numFmtId="0" fontId="22" fillId="5" borderId="11" xfId="271" applyFont="1" applyFill="1" applyBorder="1" applyAlignment="1" applyProtection="1">
      <alignment vertical="top" wrapText="1"/>
      <protection locked="0"/>
    </xf>
    <xf numFmtId="0" fontId="22" fillId="0" borderId="11" xfId="271" applyFont="1" applyBorder="1" applyAlignment="1" applyProtection="1">
      <alignment horizontal="right" vertical="top" wrapText="1"/>
    </xf>
    <xf numFmtId="168" fontId="22" fillId="0" borderId="11" xfId="271" applyNumberFormat="1" applyFont="1" applyFill="1" applyBorder="1" applyAlignment="1" applyProtection="1">
      <alignment vertical="top" wrapText="1"/>
    </xf>
    <xf numFmtId="0" fontId="20" fillId="0" borderId="11" xfId="271" applyFont="1" applyBorder="1" applyAlignment="1" applyProtection="1">
      <alignment horizontal="right" vertical="top" wrapText="1"/>
    </xf>
    <xf numFmtId="0" fontId="22" fillId="5" borderId="11" xfId="271" applyFont="1" applyFill="1" applyBorder="1" applyAlignment="1" applyProtection="1">
      <alignment horizontal="right" vertical="top" wrapText="1"/>
      <protection locked="0"/>
    </xf>
    <xf numFmtId="168" fontId="20" fillId="0" borderId="11" xfId="271" applyNumberFormat="1" applyFont="1" applyFill="1" applyBorder="1" applyAlignment="1" applyProtection="1">
      <alignment vertical="top" wrapText="1"/>
    </xf>
    <xf numFmtId="0" fontId="30" fillId="0" borderId="11" xfId="271" applyFont="1" applyBorder="1" applyAlignment="1" applyProtection="1">
      <alignment horizontal="right" vertical="top" wrapText="1"/>
    </xf>
    <xf numFmtId="0" fontId="22" fillId="0" borderId="11" xfId="271" applyFont="1" applyFill="1" applyBorder="1" applyAlignment="1" applyProtection="1">
      <alignment horizontal="right" vertical="top" wrapText="1"/>
    </xf>
    <xf numFmtId="0" fontId="27" fillId="0" borderId="0" xfId="271" applyFont="1" applyBorder="1" applyAlignment="1" applyProtection="1">
      <alignment horizontal="right" vertical="top" wrapText="1"/>
      <protection locked="0"/>
    </xf>
    <xf numFmtId="0" fontId="27" fillId="0" borderId="0" xfId="271" applyFont="1" applyBorder="1" applyAlignment="1" applyProtection="1">
      <alignment vertical="top" wrapText="1"/>
      <protection locked="0"/>
    </xf>
    <xf numFmtId="0" fontId="22" fillId="0" borderId="5" xfId="271" applyFont="1" applyBorder="1" applyAlignment="1" applyProtection="1">
      <alignment vertical="top" wrapText="1"/>
      <protection locked="0"/>
    </xf>
    <xf numFmtId="0" fontId="20" fillId="0" borderId="3" xfId="271" applyFont="1" applyBorder="1" applyAlignment="1" applyProtection="1">
      <alignment horizontal="left" vertical="top"/>
    </xf>
    <xf numFmtId="0" fontId="22" fillId="0" borderId="4" xfId="271" applyFont="1" applyBorder="1" applyAlignment="1" applyProtection="1">
      <alignment horizontal="left" vertical="top"/>
      <protection locked="0"/>
    </xf>
    <xf numFmtId="0" fontId="22" fillId="0" borderId="4" xfId="271" applyFont="1" applyBorder="1" applyAlignment="1" applyProtection="1">
      <alignment vertical="top" wrapText="1"/>
      <protection locked="0"/>
    </xf>
    <xf numFmtId="0" fontId="27" fillId="0" borderId="0" xfId="271" applyFont="1" applyBorder="1" applyAlignment="1" applyProtection="1">
      <alignment vertical="top" wrapText="1"/>
    </xf>
    <xf numFmtId="0" fontId="22" fillId="0" borderId="4" xfId="271" applyFont="1" applyBorder="1" applyAlignment="1" applyProtection="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pplyProtection="1">
      <alignment horizontal="right" vertical="top" wrapText="1"/>
    </xf>
    <xf numFmtId="0" fontId="59" fillId="0" borderId="0" xfId="542" applyProtection="1"/>
    <xf numFmtId="0" fontId="22" fillId="0" borderId="0" xfId="0" applyFont="1" applyFill="1" applyAlignment="1">
      <alignment horizontal="center"/>
    </xf>
    <xf numFmtId="0" fontId="22" fillId="0" borderId="0" xfId="271" applyFont="1" applyFill="1" applyAlignment="1">
      <alignment horizontal="left"/>
    </xf>
    <xf numFmtId="0" fontId="22" fillId="0" borderId="0" xfId="271" applyFont="1" applyBorder="1"/>
    <xf numFmtId="0" fontId="22" fillId="8" borderId="0" xfId="542" quotePrefix="1" applyFont="1" applyFill="1" applyAlignment="1" applyProtection="1">
      <alignment horizontal="left"/>
    </xf>
    <xf numFmtId="0" fontId="13" fillId="0" borderId="0" xfId="0" applyFont="1" applyAlignment="1" applyProtection="1">
      <alignment horizontal="left"/>
    </xf>
    <xf numFmtId="0" fontId="22" fillId="8" borderId="0" xfId="542" applyFont="1" applyFill="1" applyProtection="1"/>
    <xf numFmtId="0" fontId="30" fillId="8" borderId="0" xfId="542" applyFont="1" applyFill="1" applyAlignment="1" applyProtection="1"/>
    <xf numFmtId="0" fontId="50" fillId="0" borderId="11" xfId="271" applyFont="1" applyFill="1" applyBorder="1" applyAlignment="1" applyProtection="1">
      <alignment horizontal="right" vertical="top"/>
    </xf>
    <xf numFmtId="0" fontId="50" fillId="0" borderId="11" xfId="271" applyFont="1" applyFill="1" applyBorder="1" applyAlignment="1" applyProtection="1">
      <alignment horizontal="right" vertical="top" wrapText="1"/>
    </xf>
    <xf numFmtId="0" fontId="22" fillId="0" borderId="0" xfId="271" applyFont="1" applyFill="1" applyAlignment="1" applyProtection="1">
      <alignment horizontal="left" vertical="top"/>
    </xf>
    <xf numFmtId="0" fontId="22" fillId="0" borderId="0" xfId="271" applyNumberFormat="1" applyFont="1" applyFill="1" applyAlignment="1" applyProtection="1">
      <alignment horizontal="left" vertical="top"/>
    </xf>
    <xf numFmtId="0" fontId="20" fillId="0" borderId="0" xfId="271" applyFont="1" applyAlignment="1" applyProtection="1">
      <alignment horizontal="right"/>
    </xf>
    <xf numFmtId="0" fontId="21" fillId="0" borderId="0" xfId="271" applyFont="1" applyFill="1" applyBorder="1" applyAlignment="1" applyProtection="1">
      <alignment horizontal="center"/>
    </xf>
    <xf numFmtId="5" fontId="22" fillId="0" borderId="0" xfId="542" applyNumberFormat="1" applyFont="1" applyProtection="1"/>
    <xf numFmtId="1" fontId="22" fillId="0" borderId="15" xfId="271" applyNumberFormat="1" applyFont="1" applyBorder="1" applyProtection="1"/>
    <xf numFmtId="1" fontId="22" fillId="0" borderId="14" xfId="271" applyNumberFormat="1" applyFont="1" applyBorder="1" applyProtection="1"/>
    <xf numFmtId="0" fontId="21" fillId="0" borderId="6" xfId="271" applyFont="1" applyFill="1" applyBorder="1" applyAlignment="1" applyProtection="1">
      <alignment horizontal="left"/>
    </xf>
    <xf numFmtId="0" fontId="21" fillId="0" borderId="6" xfId="271" applyFont="1" applyFill="1" applyBorder="1" applyAlignment="1" applyProtection="1">
      <alignment horizontal="right"/>
    </xf>
    <xf numFmtId="165" fontId="22" fillId="0" borderId="0" xfId="271" applyNumberFormat="1" applyFont="1" applyProtection="1"/>
    <xf numFmtId="170" fontId="22" fillId="0" borderId="14" xfId="271" applyNumberFormat="1" applyFont="1" applyBorder="1" applyProtection="1"/>
    <xf numFmtId="1" fontId="20" fillId="0" borderId="11" xfId="271" applyNumberFormat="1" applyFont="1" applyBorder="1" applyProtection="1"/>
    <xf numFmtId="165" fontId="20" fillId="0" borderId="11" xfId="271" applyNumberFormat="1" applyFont="1" applyBorder="1" applyProtection="1"/>
    <xf numFmtId="3" fontId="53" fillId="0" borderId="11" xfId="0" applyNumberFormat="1" applyFont="1" applyBorder="1" applyAlignment="1" applyProtection="1">
      <alignment vertical="top" wrapText="1"/>
    </xf>
    <xf numFmtId="166" fontId="22" fillId="0" borderId="0" xfId="0" applyNumberFormat="1" applyFont="1" applyFill="1" applyBorder="1" applyAlignment="1" applyProtection="1"/>
    <xf numFmtId="0" fontId="0" fillId="0" borderId="0" xfId="0" applyAlignment="1" applyProtection="1">
      <protection locked="0"/>
    </xf>
    <xf numFmtId="0" fontId="22" fillId="0" borderId="0" xfId="271" applyFont="1" applyAlignment="1" applyProtection="1">
      <alignment horizontal="left"/>
    </xf>
    <xf numFmtId="49" fontId="0" fillId="0" borderId="0" xfId="0" applyNumberFormat="1" applyFill="1"/>
    <xf numFmtId="49" fontId="22" fillId="0" borderId="0" xfId="0" applyNumberFormat="1" applyFont="1" applyFill="1" applyAlignment="1">
      <alignment horizontal="center"/>
    </xf>
    <xf numFmtId="49" fontId="22" fillId="0" borderId="0" xfId="0" applyNumberFormat="1" applyFont="1" applyFill="1"/>
    <xf numFmtId="0" fontId="20" fillId="0" borderId="0" xfId="271" applyFont="1" applyFill="1" applyAlignment="1">
      <alignment horizontal="left"/>
    </xf>
    <xf numFmtId="0" fontId="18" fillId="0" borderId="0" xfId="0" applyFont="1" applyProtection="1">
      <protection locked="0"/>
    </xf>
    <xf numFmtId="0" fontId="18" fillId="0" borderId="0" xfId="271" applyFont="1" applyBorder="1" applyProtection="1">
      <protection locked="0"/>
    </xf>
    <xf numFmtId="168" fontId="18" fillId="0" borderId="0" xfId="271" applyNumberFormat="1" applyFont="1" applyBorder="1" applyProtection="1">
      <protection locked="0"/>
    </xf>
    <xf numFmtId="49" fontId="22" fillId="0" borderId="0" xfId="271" applyNumberFormat="1" applyFont="1"/>
    <xf numFmtId="4" fontId="22" fillId="0" borderId="0" xfId="271" applyNumberFormat="1" applyFont="1" applyFill="1" applyAlignment="1" applyProtection="1">
      <alignment horizontal="left"/>
    </xf>
    <xf numFmtId="0" fontId="0" fillId="0" borderId="0" xfId="0" applyFont="1" applyProtection="1"/>
    <xf numFmtId="0" fontId="26" fillId="0" borderId="1" xfId="0" applyFont="1" applyBorder="1" applyProtection="1"/>
    <xf numFmtId="0" fontId="13" fillId="0" borderId="2" xfId="0" applyFont="1" applyFill="1" applyBorder="1" applyAlignment="1" applyProtection="1">
      <alignment horizontal="left"/>
    </xf>
    <xf numFmtId="0" fontId="13" fillId="0" borderId="2" xfId="0" applyFont="1" applyBorder="1" applyProtection="1"/>
    <xf numFmtId="0" fontId="26" fillId="0" borderId="8" xfId="0" applyFont="1" applyBorder="1" applyProtection="1"/>
    <xf numFmtId="0" fontId="26" fillId="0" borderId="9" xfId="0" applyFont="1" applyBorder="1" applyProtection="1"/>
    <xf numFmtId="0" fontId="20" fillId="0" borderId="0" xfId="0" applyFont="1" applyBorder="1" applyAlignment="1" applyProtection="1">
      <alignment horizontal="left" vertical="top"/>
    </xf>
    <xf numFmtId="49" fontId="20" fillId="0" borderId="0" xfId="0" applyNumberFormat="1" applyFont="1" applyFill="1" applyAlignment="1">
      <alignment horizontal="center"/>
    </xf>
    <xf numFmtId="49" fontId="20" fillId="0" borderId="0" xfId="0" applyNumberFormat="1" applyFont="1" applyFill="1" applyAlignment="1" applyProtection="1">
      <alignment horizontal="center"/>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0" fontId="30" fillId="0" borderId="0" xfId="0" applyFont="1" applyFill="1"/>
    <xf numFmtId="172" fontId="22" fillId="5" borderId="0" xfId="0" applyNumberFormat="1" applyFont="1" applyFill="1" applyAlignment="1">
      <alignment horizontal="center"/>
    </xf>
    <xf numFmtId="1" fontId="22" fillId="0" borderId="0" xfId="0" applyNumberFormat="1" applyFont="1" applyFill="1" applyBorder="1" applyAlignment="1" applyProtection="1">
      <alignment horizontal="center"/>
    </xf>
    <xf numFmtId="0" fontId="20" fillId="0" borderId="0" xfId="271" applyFont="1" applyBorder="1" applyAlignment="1" applyProtection="1">
      <alignment horizontal="right"/>
    </xf>
    <xf numFmtId="0" fontId="22" fillId="0" borderId="0" xfId="271" applyFont="1" applyFill="1" applyAlignment="1" applyProtection="1">
      <alignment horizontal="left"/>
      <protection locked="0"/>
    </xf>
    <xf numFmtId="0" fontId="22" fillId="0" borderId="0" xfId="0" applyFont="1" applyFill="1" applyAlignment="1" applyProtection="1">
      <alignment horizontal="left"/>
      <protection locked="0"/>
    </xf>
    <xf numFmtId="0" fontId="72" fillId="0" borderId="0" xfId="0" applyFont="1" applyBorder="1" applyAlignment="1" applyProtection="1">
      <alignment horizontal="left" vertical="center"/>
    </xf>
    <xf numFmtId="0" fontId="22" fillId="0" borderId="0" xfId="271" applyBorder="1"/>
    <xf numFmtId="0" fontId="32" fillId="0" borderId="2" xfId="543" applyFont="1" applyBorder="1" applyAlignment="1" applyProtection="1">
      <alignment horizontal="center" vertical="top" wrapText="1"/>
    </xf>
    <xf numFmtId="49" fontId="43" fillId="0" borderId="0" xfId="0" applyNumberFormat="1" applyFont="1" applyFill="1" applyBorder="1" applyAlignment="1">
      <alignment horizontal="center"/>
    </xf>
    <xf numFmtId="49" fontId="43" fillId="0" borderId="0" xfId="0" applyNumberFormat="1" applyFont="1" applyFill="1" applyBorder="1" applyAlignment="1" applyProtection="1">
      <alignment horizontal="center"/>
    </xf>
    <xf numFmtId="0" fontId="20" fillId="0" borderId="0" xfId="0" applyFont="1" applyFill="1" applyProtection="1"/>
    <xf numFmtId="0" fontId="22" fillId="0" borderId="0" xfId="271" applyFont="1" applyFill="1" applyBorder="1" applyAlignment="1" applyProtection="1">
      <alignment horizontal="left"/>
    </xf>
    <xf numFmtId="0" fontId="48" fillId="0" borderId="0" xfId="271" applyFont="1" applyAlignment="1" applyProtection="1">
      <alignment horizontal="center"/>
    </xf>
    <xf numFmtId="49" fontId="22" fillId="0" borderId="0" xfId="271" applyNumberFormat="1" applyAlignment="1">
      <alignment horizontal="center"/>
    </xf>
    <xf numFmtId="0" fontId="50" fillId="0" borderId="11" xfId="271" applyFont="1" applyBorder="1" applyAlignment="1" applyProtection="1">
      <alignment horizontal="right" vertical="top"/>
    </xf>
    <xf numFmtId="0" fontId="50" fillId="0" borderId="0" xfId="0" applyFont="1" applyProtection="1"/>
    <xf numFmtId="5" fontId="76" fillId="0" borderId="11" xfId="541" applyNumberFormat="1" applyFont="1" applyFill="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22" fillId="0" borderId="0" xfId="0" applyFont="1" applyBorder="1" applyAlignment="1" applyProtection="1">
      <alignment vertical="top" wrapText="1"/>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50" fillId="2" borderId="0" xfId="0" applyFont="1" applyFill="1" applyBorder="1" applyAlignment="1" applyProtection="1">
      <alignment vertical="top" wrapText="1"/>
    </xf>
    <xf numFmtId="0" fontId="78" fillId="0" borderId="13" xfId="0" applyFont="1" applyBorder="1" applyAlignment="1" applyProtection="1">
      <alignment vertical="top" wrapText="1"/>
    </xf>
    <xf numFmtId="0" fontId="27" fillId="0" borderId="0" xfId="0" applyFont="1" applyBorder="1" applyAlignment="1" applyProtection="1">
      <alignment vertical="top" wrapText="1"/>
    </xf>
    <xf numFmtId="0" fontId="78" fillId="2" borderId="13" xfId="0" applyFont="1" applyFill="1" applyBorder="1" applyAlignment="1" applyProtection="1">
      <alignment vertical="top" wrapText="1"/>
    </xf>
    <xf numFmtId="0" fontId="78" fillId="0" borderId="0" xfId="0" applyFont="1" applyBorder="1" applyAlignment="1" applyProtection="1">
      <alignment vertical="top" wrapText="1"/>
    </xf>
    <xf numFmtId="0" fontId="78"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pplyProtection="1">
      <alignment horizontal="right" vertical="top" wrapText="1"/>
    </xf>
    <xf numFmtId="0" fontId="22" fillId="0" borderId="0" xfId="0" applyFont="1" applyAlignment="1">
      <alignment vertical="top"/>
    </xf>
    <xf numFmtId="0" fontId="20" fillId="0" borderId="0" xfId="0" applyFont="1" applyBorder="1" applyAlignment="1" applyProtection="1">
      <alignment horizontal="left" vertical="top" wrapText="1"/>
    </xf>
    <xf numFmtId="0" fontId="22" fillId="0" borderId="0" xfId="0" applyFont="1" applyBorder="1" applyAlignment="1" applyProtection="1">
      <alignment horizontal="right" vertical="top" wrapText="1"/>
    </xf>
    <xf numFmtId="0" fontId="22" fillId="0" borderId="0" xfId="0" applyFont="1" applyBorder="1" applyAlignment="1" applyProtection="1">
      <alignment horizontal="left" vertical="top"/>
    </xf>
    <xf numFmtId="10" fontId="22" fillId="5" borderId="6" xfId="0" applyNumberFormat="1" applyFont="1" applyFill="1" applyBorder="1" applyAlignment="1" applyProtection="1">
      <alignment horizontal="center" vertical="top" wrapText="1"/>
      <protection locked="0"/>
    </xf>
    <xf numFmtId="0" fontId="61" fillId="0" borderId="0" xfId="0" applyFont="1" applyBorder="1" applyAlignment="1" applyProtection="1">
      <alignment horizontal="left" vertical="center"/>
    </xf>
    <xf numFmtId="0" fontId="20" fillId="0" borderId="2" xfId="543" applyFont="1" applyBorder="1" applyAlignment="1" applyProtection="1">
      <alignment horizontal="center"/>
    </xf>
    <xf numFmtId="0" fontId="0" fillId="0" borderId="0" xfId="543" applyNumberFormat="1" applyFont="1" applyProtection="1"/>
    <xf numFmtId="0" fontId="14" fillId="0" borderId="0" xfId="244" quotePrefix="1" applyAlignment="1" applyProtection="1">
      <alignment horizontal="left"/>
    </xf>
    <xf numFmtId="168" fontId="50"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102" fillId="0" borderId="0" xfId="0" applyFont="1" applyBorder="1" applyAlignment="1" applyProtection="1">
      <alignment horizontal="left" vertical="top"/>
    </xf>
    <xf numFmtId="0" fontId="103" fillId="0" borderId="0" xfId="0" applyFont="1" applyBorder="1" applyAlignment="1" applyProtection="1">
      <alignment horizontal="left" vertical="top"/>
    </xf>
    <xf numFmtId="0" fontId="71" fillId="0" borderId="0" xfId="0" applyFont="1"/>
    <xf numFmtId="0" fontId="20" fillId="8" borderId="11" xfId="542" applyFont="1" applyFill="1" applyBorder="1" applyAlignment="1" applyProtection="1">
      <alignment horizontal="left"/>
    </xf>
    <xf numFmtId="0" fontId="20" fillId="8" borderId="11" xfId="542" applyFont="1" applyFill="1" applyBorder="1" applyAlignment="1" applyProtection="1">
      <alignment horizontal="center"/>
    </xf>
    <xf numFmtId="0" fontId="60" fillId="8" borderId="11" xfId="542" applyFont="1" applyFill="1" applyBorder="1" applyAlignment="1" applyProtection="1">
      <alignment horizontal="left"/>
    </xf>
    <xf numFmtId="0" fontId="60" fillId="0" borderId="11" xfId="542" applyFont="1" applyBorder="1" applyAlignment="1" applyProtection="1">
      <alignment horizontal="left"/>
    </xf>
    <xf numFmtId="0" fontId="27" fillId="0" borderId="0" xfId="271" applyFont="1" applyFill="1" applyBorder="1" applyAlignment="1" applyProtection="1">
      <alignment vertical="top" wrapText="1"/>
      <protection locked="0"/>
    </xf>
    <xf numFmtId="0" fontId="20" fillId="0" borderId="0" xfId="271" applyFont="1" applyFill="1" applyBorder="1" applyAlignment="1" applyProtection="1">
      <alignment horizontal="center" wrapText="1"/>
      <protection locked="0"/>
    </xf>
    <xf numFmtId="0" fontId="20" fillId="0" borderId="0" xfId="271" applyFont="1" applyBorder="1" applyAlignment="1" applyProtection="1">
      <alignment horizontal="center" wrapText="1"/>
      <protection locked="0"/>
    </xf>
    <xf numFmtId="0" fontId="22" fillId="0" borderId="0" xfId="271" applyFont="1" applyFill="1" applyBorder="1" applyAlignment="1" applyProtection="1">
      <alignment vertical="top" wrapText="1"/>
      <protection locked="0"/>
    </xf>
    <xf numFmtId="0" fontId="22" fillId="0" borderId="0" xfId="271" applyFont="1" applyBorder="1" applyAlignment="1" applyProtection="1">
      <alignment vertical="top"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20" fillId="0" borderId="8" xfId="271" applyFont="1" applyFill="1" applyBorder="1" applyAlignment="1" applyProtection="1">
      <alignment horizontal="center" wrapText="1"/>
      <protection locked="0"/>
    </xf>
    <xf numFmtId="0" fontId="22" fillId="0" borderId="8" xfId="271" applyFont="1" applyFill="1" applyBorder="1" applyAlignment="1" applyProtection="1">
      <alignment vertical="top" wrapText="1"/>
      <protection locked="0"/>
    </xf>
    <xf numFmtId="0" fontId="20" fillId="0" borderId="8" xfId="271" applyFont="1" applyFill="1" applyBorder="1" applyAlignment="1" applyProtection="1">
      <alignment vertical="top" wrapText="1"/>
      <protection locked="0"/>
    </xf>
    <xf numFmtId="0" fontId="22" fillId="0" borderId="8" xfId="271" applyFont="1" applyBorder="1" applyAlignment="1" applyProtection="1">
      <alignment vertical="top" wrapText="1"/>
      <protection locked="0"/>
    </xf>
    <xf numFmtId="0" fontId="22" fillId="0" borderId="0" xfId="0" applyFont="1" applyAlignment="1" applyProtection="1">
      <alignment horizontal="center"/>
    </xf>
    <xf numFmtId="0" fontId="22" fillId="0" borderId="0" xfId="0" applyFont="1" applyAlignment="1" applyProtection="1">
      <alignment horizontal="center"/>
    </xf>
    <xf numFmtId="0" fontId="13" fillId="0" borderId="0" xfId="0" applyFont="1" applyAlignment="1">
      <alignment horizontal="center"/>
    </xf>
    <xf numFmtId="0" fontId="13" fillId="0" borderId="0" xfId="0" applyFont="1" applyFill="1" applyAlignment="1">
      <alignment horizontal="center"/>
    </xf>
    <xf numFmtId="0" fontId="22" fillId="0" borderId="0" xfId="0" applyFont="1" applyAlignment="1" applyProtection="1">
      <alignment horizontal="center"/>
    </xf>
    <xf numFmtId="0" fontId="27" fillId="0" borderId="8" xfId="569" applyFont="1" applyBorder="1" applyAlignment="1" applyProtection="1">
      <alignment vertical="top" wrapText="1"/>
    </xf>
    <xf numFmtId="0" fontId="27" fillId="0" borderId="0" xfId="569" applyFont="1" applyBorder="1" applyAlignment="1" applyProtection="1">
      <alignment vertical="top" wrapText="1"/>
    </xf>
    <xf numFmtId="0" fontId="52" fillId="2" borderId="11" xfId="569" applyFont="1" applyFill="1" applyBorder="1" applyAlignment="1" applyProtection="1">
      <alignment horizontal="left" vertical="top" wrapText="1"/>
    </xf>
    <xf numFmtId="6" fontId="50" fillId="4" borderId="11" xfId="569" applyNumberFormat="1" applyFont="1" applyFill="1" applyBorder="1" applyAlignment="1" applyProtection="1">
      <alignmen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6" fontId="50" fillId="0" borderId="11" xfId="569" applyNumberFormat="1" applyFont="1" applyFill="1" applyBorder="1" applyAlignment="1" applyProtection="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pplyProtection="1">
      <alignment horizontal="center" vertical="top" wrapText="1"/>
    </xf>
    <xf numFmtId="0" fontId="50" fillId="0" borderId="11" xfId="569" applyFont="1" applyBorder="1" applyAlignment="1" applyProtection="1">
      <alignment horizontal="right" vertical="top" wrapText="1"/>
    </xf>
    <xf numFmtId="0" fontId="51" fillId="0" borderId="11" xfId="569" applyFont="1" applyBorder="1" applyAlignment="1" applyProtection="1">
      <alignment horizontal="right" vertical="top" wrapText="1"/>
    </xf>
    <xf numFmtId="0" fontId="50" fillId="0" borderId="11" xfId="569" applyFont="1" applyFill="1" applyBorder="1" applyAlignment="1" applyProtection="1">
      <alignment horizontal="right" vertical="top"/>
    </xf>
    <xf numFmtId="0" fontId="50" fillId="0" borderId="11" xfId="569" applyFont="1" applyFill="1" applyBorder="1" applyAlignment="1" applyProtection="1">
      <alignment horizontal="right" vertical="top" wrapText="1"/>
    </xf>
    <xf numFmtId="6" fontId="51" fillId="0" borderId="11" xfId="569" applyNumberFormat="1" applyFont="1" applyFill="1" applyBorder="1" applyAlignment="1" applyProtection="1">
      <alignment vertical="top" wrapText="1"/>
    </xf>
    <xf numFmtId="0" fontId="51" fillId="0" borderId="11" xfId="569" applyFont="1" applyFill="1" applyBorder="1" applyAlignment="1" applyProtection="1">
      <alignment horizontal="right" vertical="top" wrapText="1"/>
    </xf>
    <xf numFmtId="0" fontId="51" fillId="0" borderId="8" xfId="569" applyFont="1" applyBorder="1" applyAlignment="1" applyProtection="1">
      <alignment vertical="top" wrapText="1"/>
    </xf>
    <xf numFmtId="0" fontId="51" fillId="0" borderId="0" xfId="569" applyFont="1" applyBorder="1" applyAlignment="1" applyProtection="1">
      <alignment vertical="top" wrapText="1"/>
    </xf>
    <xf numFmtId="0" fontId="16" fillId="0" borderId="11" xfId="569" applyFont="1" applyBorder="1" applyAlignment="1" applyProtection="1">
      <alignment horizontal="right" vertical="top" wrapText="1"/>
    </xf>
    <xf numFmtId="0" fontId="51" fillId="0" borderId="0" xfId="569" applyFont="1" applyBorder="1" applyAlignment="1" applyProtection="1">
      <alignment horizontal="left" vertical="top"/>
    </xf>
    <xf numFmtId="6" fontId="50" fillId="0" borderId="0" xfId="569" applyNumberFormat="1" applyFont="1" applyBorder="1" applyAlignment="1" applyProtection="1">
      <alignment horizontal="left" vertical="top"/>
    </xf>
    <xf numFmtId="0" fontId="103" fillId="0" borderId="0" xfId="569" applyFont="1" applyBorder="1" applyAlignment="1" applyProtection="1">
      <alignment horizontal="left" vertical="top"/>
    </xf>
    <xf numFmtId="6" fontId="50" fillId="0" borderId="0" xfId="569" applyNumberFormat="1" applyFont="1" applyBorder="1" applyAlignment="1" applyProtection="1">
      <alignment vertical="top" wrapText="1"/>
    </xf>
    <xf numFmtId="6" fontId="51" fillId="0" borderId="11" xfId="569" applyNumberFormat="1" applyFont="1" applyBorder="1" applyAlignment="1" applyProtection="1">
      <alignment vertical="top" wrapText="1"/>
    </xf>
    <xf numFmtId="0" fontId="50" fillId="0" borderId="0" xfId="569" applyFont="1" applyBorder="1" applyAlignment="1" applyProtection="1">
      <alignment horizontal="left" vertical="top"/>
    </xf>
    <xf numFmtId="0" fontId="50" fillId="0" borderId="12" xfId="569" applyFont="1" applyBorder="1" applyAlignment="1" applyProtection="1">
      <alignment vertical="top" wrapText="1"/>
    </xf>
    <xf numFmtId="0" fontId="20" fillId="0" borderId="0" xfId="569" applyFont="1" applyBorder="1" applyAlignment="1" applyProtection="1">
      <alignment horizontal="left" vertical="top"/>
    </xf>
    <xf numFmtId="0" fontId="106" fillId="0" borderId="0" xfId="569" applyFont="1" applyBorder="1" applyAlignment="1" applyProtection="1">
      <alignment horizontal="left" vertical="top"/>
    </xf>
    <xf numFmtId="0" fontId="61" fillId="0" borderId="0" xfId="569" applyFont="1" applyFill="1" applyBorder="1" applyAlignment="1" applyProtection="1">
      <alignment horizontal="left" vertical="center"/>
    </xf>
    <xf numFmtId="0" fontId="28" fillId="0" borderId="0" xfId="569" applyFont="1" applyFill="1" applyBorder="1" applyAlignment="1" applyProtection="1">
      <alignment vertical="top" wrapText="1"/>
    </xf>
    <xf numFmtId="0" fontId="28" fillId="0" borderId="0" xfId="569" applyFont="1" applyBorder="1" applyAlignment="1" applyProtection="1">
      <alignment vertical="top" wrapText="1"/>
    </xf>
    <xf numFmtId="0" fontId="28" fillId="0" borderId="12" xfId="569" applyFont="1" applyBorder="1" applyAlignment="1" applyProtection="1">
      <alignment vertical="top" wrapText="1"/>
    </xf>
    <xf numFmtId="0" fontId="28" fillId="0" borderId="8" xfId="569" applyFont="1" applyBorder="1" applyAlignment="1" applyProtection="1">
      <alignment vertical="top" wrapText="1"/>
    </xf>
    <xf numFmtId="0" fontId="50" fillId="0" borderId="0" xfId="569" applyFont="1" applyFill="1" applyBorder="1" applyAlignment="1" applyProtection="1">
      <alignment vertical="top"/>
    </xf>
    <xf numFmtId="0" fontId="50" fillId="0" borderId="0" xfId="569" applyFont="1" applyFill="1" applyBorder="1" applyAlignment="1" applyProtection="1">
      <alignment vertical="top" wrapText="1"/>
    </xf>
    <xf numFmtId="168" fontId="50" fillId="0" borderId="0" xfId="569" applyNumberFormat="1" applyFont="1" applyFill="1" applyBorder="1" applyAlignment="1" applyProtection="1">
      <alignment horizontal="right" vertical="top" wrapText="1"/>
      <protection locked="0"/>
    </xf>
    <xf numFmtId="0" fontId="13" fillId="0" borderId="0" xfId="569" applyFont="1" applyFill="1" applyBorder="1" applyAlignment="1" applyProtection="1">
      <alignment vertical="top" wrapText="1"/>
    </xf>
    <xf numFmtId="0" fontId="13" fillId="0" borderId="0" xfId="569" applyFont="1" applyFill="1" applyBorder="1" applyAlignment="1">
      <alignment vertical="top"/>
    </xf>
    <xf numFmtId="0" fontId="50" fillId="0" borderId="0" xfId="569" applyFont="1" applyFill="1" applyBorder="1" applyAlignment="1" applyProtection="1">
      <alignment horizontal="right" vertical="top" wrapText="1"/>
    </xf>
    <xf numFmtId="0" fontId="20" fillId="0" borderId="0" xfId="569" applyFont="1" applyFill="1" applyBorder="1" applyAlignment="1" applyProtection="1">
      <alignment horizontal="left" vertical="top" wrapText="1"/>
    </xf>
    <xf numFmtId="168" fontId="50" fillId="0" borderId="0" xfId="569" applyNumberFormat="1" applyFont="1" applyFill="1" applyBorder="1" applyAlignment="1" applyProtection="1">
      <alignment horizontal="right" vertical="top" wrapText="1"/>
    </xf>
    <xf numFmtId="0" fontId="13" fillId="0" borderId="0" xfId="569" applyFont="1" applyFill="1" applyBorder="1" applyAlignment="1" applyProtection="1">
      <alignment horizontal="left" vertical="top" wrapText="1"/>
      <protection locked="0"/>
    </xf>
    <xf numFmtId="0" fontId="13" fillId="0" borderId="0" xfId="569" applyFont="1" applyFill="1" applyBorder="1" applyAlignment="1" applyProtection="1">
      <alignment horizontal="right" vertical="top" wrapText="1"/>
    </xf>
    <xf numFmtId="0" fontId="13" fillId="0" borderId="0" xfId="569" applyFont="1" applyFill="1" applyBorder="1" applyAlignment="1" applyProtection="1">
      <alignment horizontal="left" vertical="top"/>
    </xf>
    <xf numFmtId="0" fontId="20" fillId="0" borderId="0" xfId="569" applyFont="1" applyFill="1" applyBorder="1" applyAlignment="1" applyProtection="1">
      <alignment horizontal="left" vertical="top"/>
    </xf>
    <xf numFmtId="0" fontId="78" fillId="0" borderId="0" xfId="569" applyFont="1" applyBorder="1" applyAlignment="1" applyProtection="1">
      <alignment vertical="top" wrapText="1"/>
    </xf>
    <xf numFmtId="0" fontId="78" fillId="0" borderId="12" xfId="569" applyFont="1" applyBorder="1" applyAlignment="1" applyProtection="1">
      <alignment vertical="top" wrapText="1"/>
    </xf>
    <xf numFmtId="0" fontId="78" fillId="0" borderId="8" xfId="569" applyFont="1" applyBorder="1" applyAlignment="1" applyProtection="1">
      <alignment vertical="top" wrapText="1"/>
    </xf>
    <xf numFmtId="0" fontId="27" fillId="0" borderId="0" xfId="569" applyFont="1" applyFill="1" applyBorder="1" applyAlignment="1" applyProtection="1">
      <alignment vertical="top" wrapText="1"/>
    </xf>
    <xf numFmtId="0" fontId="13" fillId="0" borderId="0" xfId="569" applyFont="1" applyBorder="1" applyAlignment="1" applyProtection="1">
      <alignment horizontal="right" vertical="top" wrapText="1"/>
    </xf>
    <xf numFmtId="0" fontId="13" fillId="0" borderId="0" xfId="569" applyFont="1" applyBorder="1" applyAlignment="1" applyProtection="1">
      <alignment vertical="top" wrapText="1"/>
    </xf>
    <xf numFmtId="0" fontId="27" fillId="0" borderId="0" xfId="569" applyFont="1" applyBorder="1" applyAlignment="1" applyProtection="1">
      <alignment horizontal="right" vertical="top" wrapText="1"/>
    </xf>
    <xf numFmtId="0" fontId="78" fillId="0" borderId="0" xfId="569" applyFont="1" applyBorder="1" applyAlignment="1" applyProtection="1">
      <alignment horizontal="right" vertical="top" wrapText="1"/>
    </xf>
    <xf numFmtId="0" fontId="51" fillId="0" borderId="3" xfId="569" applyFont="1" applyBorder="1" applyAlignment="1" applyProtection="1">
      <alignment horizontal="left"/>
    </xf>
    <xf numFmtId="0" fontId="51" fillId="0" borderId="13" xfId="569" applyFont="1" applyBorder="1" applyAlignment="1" applyProtection="1">
      <alignment horizontal="center" wrapText="1"/>
    </xf>
    <xf numFmtId="0" fontId="51" fillId="0" borderId="13" xfId="569" applyFont="1" applyFill="1" applyBorder="1" applyAlignment="1" applyProtection="1">
      <alignment horizontal="center" wrapText="1"/>
    </xf>
    <xf numFmtId="0" fontId="51" fillId="0" borderId="8" xfId="569" applyFont="1" applyBorder="1" applyAlignment="1" applyProtection="1">
      <alignment horizontal="center" wrapText="1"/>
    </xf>
    <xf numFmtId="0" fontId="51" fillId="0" borderId="0" xfId="569" applyFont="1" applyBorder="1" applyAlignment="1" applyProtection="1">
      <alignment horizontal="center" wrapText="1"/>
    </xf>
    <xf numFmtId="0" fontId="13" fillId="0" borderId="0" xfId="569" applyFont="1"/>
    <xf numFmtId="0" fontId="13" fillId="0" borderId="0" xfId="569"/>
    <xf numFmtId="0" fontId="13" fillId="0" borderId="0" xfId="569" applyFill="1"/>
    <xf numFmtId="0" fontId="13" fillId="0" borderId="0" xfId="569" applyBorder="1" applyProtection="1"/>
    <xf numFmtId="0" fontId="19" fillId="0" borderId="0" xfId="569" applyFont="1" applyFill="1" applyBorder="1" applyAlignment="1">
      <alignment horizontal="center" vertical="center"/>
    </xf>
    <xf numFmtId="0" fontId="13" fillId="0" borderId="0" xfId="569" applyFont="1" applyFill="1"/>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0"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NumberFormat="1" applyFont="1" applyAlignment="1">
      <alignment vertical="top" wrapText="1"/>
    </xf>
    <xf numFmtId="0" fontId="13" fillId="0" borderId="0" xfId="569" applyFill="1" applyAlignment="1">
      <alignment horizontal="right"/>
    </xf>
    <xf numFmtId="0" fontId="13" fillId="0" borderId="0" xfId="569" applyFill="1" applyBorder="1"/>
    <xf numFmtId="0" fontId="13" fillId="0" borderId="0" xfId="569" applyFont="1" applyBorder="1" applyAlignment="1">
      <alignment wrapText="1"/>
    </xf>
    <xf numFmtId="0" fontId="13" fillId="0" borderId="0" xfId="569" applyFont="1" applyFill="1" applyAlignment="1">
      <alignment vertical="center"/>
    </xf>
    <xf numFmtId="0" fontId="13" fillId="0" borderId="0" xfId="569" applyFill="1" applyAlignment="1">
      <alignment vertical="center"/>
    </xf>
    <xf numFmtId="0" fontId="37" fillId="0" borderId="0" xfId="569" applyFont="1" applyFill="1" applyBorder="1" applyAlignment="1">
      <alignment vertical="center" wrapText="1"/>
    </xf>
    <xf numFmtId="0" fontId="31" fillId="0" borderId="0" xfId="569" applyFont="1" applyAlignment="1">
      <alignment vertical="top" wrapText="1"/>
    </xf>
    <xf numFmtId="0" fontId="13" fillId="0" borderId="0" xfId="569" applyFill="1" applyAlignment="1">
      <alignment wrapText="1"/>
    </xf>
    <xf numFmtId="0" fontId="20" fillId="0" borderId="0" xfId="569" applyFont="1" applyFill="1"/>
    <xf numFmtId="0" fontId="20" fillId="0" borderId="0" xfId="569" applyFont="1" applyFill="1" applyAlignment="1">
      <alignment horizontal="left" vertical="top"/>
    </xf>
    <xf numFmtId="0" fontId="20" fillId="0" borderId="0" xfId="569" applyFont="1" applyFill="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Fill="1" applyBorder="1" applyAlignment="1">
      <alignment horizontal="right"/>
    </xf>
    <xf numFmtId="0" fontId="50" fillId="0" borderId="0" xfId="569" applyFont="1" applyFill="1" applyBorder="1" applyAlignment="1">
      <alignment vertical="top" wrapText="1"/>
    </xf>
    <xf numFmtId="0" fontId="13" fillId="0" borderId="0" xfId="569" applyBorder="1" applyAlignment="1"/>
    <xf numFmtId="168" fontId="13" fillId="0" borderId="0" xfId="569" applyNumberFormat="1" applyFill="1" applyBorder="1" applyAlignment="1">
      <alignment horizontal="right"/>
    </xf>
    <xf numFmtId="0" fontId="104" fillId="0" borderId="0" xfId="569" applyFont="1" applyFill="1" applyBorder="1" applyAlignment="1">
      <alignment horizontal="left" vertical="top" wrapText="1"/>
    </xf>
    <xf numFmtId="0" fontId="20" fillId="0" borderId="0" xfId="569" applyFont="1" applyBorder="1"/>
    <xf numFmtId="168" fontId="13" fillId="0" borderId="0" xfId="569" applyNumberFormat="1" applyFill="1" applyBorder="1" applyAlignment="1">
      <alignment wrapText="1"/>
    </xf>
    <xf numFmtId="0" fontId="13" fillId="0" borderId="0" xfId="569" applyFont="1" applyBorder="1"/>
    <xf numFmtId="0" fontId="18" fillId="0" borderId="0" xfId="0" applyFont="1" applyProtection="1"/>
    <xf numFmtId="0" fontId="18" fillId="0" borderId="11" xfId="253" applyFont="1" applyFill="1" applyBorder="1" applyAlignment="1" applyProtection="1">
      <alignment horizontal="center" wrapText="1"/>
    </xf>
    <xf numFmtId="0" fontId="18" fillId="0" borderId="0" xfId="253" applyFont="1" applyFill="1" applyBorder="1" applyAlignment="1" applyProtection="1">
      <alignment horizontal="center" wrapText="1"/>
    </xf>
    <xf numFmtId="3" fontId="18" fillId="0" borderId="11" xfId="271" applyNumberFormat="1" applyFont="1" applyFill="1" applyBorder="1" applyProtection="1"/>
    <xf numFmtId="3" fontId="18" fillId="0" borderId="0" xfId="271" applyNumberFormat="1" applyFont="1" applyProtection="1"/>
    <xf numFmtId="3" fontId="18" fillId="0" borderId="11" xfId="271" applyNumberFormat="1" applyFont="1" applyBorder="1" applyProtection="1"/>
    <xf numFmtId="3" fontId="18" fillId="0" borderId="0" xfId="271" applyNumberFormat="1" applyFont="1" applyBorder="1" applyProtection="1"/>
    <xf numFmtId="0" fontId="62" fillId="0" borderId="0" xfId="271" applyFont="1" applyAlignment="1" applyProtection="1">
      <alignment horizontal="left"/>
    </xf>
    <xf numFmtId="0" fontId="62" fillId="0" borderId="0" xfId="271" applyFont="1" applyAlignment="1" applyProtection="1">
      <alignment horizontal="right"/>
    </xf>
    <xf numFmtId="168" fontId="18" fillId="0" borderId="11" xfId="271" applyNumberFormat="1" applyFont="1" applyBorder="1" applyProtection="1"/>
    <xf numFmtId="168" fontId="18" fillId="0" borderId="0" xfId="271" applyNumberFormat="1" applyFont="1" applyBorder="1" applyProtection="1"/>
    <xf numFmtId="0" fontId="18" fillId="0" borderId="0" xfId="271" applyFont="1" applyProtection="1"/>
    <xf numFmtId="0" fontId="50" fillId="0" borderId="0" xfId="569" applyFont="1" applyBorder="1" applyAlignment="1">
      <alignment horizontal="left"/>
    </xf>
    <xf numFmtId="0" fontId="13" fillId="0" borderId="3" xfId="569" applyBorder="1"/>
    <xf numFmtId="0" fontId="13" fillId="0" borderId="0" xfId="569"/>
    <xf numFmtId="0" fontId="13" fillId="0" borderId="0" xfId="569" applyFont="1"/>
    <xf numFmtId="0" fontId="31" fillId="0" borderId="0" xfId="0" applyFont="1" applyAlignment="1" applyProtection="1">
      <alignment horizontal="center"/>
    </xf>
    <xf numFmtId="0" fontId="31" fillId="0" borderId="0" xfId="0" applyFont="1" applyFill="1" applyAlignment="1" applyProtection="1">
      <alignment horizontal="center"/>
    </xf>
    <xf numFmtId="0" fontId="20" fillId="0" borderId="0" xfId="0" applyFont="1" applyAlignment="1" applyProtection="1">
      <alignment horizontal="center"/>
    </xf>
    <xf numFmtId="0" fontId="22" fillId="0" borderId="0" xfId="0" applyFont="1" applyAlignment="1" applyProtection="1">
      <alignment horizontal="center"/>
    </xf>
    <xf numFmtId="0" fontId="0" fillId="0" borderId="0" xfId="0" applyFill="1"/>
    <xf numFmtId="0" fontId="13"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5"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3" fillId="0" borderId="0" xfId="0" applyFont="1" applyFill="1" applyBorder="1"/>
    <xf numFmtId="0" fontId="0" fillId="0" borderId="0" xfId="0" applyFont="1" applyFill="1" applyBorder="1" applyProtection="1"/>
    <xf numFmtId="0" fontId="20" fillId="0" borderId="0" xfId="0" applyFont="1" applyAlignment="1" applyProtection="1">
      <alignment horizontal="center"/>
    </xf>
    <xf numFmtId="0" fontId="22" fillId="0" borderId="0" xfId="0" applyFont="1" applyAlignment="1" applyProtection="1">
      <alignment horizontal="center"/>
    </xf>
    <xf numFmtId="0" fontId="104" fillId="0" borderId="0" xfId="0" applyFont="1" applyFill="1" applyBorder="1" applyAlignment="1">
      <alignment vertical="top" wrapText="1"/>
    </xf>
    <xf numFmtId="0" fontId="50" fillId="0" borderId="0" xfId="271" applyFont="1" applyAlignment="1" applyProtection="1">
      <alignment vertical="top" wrapText="1"/>
    </xf>
    <xf numFmtId="0" fontId="13" fillId="0" borderId="0" xfId="569"/>
    <xf numFmtId="0" fontId="13" fillId="0" borderId="0" xfId="569" applyFont="1" applyFill="1"/>
    <xf numFmtId="4" fontId="13" fillId="0" borderId="0" xfId="1192" applyNumberFormat="1" applyFont="1" applyFill="1" applyAlignment="1" applyProtection="1">
      <alignment horizontal="left" vertical="top" wrapText="1"/>
    </xf>
    <xf numFmtId="0" fontId="13" fillId="0" borderId="0" xfId="0" applyFont="1" applyFill="1" applyAlignment="1">
      <alignment horizontal="left" vertical="top" wrapText="1"/>
    </xf>
    <xf numFmtId="0" fontId="13" fillId="0" borderId="0" xfId="271" applyFont="1" applyAlignment="1">
      <alignment horizontal="left" vertical="top" wrapText="1"/>
    </xf>
    <xf numFmtId="0" fontId="13" fillId="0" borderId="0" xfId="0" applyFont="1" applyBorder="1" applyAlignment="1" applyProtection="1">
      <alignment horizontal="center"/>
    </xf>
    <xf numFmtId="0" fontId="13" fillId="0" borderId="0" xfId="0" applyFont="1" applyFill="1" applyAlignment="1">
      <alignment horizontal="left" vertical="top" wrapText="1"/>
    </xf>
    <xf numFmtId="0" fontId="22" fillId="0" borderId="0" xfId="0" applyFont="1" applyAlignment="1" applyProtection="1">
      <alignment horizontal="center"/>
    </xf>
    <xf numFmtId="0" fontId="13" fillId="0" borderId="0" xfId="271" applyFont="1" applyFill="1" applyAlignment="1">
      <alignment horizontal="left" vertical="top" wrapText="1"/>
    </xf>
    <xf numFmtId="0" fontId="13" fillId="0" borderId="0" xfId="0" applyFont="1" applyFill="1" applyAlignment="1" applyProtection="1">
      <alignment horizontal="left" vertical="top" wrapText="1"/>
    </xf>
    <xf numFmtId="0" fontId="20" fillId="0" borderId="12" xfId="543" applyFont="1" applyBorder="1" applyAlignment="1" applyProtection="1">
      <alignment horizontal="right"/>
    </xf>
    <xf numFmtId="0" fontId="32" fillId="0" borderId="0" xfId="543" applyFont="1" applyFill="1" applyBorder="1" applyAlignment="1" applyProtection="1">
      <alignment horizontal="center"/>
    </xf>
    <xf numFmtId="0" fontId="13" fillId="0" borderId="0" xfId="0" applyFont="1" applyAlignment="1">
      <alignment horizontal="left"/>
    </xf>
    <xf numFmtId="0" fontId="22" fillId="0" borderId="0" xfId="0" applyFont="1" applyAlignment="1" applyProtection="1">
      <alignment horizontal="center"/>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0" fillId="0" borderId="0" xfId="0" applyNumberFormat="1" applyFont="1" applyAlignment="1" applyProtection="1">
      <alignment horizontal="center"/>
    </xf>
    <xf numFmtId="0" fontId="20" fillId="0" borderId="0" xfId="0" applyFont="1" applyBorder="1" applyAlignment="1" applyProtection="1"/>
    <xf numFmtId="0" fontId="13" fillId="0" borderId="0" xfId="569"/>
    <xf numFmtId="4" fontId="13" fillId="0" borderId="0" xfId="569" applyNumberFormat="1" applyFont="1" applyFill="1" applyAlignment="1" applyProtection="1">
      <alignment horizontal="left"/>
    </xf>
    <xf numFmtId="4" fontId="13" fillId="0" borderId="0" xfId="569" applyNumberFormat="1" applyFont="1" applyFill="1" applyAlignment="1" applyProtection="1">
      <alignment horizontal="left"/>
    </xf>
    <xf numFmtId="0" fontId="13" fillId="0" borderId="0" xfId="569" applyFont="1" applyAlignment="1">
      <alignment horizontal="left" vertical="top" wrapText="1"/>
    </xf>
    <xf numFmtId="0" fontId="13" fillId="0" borderId="0" xfId="569" applyFont="1" applyFill="1" applyAlignment="1">
      <alignment horizontal="left" vertical="top" wrapText="1"/>
    </xf>
    <xf numFmtId="0" fontId="13" fillId="0" borderId="0" xfId="569" applyFont="1" applyBorder="1" applyAlignment="1">
      <alignment horizontal="left"/>
    </xf>
    <xf numFmtId="0" fontId="13" fillId="0" borderId="0" xfId="0" applyFont="1" applyAlignment="1">
      <alignment horizontal="left" vertical="top" wrapText="1"/>
    </xf>
    <xf numFmtId="0" fontId="13" fillId="0" borderId="0" xfId="0" applyFont="1" applyAlignment="1" applyProtection="1">
      <alignment horizontal="left" vertical="top" wrapText="1"/>
    </xf>
    <xf numFmtId="0" fontId="13" fillId="0" borderId="0" xfId="0" applyFont="1" applyAlignment="1">
      <alignment horizontal="left"/>
    </xf>
    <xf numFmtId="0" fontId="22" fillId="0" borderId="0" xfId="0" applyFont="1" applyAlignment="1" applyProtection="1">
      <alignment horizontal="center"/>
    </xf>
    <xf numFmtId="0" fontId="13" fillId="0" borderId="0" xfId="1192" applyFont="1" applyFill="1" applyAlignment="1" applyProtection="1">
      <alignment horizontal="left"/>
    </xf>
    <xf numFmtId="0" fontId="13" fillId="0" borderId="0" xfId="1192" applyFont="1" applyFill="1" applyAlignment="1">
      <alignment horizontal="left"/>
    </xf>
    <xf numFmtId="0" fontId="13" fillId="0" borderId="0" xfId="0" applyFont="1" applyBorder="1" applyAlignment="1">
      <alignment horizontal="left"/>
    </xf>
    <xf numFmtId="0" fontId="20" fillId="0" borderId="0" xfId="569" applyFont="1" applyBorder="1" applyAlignment="1" applyProtection="1">
      <alignment horizontal="left"/>
    </xf>
    <xf numFmtId="0" fontId="13" fillId="0" borderId="0" xfId="0" applyFont="1" applyBorder="1" applyAlignment="1">
      <alignment horizontal="left" vertical="top" wrapText="1"/>
    </xf>
    <xf numFmtId="0" fontId="42" fillId="0" borderId="0" xfId="1192" applyFont="1"/>
    <xf numFmtId="0" fontId="50" fillId="0" borderId="11" xfId="0" applyFont="1" applyBorder="1" applyAlignment="1" applyProtection="1">
      <alignment horizontal="right" vertical="center"/>
    </xf>
    <xf numFmtId="0" fontId="50" fillId="0" borderId="11" xfId="569" applyFont="1" applyBorder="1" applyAlignment="1" applyProtection="1">
      <alignment horizontal="right" vertical="top"/>
    </xf>
    <xf numFmtId="0" fontId="13" fillId="0" borderId="0" xfId="0" applyFont="1" applyFill="1" applyAlignment="1">
      <alignment horizontal="left" vertical="top" wrapText="1"/>
    </xf>
    <xf numFmtId="0" fontId="13" fillId="0" borderId="0" xfId="1192" applyFont="1" applyFill="1"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Border="1" applyAlignment="1" applyProtection="1">
      <alignment horizontal="right" vertical="top"/>
    </xf>
    <xf numFmtId="0" fontId="22" fillId="0" borderId="0" xfId="0" applyFont="1" applyAlignment="1" applyProtection="1">
      <alignment horizontal="center"/>
    </xf>
    <xf numFmtId="0" fontId="13" fillId="0" borderId="0" xfId="0" applyFont="1" applyAlignment="1">
      <alignment vertical="top" wrapText="1"/>
    </xf>
    <xf numFmtId="0" fontId="22" fillId="0" borderId="0" xfId="0" applyFont="1" applyAlignment="1" applyProtection="1">
      <alignment horizontal="center"/>
    </xf>
    <xf numFmtId="168" fontId="22" fillId="0" borderId="0" xfId="0" applyNumberFormat="1" applyFont="1" applyFill="1" applyBorder="1" applyAlignment="1" applyProtection="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Border="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xf>
    <xf numFmtId="0" fontId="13" fillId="0" borderId="0" xfId="0" applyFont="1" applyBorder="1" applyAlignment="1">
      <alignment vertical="top" wrapText="1"/>
    </xf>
    <xf numFmtId="0" fontId="13" fillId="0" borderId="0" xfId="569" applyAlignment="1">
      <alignment wrapText="1"/>
    </xf>
    <xf numFmtId="0" fontId="13" fillId="0" borderId="0" xfId="1192" applyFont="1" applyAlignment="1"/>
    <xf numFmtId="0" fontId="13" fillId="0" borderId="0" xfId="569" applyFont="1" applyAlignment="1">
      <alignment wrapText="1"/>
    </xf>
    <xf numFmtId="0" fontId="13" fillId="0" borderId="0" xfId="0" applyFont="1" applyAlignment="1">
      <alignment wrapText="1"/>
    </xf>
    <xf numFmtId="0" fontId="42" fillId="0" borderId="0" xfId="0" applyFont="1" applyFill="1" applyAlignment="1">
      <alignment vertical="top" wrapText="1"/>
    </xf>
    <xf numFmtId="0" fontId="42" fillId="0" borderId="0" xfId="0" applyFont="1" applyAlignment="1">
      <alignment horizontal="left" vertical="top"/>
    </xf>
    <xf numFmtId="0" fontId="42" fillId="0" borderId="0" xfId="0" applyFont="1" applyFill="1" applyAlignment="1">
      <alignment vertical="top"/>
    </xf>
    <xf numFmtId="0" fontId="13" fillId="0" borderId="0" xfId="1192" applyFont="1" applyAlignment="1">
      <alignment horizontal="left" vertical="top" wrapText="1"/>
    </xf>
    <xf numFmtId="4" fontId="13" fillId="0" borderId="0" xfId="569" applyNumberFormat="1" applyFont="1" applyFill="1" applyAlignment="1" applyProtection="1">
      <alignment horizontal="left"/>
    </xf>
    <xf numFmtId="0" fontId="13" fillId="0" borderId="0" xfId="569" applyFont="1" applyFill="1" applyAlignment="1">
      <alignment horizontal="left" vertical="top" wrapText="1"/>
    </xf>
    <xf numFmtId="0" fontId="14" fillId="0" borderId="0" xfId="244" quotePrefix="1" applyAlignment="1" applyProtection="1">
      <alignment horizontal="left"/>
    </xf>
    <xf numFmtId="4" fontId="13" fillId="0" borderId="0" xfId="1192" applyNumberFormat="1" applyFont="1" applyFill="1" applyAlignment="1" applyProtection="1">
      <alignment horizontal="left" vertical="top" wrapText="1"/>
    </xf>
    <xf numFmtId="0" fontId="13" fillId="0" borderId="0" xfId="569" applyFont="1" applyAlignment="1">
      <alignment horizontal="left" vertical="top" wrapText="1"/>
    </xf>
    <xf numFmtId="0" fontId="13" fillId="0" borderId="0" xfId="569" applyFont="1" applyAlignment="1">
      <alignment horizontal="left"/>
    </xf>
    <xf numFmtId="0" fontId="13" fillId="0" borderId="0" xfId="1192" applyFont="1" applyAlignment="1" applyProtection="1">
      <alignment horizontal="left"/>
    </xf>
    <xf numFmtId="0" fontId="13" fillId="0" borderId="0" xfId="1192" applyFont="1" applyFill="1" applyAlignment="1" applyProtection="1">
      <alignment horizontal="left"/>
    </xf>
    <xf numFmtId="0" fontId="13" fillId="0" borderId="0" xfId="569" applyFont="1" applyAlignment="1" applyProtection="1">
      <alignment horizontal="center"/>
    </xf>
    <xf numFmtId="0" fontId="13" fillId="0" borderId="0" xfId="569" applyFont="1" applyProtection="1"/>
    <xf numFmtId="0" fontId="13" fillId="0" borderId="0" xfId="569" applyProtection="1"/>
    <xf numFmtId="0" fontId="13" fillId="0" borderId="0" xfId="569" applyFill="1" applyProtection="1"/>
    <xf numFmtId="0" fontId="31" fillId="0" borderId="0" xfId="569" applyFont="1" applyAlignment="1" applyProtection="1">
      <alignment horizontal="left"/>
    </xf>
    <xf numFmtId="0" fontId="31" fillId="0" borderId="0" xfId="569" applyFont="1" applyAlignment="1" applyProtection="1">
      <alignment horizontal="center"/>
    </xf>
    <xf numFmtId="0" fontId="20" fillId="0" borderId="0" xfId="569" applyFont="1" applyProtection="1"/>
    <xf numFmtId="49" fontId="20" fillId="0" borderId="0" xfId="569" applyNumberFormat="1" applyFont="1" applyAlignment="1" applyProtection="1">
      <alignment horizontal="center"/>
    </xf>
    <xf numFmtId="0" fontId="13" fillId="0" borderId="0" xfId="1192" applyFont="1"/>
    <xf numFmtId="0" fontId="48" fillId="0" borderId="0" xfId="569" applyFont="1" applyAlignment="1" applyProtection="1">
      <alignment horizontal="center"/>
    </xf>
    <xf numFmtId="0" fontId="13" fillId="5" borderId="6" xfId="569" applyFill="1" applyBorder="1" applyAlignment="1" applyProtection="1">
      <protection locked="0"/>
    </xf>
    <xf numFmtId="49" fontId="20" fillId="0" borderId="0" xfId="569" applyNumberFormat="1" applyFont="1" applyAlignment="1">
      <alignment horizontal="center"/>
    </xf>
    <xf numFmtId="0" fontId="13" fillId="0" borderId="0" xfId="569" applyFont="1" applyAlignment="1" applyProtection="1">
      <alignment horizontal="left"/>
    </xf>
    <xf numFmtId="0" fontId="13" fillId="0" borderId="0" xfId="569" applyFont="1" applyFill="1" applyAlignment="1" applyProtection="1">
      <alignment horizontal="center"/>
    </xf>
    <xf numFmtId="0" fontId="13" fillId="0" borderId="0" xfId="569" applyFont="1" applyFill="1" applyProtection="1"/>
    <xf numFmtId="0" fontId="13" fillId="0" borderId="0" xfId="1192" applyFont="1" applyAlignment="1">
      <alignment horizontal="left"/>
    </xf>
    <xf numFmtId="0" fontId="13" fillId="0" borderId="0" xfId="569" applyFont="1" applyAlignment="1">
      <alignment horizontal="center"/>
    </xf>
    <xf numFmtId="0" fontId="48" fillId="0" borderId="0" xfId="569" applyFont="1" applyFill="1" applyAlignment="1" applyProtection="1">
      <alignment horizontal="center"/>
    </xf>
    <xf numFmtId="0" fontId="13" fillId="0" borderId="0" xfId="569" applyFont="1" applyFill="1" applyAlignment="1">
      <alignment horizontal="center"/>
    </xf>
    <xf numFmtId="0" fontId="14" fillId="0" borderId="0" xfId="244" applyFont="1" applyAlignment="1" applyProtection="1">
      <alignment horizontal="center"/>
    </xf>
    <xf numFmtId="49" fontId="13" fillId="0" borderId="0" xfId="569" applyNumberFormat="1" applyFont="1" applyAlignment="1">
      <alignment horizontal="center"/>
    </xf>
    <xf numFmtId="0" fontId="13" fillId="0" borderId="0" xfId="569" applyFont="1" applyAlignment="1" applyProtection="1">
      <alignment horizontal="center" vertical="center"/>
    </xf>
    <xf numFmtId="0" fontId="13" fillId="0" borderId="0" xfId="569" applyFont="1" applyAlignment="1">
      <alignment horizontal="center" vertical="center"/>
    </xf>
    <xf numFmtId="0" fontId="13" fillId="0" borderId="0" xfId="569" applyFont="1" applyAlignment="1">
      <alignment vertical="center"/>
    </xf>
    <xf numFmtId="0" fontId="13" fillId="0" borderId="0" xfId="569" applyAlignment="1">
      <alignment vertical="center"/>
    </xf>
    <xf numFmtId="0" fontId="13" fillId="0" borderId="0" xfId="1192" applyFont="1" applyAlignment="1" applyProtection="1">
      <alignment horizontal="center"/>
    </xf>
    <xf numFmtId="0" fontId="13" fillId="0" borderId="0" xfId="1192"/>
    <xf numFmtId="0" fontId="13" fillId="0" borderId="0" xfId="1192" applyFont="1" applyBorder="1"/>
    <xf numFmtId="0" fontId="20" fillId="0" borderId="0" xfId="569" applyFont="1" applyAlignment="1" applyProtection="1">
      <alignment horizontal="center"/>
    </xf>
    <xf numFmtId="0" fontId="20" fillId="0" borderId="0" xfId="569" applyFont="1" applyBorder="1" applyAlignment="1" applyProtection="1"/>
    <xf numFmtId="0" fontId="13" fillId="0" borderId="0" xfId="569" applyFont="1" applyBorder="1" applyAlignment="1" applyProtection="1">
      <alignment horizontal="center"/>
    </xf>
    <xf numFmtId="0" fontId="13" fillId="0" borderId="0" xfId="569" applyFont="1" applyBorder="1" applyProtection="1"/>
    <xf numFmtId="0" fontId="20" fillId="0" borderId="0" xfId="569" applyFont="1" applyBorder="1" applyProtection="1"/>
    <xf numFmtId="0" fontId="13" fillId="0" borderId="0" xfId="569" applyFont="1" applyAlignment="1" applyProtection="1">
      <alignment horizontal="left" indent="4"/>
    </xf>
    <xf numFmtId="0" fontId="13" fillId="0" borderId="0" xfId="569" quotePrefix="1" applyFont="1" applyAlignment="1" applyProtection="1">
      <alignment horizontal="left"/>
    </xf>
    <xf numFmtId="0" fontId="31" fillId="0" borderId="0" xfId="569" applyFont="1" applyProtection="1"/>
    <xf numFmtId="0" fontId="13" fillId="0" borderId="0" xfId="1192" applyFont="1" applyFill="1" applyAlignment="1" applyProtection="1">
      <alignment horizontal="left"/>
      <protection locked="0"/>
    </xf>
    <xf numFmtId="0" fontId="13" fillId="0" borderId="0" xfId="569" applyFont="1" applyFill="1" applyAlignment="1" applyProtection="1">
      <alignment horizontal="left"/>
      <protection locked="0"/>
    </xf>
    <xf numFmtId="0" fontId="13" fillId="0" borderId="0" xfId="1192" applyFont="1" applyFill="1" applyBorder="1" applyAlignment="1" applyProtection="1">
      <alignment horizontal="left"/>
    </xf>
    <xf numFmtId="49" fontId="13" fillId="0" borderId="0" xfId="1192" applyNumberFormat="1" applyAlignment="1">
      <alignment horizontal="center"/>
    </xf>
    <xf numFmtId="0" fontId="48" fillId="0" borderId="0" xfId="1192" applyFont="1" applyAlignment="1" applyProtection="1">
      <alignment horizontal="center"/>
    </xf>
    <xf numFmtId="49" fontId="13" fillId="0" borderId="0" xfId="569" applyNumberFormat="1" applyFont="1" applyAlignment="1" applyProtection="1">
      <alignment horizontal="center"/>
    </xf>
    <xf numFmtId="0" fontId="13" fillId="0" borderId="0" xfId="569" applyFont="1" applyAlignment="1" applyProtection="1"/>
    <xf numFmtId="0" fontId="13" fillId="0" borderId="0" xfId="569" applyAlignment="1" applyProtection="1"/>
    <xf numFmtId="0" fontId="31" fillId="0" borderId="0" xfId="569" applyFont="1" applyFill="1" applyAlignment="1">
      <alignment horizontal="center"/>
    </xf>
    <xf numFmtId="0" fontId="20" fillId="0" borderId="0" xfId="1192" applyFont="1" applyFill="1" applyAlignment="1">
      <alignment horizontal="left"/>
    </xf>
    <xf numFmtId="49" fontId="20" fillId="0" borderId="0" xfId="569" applyNumberFormat="1" applyFont="1" applyFill="1" applyAlignment="1" applyProtection="1">
      <alignment horizontal="center"/>
    </xf>
    <xf numFmtId="0" fontId="20" fillId="0" borderId="0" xfId="569" applyFont="1" applyAlignment="1">
      <alignment horizontal="left"/>
    </xf>
    <xf numFmtId="0" fontId="20" fillId="0" borderId="0" xfId="569" applyFont="1" applyAlignment="1" applyProtection="1">
      <alignment horizontal="left"/>
    </xf>
    <xf numFmtId="4" fontId="13" fillId="0" borderId="0" xfId="1192" applyNumberFormat="1" applyFont="1" applyAlignment="1" applyProtection="1">
      <alignment horizontal="left"/>
    </xf>
    <xf numFmtId="0" fontId="31" fillId="0" borderId="0" xfId="569" applyFont="1" applyFill="1" applyAlignment="1" applyProtection="1">
      <alignment horizontal="center"/>
    </xf>
    <xf numFmtId="0" fontId="20" fillId="0" borderId="0" xfId="569" quotePrefix="1" applyFont="1" applyAlignment="1" applyProtection="1">
      <alignment horizontal="center"/>
    </xf>
    <xf numFmtId="0" fontId="31" fillId="0" borderId="0" xfId="569" applyFont="1" applyBorder="1" applyAlignment="1" applyProtection="1">
      <alignment horizontal="center"/>
    </xf>
    <xf numFmtId="0" fontId="13" fillId="0" borderId="0" xfId="569" applyFont="1" applyBorder="1" applyAlignment="1" applyProtection="1">
      <alignment horizontal="left"/>
    </xf>
    <xf numFmtId="49" fontId="13" fillId="0" borderId="0" xfId="569" applyNumberFormat="1" applyProtection="1"/>
    <xf numFmtId="0" fontId="45" fillId="0" borderId="0" xfId="569" applyFont="1" applyAlignment="1" applyProtection="1">
      <alignment horizontal="left"/>
    </xf>
    <xf numFmtId="0" fontId="13" fillId="0" borderId="0" xfId="569" applyFont="1" applyFill="1" applyBorder="1" applyProtection="1"/>
    <xf numFmtId="49" fontId="13" fillId="0" borderId="0" xfId="569" applyNumberFormat="1" applyFill="1" applyProtection="1"/>
    <xf numFmtId="0" fontId="13" fillId="0" borderId="0" xfId="569" applyFont="1" applyFill="1" applyAlignment="1" applyProtection="1">
      <alignment horizontal="left" vertical="top" wrapText="1"/>
    </xf>
    <xf numFmtId="49" fontId="13" fillId="0" borderId="0" xfId="569" applyNumberFormat="1" applyFont="1" applyProtection="1"/>
    <xf numFmtId="49" fontId="13" fillId="0" borderId="0" xfId="569" applyNumberFormat="1" applyFont="1" applyFill="1" applyProtection="1"/>
    <xf numFmtId="0" fontId="13" fillId="0" borderId="0" xfId="569" applyFont="1" applyFill="1" applyAlignment="1" applyProtection="1">
      <alignment horizontal="left"/>
    </xf>
    <xf numFmtId="4" fontId="48" fillId="0" borderId="0" xfId="569" applyNumberFormat="1" applyFont="1" applyAlignment="1" applyProtection="1">
      <alignment horizontal="center"/>
    </xf>
    <xf numFmtId="4" fontId="13" fillId="0" borderId="0" xfId="569" applyNumberFormat="1" applyFont="1" applyAlignment="1" applyProtection="1">
      <alignment horizontal="center"/>
    </xf>
    <xf numFmtId="4" fontId="13" fillId="0" borderId="0" xfId="569" applyNumberFormat="1" applyFont="1" applyProtection="1"/>
    <xf numFmtId="4" fontId="13" fillId="0" borderId="0" xfId="569" applyNumberFormat="1" applyFill="1" applyProtection="1"/>
    <xf numFmtId="0" fontId="31" fillId="0" borderId="0" xfId="569" applyFont="1" applyFill="1" applyAlignment="1">
      <alignment horizontal="left"/>
    </xf>
    <xf numFmtId="0" fontId="43" fillId="0" borderId="0" xfId="569" applyFont="1" applyFill="1" applyAlignment="1">
      <alignment horizontal="left"/>
    </xf>
    <xf numFmtId="0" fontId="14" fillId="0" borderId="0" xfId="244" applyNumberFormat="1" applyFill="1" applyAlignment="1" applyProtection="1">
      <alignment horizontal="left"/>
      <protection locked="0"/>
    </xf>
    <xf numFmtId="0" fontId="42" fillId="0" borderId="0" xfId="0" applyFont="1" applyAlignment="1">
      <alignment horizontal="left" vertical="top" wrapText="1"/>
    </xf>
    <xf numFmtId="0" fontId="50" fillId="0" borderId="11" xfId="0" applyFont="1" applyFill="1" applyBorder="1" applyAlignment="1" applyProtection="1">
      <alignment horizontal="right" vertical="top" wrapText="1"/>
      <protection locked="0"/>
    </xf>
    <xf numFmtId="168" fontId="53" fillId="44" borderId="11" xfId="0" applyNumberFormat="1" applyFont="1" applyFill="1" applyBorder="1" applyAlignment="1" applyProtection="1">
      <alignment vertical="top" wrapText="1"/>
    </xf>
    <xf numFmtId="0" fontId="13" fillId="0" borderId="11" xfId="271" applyFont="1" applyFill="1" applyBorder="1" applyAlignment="1" applyProtection="1">
      <alignment horizontal="right" vertical="top" wrapText="1"/>
    </xf>
    <xf numFmtId="0" fontId="13" fillId="0" borderId="11" xfId="271" applyFont="1" applyBorder="1" applyAlignment="1" applyProtection="1">
      <alignment horizontal="right" vertical="top" wrapText="1"/>
    </xf>
    <xf numFmtId="0" fontId="21" fillId="0" borderId="0" xfId="569" applyFont="1" applyBorder="1" applyAlignment="1">
      <alignment horizontal="left"/>
    </xf>
    <xf numFmtId="0" fontId="102" fillId="0" borderId="0" xfId="0" applyFont="1" applyBorder="1"/>
    <xf numFmtId="0" fontId="13" fillId="0" borderId="0" xfId="0" applyFont="1" applyFill="1" applyAlignment="1">
      <alignment vertical="top" wrapText="1"/>
    </xf>
    <xf numFmtId="0" fontId="113" fillId="0" borderId="0" xfId="0" applyFont="1" applyBorder="1" applyAlignment="1" applyProtection="1">
      <alignment horizontal="left" vertical="top"/>
    </xf>
    <xf numFmtId="0" fontId="114" fillId="0" borderId="0" xfId="0" applyFont="1" applyBorder="1" applyAlignment="1" applyProtection="1">
      <alignment horizontal="left" vertical="top"/>
    </xf>
    <xf numFmtId="0" fontId="32" fillId="0" borderId="0" xfId="0" applyFont="1" applyFill="1" applyProtection="1"/>
    <xf numFmtId="168" fontId="21"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xf numFmtId="0" fontId="13" fillId="0" borderId="0" xfId="569" applyFont="1" applyAlignment="1">
      <alignment vertical="top" wrapText="1"/>
    </xf>
    <xf numFmtId="168" fontId="50" fillId="5" borderId="11" xfId="0" applyNumberFormat="1" applyFont="1" applyFill="1" applyBorder="1" applyAlignment="1" applyProtection="1">
      <alignment vertical="top" wrapText="1"/>
    </xf>
    <xf numFmtId="0" fontId="13" fillId="0" borderId="0" xfId="271" applyNumberFormat="1" applyFont="1" applyFill="1" applyAlignment="1" applyProtection="1">
      <alignment horizontal="left" vertical="top"/>
    </xf>
    <xf numFmtId="0" fontId="13" fillId="0" borderId="0" xfId="271" applyNumberFormat="1" applyFont="1" applyFill="1" applyBorder="1" applyAlignment="1" applyProtection="1">
      <alignment horizontal="left" vertical="top"/>
    </xf>
    <xf numFmtId="0" fontId="22" fillId="0" borderId="0" xfId="271" applyNumberFormat="1" applyFont="1" applyFill="1" applyBorder="1" applyAlignment="1" applyProtection="1">
      <alignment horizontal="left" vertical="top"/>
    </xf>
    <xf numFmtId="0" fontId="13" fillId="0" borderId="0" xfId="0" applyFont="1" applyAlignment="1"/>
    <xf numFmtId="0" fontId="13" fillId="0" borderId="0" xfId="0" applyFont="1" applyAlignment="1">
      <alignment vertical="top"/>
    </xf>
    <xf numFmtId="0" fontId="13" fillId="0" borderId="3" xfId="0" applyFont="1" applyFill="1" applyBorder="1" applyProtection="1"/>
    <xf numFmtId="0" fontId="50" fillId="0" borderId="0" xfId="569" applyFont="1" applyBorder="1" applyAlignment="1"/>
    <xf numFmtId="0" fontId="13" fillId="0" borderId="0" xfId="0" applyFont="1" applyBorder="1" applyAlignment="1" applyProtection="1">
      <alignment vertical="top" wrapText="1"/>
    </xf>
    <xf numFmtId="0" fontId="13" fillId="0" borderId="0" xfId="0" applyFont="1" applyBorder="1" applyAlignment="1" applyProtection="1">
      <alignment vertical="top"/>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left" vertical="top"/>
    </xf>
    <xf numFmtId="0" fontId="13" fillId="0" borderId="0" xfId="0" applyFont="1" applyAlignment="1" applyProtection="1">
      <alignment horizontal="left" vertical="top"/>
    </xf>
    <xf numFmtId="0" fontId="13" fillId="0" borderId="0" xfId="569" applyFont="1" applyBorder="1" applyAlignment="1">
      <alignment horizontal="left" vertical="top" wrapText="1"/>
    </xf>
    <xf numFmtId="4" fontId="13" fillId="0" borderId="0" xfId="1192" applyNumberFormat="1" applyFont="1" applyFill="1" applyAlignment="1" applyProtection="1">
      <alignment vertical="top" wrapText="1"/>
    </xf>
    <xf numFmtId="0" fontId="20" fillId="0" borderId="16" xfId="271" applyFont="1" applyFill="1" applyBorder="1" applyAlignment="1" applyProtection="1"/>
    <xf numFmtId="0" fontId="57" fillId="0" borderId="0" xfId="569" applyFont="1" applyProtection="1"/>
    <xf numFmtId="0" fontId="37" fillId="0" borderId="0" xfId="569" applyFont="1" applyBorder="1" applyProtection="1"/>
    <xf numFmtId="0" fontId="13" fillId="0" borderId="0" xfId="0" applyFont="1" applyBorder="1" applyAlignment="1" applyProtection="1">
      <protection locked="0"/>
    </xf>
    <xf numFmtId="0" fontId="13" fillId="0" borderId="0" xfId="0" applyFont="1" applyFill="1" applyAlignment="1" applyProtection="1">
      <alignment horizontal="left" vertical="top"/>
    </xf>
    <xf numFmtId="0" fontId="13" fillId="0" borderId="0" xfId="0" applyFont="1" applyFill="1" applyAlignment="1" applyProtection="1"/>
    <xf numFmtId="0" fontId="13" fillId="0" borderId="0" xfId="569" applyFont="1" applyBorder="1" applyAlignment="1">
      <alignment vertical="top" wrapText="1"/>
    </xf>
    <xf numFmtId="0" fontId="13" fillId="0" borderId="0" xfId="569" applyFont="1" applyBorder="1" applyAlignment="1">
      <alignment vertical="top"/>
    </xf>
    <xf numFmtId="0" fontId="0" fillId="0" borderId="0" xfId="0" applyAlignment="1" applyProtection="1"/>
    <xf numFmtId="0" fontId="13" fillId="0" borderId="0" xfId="1192" applyFont="1" applyFill="1" applyBorder="1" applyAlignment="1" applyProtection="1">
      <alignment horizontal="left" vertical="top" wrapText="1"/>
    </xf>
    <xf numFmtId="0" fontId="13" fillId="0" borderId="0" xfId="1192" applyFont="1" applyAlignment="1" applyProtection="1">
      <alignment vertical="top" wrapText="1"/>
    </xf>
    <xf numFmtId="49" fontId="13" fillId="0" borderId="0" xfId="1192" applyNumberFormat="1" applyFont="1" applyFill="1" applyAlignment="1">
      <alignment vertical="top" wrapText="1"/>
    </xf>
    <xf numFmtId="0" fontId="52" fillId="0" borderId="9" xfId="543" applyFont="1" applyBorder="1" applyAlignment="1" applyProtection="1">
      <alignment vertical="top"/>
    </xf>
    <xf numFmtId="0" fontId="13" fillId="0" borderId="0" xfId="0" applyFont="1" applyAlignment="1" applyProtection="1">
      <alignment horizontal="left" vertical="top"/>
    </xf>
    <xf numFmtId="0" fontId="13" fillId="0" borderId="0" xfId="0" applyNumberFormat="1" applyFont="1" applyFill="1" applyAlignment="1" applyProtection="1">
      <alignment horizontal="left" vertical="top"/>
    </xf>
    <xf numFmtId="0" fontId="13" fillId="0" borderId="0" xfId="0" applyNumberFormat="1" applyFont="1" applyAlignment="1" applyProtection="1">
      <alignment horizontal="left" vertical="top"/>
    </xf>
    <xf numFmtId="0" fontId="13" fillId="0" borderId="0" xfId="0" applyFont="1" applyAlignment="1">
      <alignment vertical="center"/>
    </xf>
    <xf numFmtId="0" fontId="115" fillId="0" borderId="0" xfId="0" applyFont="1" applyBorder="1" applyProtection="1"/>
    <xf numFmtId="0" fontId="102" fillId="0" borderId="0" xfId="0" applyFont="1" applyProtection="1"/>
    <xf numFmtId="3" fontId="102" fillId="0" borderId="0" xfId="0" applyNumberFormat="1" applyFont="1"/>
    <xf numFmtId="0" fontId="102" fillId="0" borderId="0" xfId="0" applyFont="1" applyBorder="1" applyAlignment="1" applyProtection="1">
      <alignment horizontal="left"/>
    </xf>
    <xf numFmtId="168" fontId="116" fillId="0" borderId="0" xfId="0" applyNumberFormat="1" applyFont="1" applyFill="1" applyBorder="1" applyAlignment="1" applyProtection="1">
      <alignment horizontal="left" vertical="top"/>
    </xf>
    <xf numFmtId="0" fontId="102" fillId="0" borderId="0" xfId="0" applyFont="1" applyFill="1" applyBorder="1" applyProtection="1"/>
    <xf numFmtId="0" fontId="102" fillId="0" borderId="0" xfId="0" applyFont="1" applyBorder="1" applyAlignment="1" applyProtection="1">
      <alignment horizontal="left" vertical="center"/>
    </xf>
    <xf numFmtId="0" fontId="118" fillId="0" borderId="0" xfId="0" applyFont="1" applyProtection="1"/>
    <xf numFmtId="0" fontId="118" fillId="0" borderId="0" xfId="0" applyFont="1" applyBorder="1" applyProtection="1"/>
    <xf numFmtId="0" fontId="102" fillId="0" borderId="0" xfId="0" applyFont="1" applyBorder="1" applyProtection="1"/>
    <xf numFmtId="0" fontId="115" fillId="0" borderId="0" xfId="0" applyFont="1" applyProtection="1"/>
    <xf numFmtId="0" fontId="13" fillId="0" borderId="0" xfId="1192" applyFont="1" applyAlignment="1" applyProtection="1">
      <alignment horizontal="left"/>
    </xf>
    <xf numFmtId="172" fontId="13" fillId="0" borderId="8" xfId="543" applyNumberFormat="1" applyFont="1" applyBorder="1" applyProtection="1"/>
    <xf numFmtId="0" fontId="13" fillId="0" borderId="8" xfId="4495" applyFont="1" applyBorder="1" applyProtection="1"/>
    <xf numFmtId="0" fontId="13" fillId="0" borderId="0" xfId="4495" applyFont="1" applyProtection="1"/>
    <xf numFmtId="0" fontId="19" fillId="0" borderId="0" xfId="4495" applyFont="1" applyFill="1" applyBorder="1" applyAlignment="1" applyProtection="1">
      <alignment horizontal="center" vertical="center"/>
    </xf>
    <xf numFmtId="0" fontId="13" fillId="0" borderId="8" xfId="4495" applyFont="1" applyFill="1" applyBorder="1" applyProtection="1"/>
    <xf numFmtId="0" fontId="13" fillId="0" borderId="0" xfId="4495" applyFont="1" applyFill="1" applyProtection="1"/>
    <xf numFmtId="0" fontId="20" fillId="0" borderId="0" xfId="4495" applyFont="1" applyAlignment="1" applyProtection="1">
      <alignment horizontal="left"/>
    </xf>
    <xf numFmtId="0" fontId="20" fillId="0" borderId="0" xfId="4495" applyFont="1" applyProtection="1"/>
    <xf numFmtId="0" fontId="23" fillId="0" borderId="0" xfId="4495" applyFont="1" applyFill="1" applyBorder="1" applyAlignment="1" applyProtection="1">
      <alignment horizontal="center" vertical="center"/>
    </xf>
    <xf numFmtId="0" fontId="23" fillId="0" borderId="27" xfId="4495" applyFont="1" applyFill="1" applyBorder="1" applyAlignment="1" applyProtection="1">
      <alignment horizontal="center" vertical="center"/>
    </xf>
    <xf numFmtId="0" fontId="23" fillId="0" borderId="46" xfId="4495" applyFont="1" applyFill="1" applyBorder="1" applyAlignment="1" applyProtection="1">
      <alignment horizontal="center" vertical="center"/>
    </xf>
    <xf numFmtId="0" fontId="20" fillId="0" borderId="0" xfId="4495" applyFont="1" applyAlignment="1" applyProtection="1">
      <alignment horizontal="right"/>
    </xf>
    <xf numFmtId="0" fontId="31" fillId="0" borderId="0" xfId="4495" applyFont="1" applyFill="1" applyBorder="1" applyAlignment="1" applyProtection="1">
      <alignment horizontal="left" vertical="center"/>
    </xf>
    <xf numFmtId="0" fontId="13" fillId="0" borderId="0" xfId="1192" quotePrefix="1" applyNumberFormat="1" applyFont="1" applyAlignment="1" applyProtection="1">
      <alignment horizontal="center"/>
    </xf>
    <xf numFmtId="0" fontId="43" fillId="0" borderId="0" xfId="4495" applyFont="1" applyFill="1" applyBorder="1" applyAlignment="1" applyProtection="1">
      <alignment horizontal="left" vertical="center"/>
    </xf>
    <xf numFmtId="49" fontId="21" fillId="0" borderId="0" xfId="4495" applyNumberFormat="1" applyFont="1" applyFill="1" applyBorder="1" applyAlignment="1" applyProtection="1">
      <alignment horizontal="left" vertical="top"/>
    </xf>
    <xf numFmtId="0" fontId="13" fillId="0" borderId="47" xfId="4495" applyFont="1" applyFill="1" applyBorder="1" applyAlignment="1" applyProtection="1">
      <alignment horizontal="left" vertical="center"/>
    </xf>
    <xf numFmtId="0" fontId="23" fillId="0" borderId="48" xfId="4495" applyFont="1" applyFill="1" applyBorder="1" applyAlignment="1" applyProtection="1">
      <alignment horizontal="center" vertical="center"/>
    </xf>
    <xf numFmtId="0" fontId="21" fillId="0" borderId="0" xfId="4495" applyFont="1" applyProtection="1"/>
    <xf numFmtId="0" fontId="21" fillId="0" borderId="0" xfId="4495" applyFont="1" applyFill="1" applyBorder="1" applyAlignment="1" applyProtection="1">
      <alignment horizontal="left" vertical="top"/>
    </xf>
    <xf numFmtId="0" fontId="120" fillId="0" borderId="53" xfId="4496" applyFont="1" applyBorder="1" applyAlignment="1">
      <alignment horizontal="left" vertical="top"/>
    </xf>
    <xf numFmtId="0" fontId="119" fillId="0" borderId="0" xfId="4496" applyFont="1" applyBorder="1" applyAlignment="1">
      <alignment horizontal="left" vertical="top" wrapText="1"/>
    </xf>
    <xf numFmtId="0" fontId="119" fillId="0" borderId="54" xfId="4496" applyFont="1" applyBorder="1" applyAlignment="1">
      <alignment horizontal="left" vertical="top" wrapText="1"/>
    </xf>
    <xf numFmtId="0" fontId="13" fillId="0" borderId="0" xfId="4495" applyFont="1" applyFill="1" applyBorder="1" applyAlignment="1" applyProtection="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0" fillId="0" borderId="0" xfId="4495" applyFont="1" applyFill="1" applyProtection="1"/>
    <xf numFmtId="0" fontId="21" fillId="0" borderId="3" xfId="4495" applyFont="1" applyFill="1" applyBorder="1" applyAlignment="1" applyProtection="1">
      <alignment vertical="top" wrapText="1"/>
    </xf>
    <xf numFmtId="0" fontId="21" fillId="0" borderId="4" xfId="4495" applyFont="1" applyFill="1" applyBorder="1" applyAlignment="1" applyProtection="1">
      <alignment vertical="top" wrapText="1"/>
    </xf>
    <xf numFmtId="164" fontId="117" fillId="0" borderId="4" xfId="4495" applyNumberFormat="1" applyFill="1" applyBorder="1" applyAlignment="1" applyProtection="1">
      <alignment horizontal="right"/>
    </xf>
    <xf numFmtId="0" fontId="21" fillId="0" borderId="4" xfId="4495" applyFont="1" applyFill="1" applyBorder="1" applyAlignment="1" applyProtection="1"/>
    <xf numFmtId="0" fontId="20" fillId="0" borderId="5" xfId="4495" applyFont="1" applyFill="1" applyBorder="1" applyAlignment="1" applyProtection="1">
      <alignment horizontal="right"/>
    </xf>
    <xf numFmtId="0" fontId="13" fillId="0" borderId="16" xfId="4495" applyFont="1" applyFill="1" applyBorder="1" applyAlignment="1" applyProtection="1"/>
    <xf numFmtId="0" fontId="13" fillId="0" borderId="16" xfId="4495" applyFont="1" applyFill="1" applyBorder="1" applyAlignment="1" applyProtection="1">
      <alignment horizontal="left" vertical="top"/>
    </xf>
    <xf numFmtId="0" fontId="21" fillId="0" borderId="16" xfId="4495" applyFont="1" applyFill="1" applyBorder="1" applyAlignment="1" applyProtection="1">
      <alignment horizontal="left" vertical="top" wrapText="1"/>
    </xf>
    <xf numFmtId="0" fontId="21" fillId="0" borderId="45" xfId="4495" applyFont="1" applyFill="1" applyBorder="1" applyAlignment="1" applyProtection="1">
      <alignment horizontal="left" vertical="top" wrapText="1"/>
    </xf>
    <xf numFmtId="0" fontId="117" fillId="0" borderId="0" xfId="4495" applyBorder="1" applyProtection="1"/>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Fill="1" applyBorder="1" applyAlignment="1" applyProtection="1">
      <alignment horizontal="left" vertical="top" wrapText="1"/>
    </xf>
    <xf numFmtId="0" fontId="21" fillId="0" borderId="0" xfId="4495" applyFont="1" applyAlignment="1" applyProtection="1">
      <alignment horizontal="right" vertical="top"/>
    </xf>
    <xf numFmtId="0" fontId="13" fillId="0" borderId="0" xfId="4495" applyFont="1" applyFill="1" applyBorder="1" applyAlignment="1" applyProtection="1">
      <alignment vertical="center" wrapText="1"/>
    </xf>
    <xf numFmtId="0" fontId="119" fillId="0" borderId="53" xfId="4496" applyFont="1" applyBorder="1" applyAlignment="1">
      <alignment vertical="top" wrapText="1"/>
    </xf>
    <xf numFmtId="0" fontId="119" fillId="0" borderId="0" xfId="4496" applyFont="1" applyBorder="1" applyAlignment="1">
      <alignment vertical="top" wrapText="1"/>
    </xf>
    <xf numFmtId="10" fontId="119" fillId="0" borderId="0" xfId="4496" applyNumberFormat="1" applyFont="1" applyBorder="1" applyAlignment="1">
      <alignment vertical="top" wrapText="1"/>
    </xf>
    <xf numFmtId="0" fontId="119" fillId="0" borderId="54" xfId="4496" applyFont="1" applyBorder="1" applyAlignment="1">
      <alignment vertical="top" wrapText="1"/>
    </xf>
    <xf numFmtId="0" fontId="119" fillId="0" borderId="0" xfId="4496" applyFont="1" applyBorder="1" applyAlignment="1">
      <alignment vertical="top"/>
    </xf>
    <xf numFmtId="165" fontId="119" fillId="0" borderId="0" xfId="4496" applyNumberFormat="1" applyFont="1" applyBorder="1" applyAlignment="1">
      <alignment vertical="top" wrapText="1"/>
    </xf>
    <xf numFmtId="0" fontId="20" fillId="0" borderId="57" xfId="4495" applyFont="1" applyBorder="1" applyProtection="1"/>
    <xf numFmtId="0" fontId="20" fillId="0" borderId="58" xfId="4495" applyFont="1" applyBorder="1" applyProtection="1"/>
    <xf numFmtId="0" fontId="20" fillId="0" borderId="58" xfId="4495" applyFont="1" applyBorder="1" applyAlignment="1" applyProtection="1">
      <alignment horizontal="right"/>
    </xf>
    <xf numFmtId="0" fontId="20" fillId="0" borderId="59" xfId="4495" applyFont="1" applyBorder="1" applyAlignment="1" applyProtection="1">
      <alignment horizontal="right"/>
    </xf>
    <xf numFmtId="0" fontId="119" fillId="0" borderId="53" xfId="4496" applyFont="1" applyBorder="1" applyAlignment="1">
      <alignment horizontal="left" vertical="top" wrapText="1"/>
    </xf>
    <xf numFmtId="0" fontId="119" fillId="0" borderId="0" xfId="4496" applyFont="1" applyBorder="1" applyAlignment="1">
      <alignment horizontal="left" vertical="top"/>
    </xf>
    <xf numFmtId="0" fontId="23" fillId="0" borderId="57" xfId="4495" applyFont="1" applyFill="1" applyBorder="1" applyAlignment="1" applyProtection="1">
      <alignment horizontal="center" vertical="center"/>
    </xf>
    <xf numFmtId="0" fontId="23" fillId="0" borderId="58" xfId="4495" applyFont="1" applyFill="1" applyBorder="1" applyAlignment="1" applyProtection="1">
      <alignment horizontal="center" vertical="center"/>
    </xf>
    <xf numFmtId="0" fontId="23" fillId="0" borderId="59" xfId="4495" applyFont="1" applyFill="1" applyBorder="1" applyAlignment="1" applyProtection="1">
      <alignment horizontal="center" vertical="center"/>
    </xf>
    <xf numFmtId="0" fontId="20" fillId="0" borderId="0" xfId="4495" applyFont="1" applyAlignment="1" applyProtection="1">
      <alignment horizontal="center"/>
    </xf>
    <xf numFmtId="0" fontId="20" fillId="0" borderId="0" xfId="4495" applyFont="1" applyFill="1" applyBorder="1" applyProtection="1"/>
    <xf numFmtId="0" fontId="20" fillId="0" borderId="8" xfId="4495" applyFont="1" applyBorder="1" applyProtection="1"/>
    <xf numFmtId="0" fontId="20" fillId="0" borderId="0" xfId="4495" applyFont="1" applyFill="1" applyBorder="1" applyAlignment="1" applyProtection="1">
      <alignment horizontal="left"/>
    </xf>
    <xf numFmtId="0" fontId="21" fillId="0" borderId="0" xfId="4495" applyFont="1" applyFill="1" applyBorder="1" applyAlignment="1" applyProtection="1">
      <alignment horizontal="left"/>
    </xf>
    <xf numFmtId="0" fontId="20" fillId="0" borderId="0" xfId="4495" applyFont="1" applyFill="1" applyBorder="1" applyAlignment="1" applyProtection="1">
      <alignment horizontal="center" vertical="top"/>
    </xf>
    <xf numFmtId="0" fontId="13" fillId="0" borderId="0" xfId="4495" applyFont="1" applyBorder="1" applyProtection="1"/>
    <xf numFmtId="0" fontId="13" fillId="0" borderId="0" xfId="4495" applyNumberFormat="1" applyFont="1" applyAlignment="1" applyProtection="1">
      <alignment horizontal="center"/>
    </xf>
    <xf numFmtId="0" fontId="29" fillId="0" borderId="0" xfId="4495" applyFont="1" applyProtection="1"/>
    <xf numFmtId="0" fontId="13" fillId="0" borderId="0" xfId="1192" applyFont="1" applyBorder="1" applyProtection="1"/>
    <xf numFmtId="0" fontId="13" fillId="0" borderId="0" xfId="1192" applyNumberFormat="1" applyFont="1" applyAlignment="1" applyProtection="1">
      <alignment horizontal="center"/>
    </xf>
    <xf numFmtId="0" fontId="20" fillId="0" borderId="0" xfId="4495" applyFont="1" applyFill="1" applyAlignment="1" applyProtection="1">
      <alignment horizontal="left"/>
    </xf>
    <xf numFmtId="0" fontId="20" fillId="0" borderId="0" xfId="4495" applyFont="1" applyFill="1" applyAlignment="1" applyProtection="1">
      <alignment horizontal="center"/>
    </xf>
    <xf numFmtId="0" fontId="13" fillId="0" borderId="0" xfId="1192" applyFont="1" applyProtection="1"/>
    <xf numFmtId="0" fontId="29" fillId="0" borderId="0" xfId="4495" applyFont="1" applyFill="1" applyBorder="1" applyAlignment="1" applyProtection="1"/>
    <xf numFmtId="0" fontId="21" fillId="0" borderId="8" xfId="4495" applyFont="1" applyBorder="1" applyProtection="1"/>
    <xf numFmtId="0" fontId="21" fillId="0" borderId="8" xfId="4495" applyFont="1" applyFill="1" applyBorder="1" applyProtection="1"/>
    <xf numFmtId="0" fontId="21" fillId="0" borderId="0" xfId="4495" applyFont="1" applyFill="1" applyProtection="1"/>
    <xf numFmtId="0" fontId="50" fillId="0" borderId="8" xfId="4495" applyFont="1" applyFill="1" applyBorder="1" applyAlignment="1" applyProtection="1"/>
    <xf numFmtId="0" fontId="13" fillId="0" borderId="0" xfId="1192" applyFont="1" applyFill="1" applyProtection="1"/>
    <xf numFmtId="0" fontId="13" fillId="0" borderId="0" xfId="4495" applyFont="1" applyFill="1" applyBorder="1" applyAlignment="1" applyProtection="1">
      <alignment horizontal="center"/>
    </xf>
    <xf numFmtId="0" fontId="13" fillId="0" borderId="0" xfId="4495" applyFont="1" applyFill="1" applyBorder="1" applyProtection="1"/>
    <xf numFmtId="1" fontId="13" fillId="0" borderId="0" xfId="1192" applyNumberFormat="1" applyFont="1" applyProtection="1"/>
    <xf numFmtId="0" fontId="13" fillId="0" borderId="3" xfId="4495" applyFont="1" applyFill="1" applyBorder="1" applyProtection="1"/>
    <xf numFmtId="0" fontId="13" fillId="0" borderId="4" xfId="4495" applyFont="1" applyFill="1" applyBorder="1" applyProtection="1"/>
    <xf numFmtId="0" fontId="13" fillId="0" borderId="0" xfId="4495" applyNumberFormat="1" applyFont="1" applyFill="1" applyBorder="1" applyAlignment="1" applyProtection="1">
      <alignment horizontal="center"/>
    </xf>
    <xf numFmtId="0" fontId="13" fillId="0" borderId="0" xfId="1192" applyFont="1" applyAlignment="1" applyProtection="1">
      <alignment wrapText="1"/>
    </xf>
    <xf numFmtId="0" fontId="20" fillId="0" borderId="0" xfId="4495" applyFont="1" applyFill="1" applyBorder="1" applyAlignment="1" applyProtection="1"/>
    <xf numFmtId="0" fontId="21" fillId="0" borderId="0" xfId="4495" applyNumberFormat="1" applyFont="1" applyAlignment="1" applyProtection="1">
      <alignment vertical="top" wrapText="1"/>
    </xf>
    <xf numFmtId="0" fontId="21" fillId="0" borderId="0" xfId="1192" applyFont="1" applyProtection="1"/>
    <xf numFmtId="0" fontId="21" fillId="0" borderId="0" xfId="4495" applyNumberFormat="1" applyFont="1" applyFill="1" applyAlignment="1" applyProtection="1">
      <alignment vertical="top" wrapText="1"/>
    </xf>
    <xf numFmtId="0" fontId="13" fillId="0" borderId="0" xfId="4495" applyFont="1" applyFill="1" applyBorder="1" applyAlignment="1" applyProtection="1">
      <alignment horizontal="left"/>
    </xf>
    <xf numFmtId="0" fontId="21" fillId="0" borderId="3" xfId="4495" applyFont="1" applyFill="1" applyBorder="1" applyProtection="1"/>
    <xf numFmtId="0" fontId="21" fillId="0" borderId="4" xfId="4495" applyFont="1" applyFill="1" applyBorder="1" applyProtection="1"/>
    <xf numFmtId="0" fontId="13" fillId="0" borderId="4" xfId="4495" applyFont="1" applyFill="1" applyBorder="1" applyAlignment="1" applyProtection="1"/>
    <xf numFmtId="0" fontId="13" fillId="0" borderId="4" xfId="4495" applyFont="1" applyFill="1" applyBorder="1" applyAlignment="1" applyProtection="1">
      <alignment horizontal="right"/>
    </xf>
    <xf numFmtId="1" fontId="13" fillId="0" borderId="0" xfId="4495" applyNumberFormat="1" applyFont="1" applyFill="1" applyBorder="1" applyAlignment="1" applyProtection="1">
      <alignment horizontal="center"/>
    </xf>
    <xf numFmtId="0" fontId="50" fillId="0" borderId="0" xfId="4495" applyFont="1" applyFill="1" applyBorder="1" applyAlignment="1" applyProtection="1"/>
    <xf numFmtId="0" fontId="13" fillId="0" borderId="0" xfId="4495" applyFont="1" applyFill="1" applyBorder="1" applyAlignment="1" applyProtection="1"/>
    <xf numFmtId="0" fontId="13" fillId="0" borderId="0" xfId="4495" applyFont="1" applyFill="1" applyBorder="1" applyAlignment="1" applyProtection="1">
      <alignment horizontal="right"/>
    </xf>
    <xf numFmtId="0" fontId="21" fillId="0" borderId="0" xfId="4495" applyFont="1" applyBorder="1" applyProtection="1"/>
    <xf numFmtId="0" fontId="21" fillId="0" borderId="0" xfId="4495" applyFont="1" applyFill="1" applyBorder="1" applyProtection="1"/>
    <xf numFmtId="0" fontId="21" fillId="0" borderId="0" xfId="4495" applyFont="1" applyFill="1" applyBorder="1" applyAlignment="1" applyProtection="1">
      <alignment vertical="top" wrapText="1"/>
    </xf>
    <xf numFmtId="0" fontId="21" fillId="0" borderId="0" xfId="4495" applyNumberFormat="1" applyFont="1" applyFill="1" applyBorder="1" applyAlignment="1" applyProtection="1">
      <alignment vertical="top"/>
    </xf>
    <xf numFmtId="0" fontId="21" fillId="0" borderId="27" xfId="4495" applyFont="1" applyFill="1" applyBorder="1" applyProtection="1"/>
    <xf numFmtId="0" fontId="21" fillId="0" borderId="27" xfId="4495" applyFont="1" applyBorder="1" applyProtection="1"/>
    <xf numFmtId="0" fontId="20" fillId="0" borderId="0" xfId="4495" applyFont="1" applyFill="1" applyBorder="1" applyAlignment="1" applyProtection="1">
      <alignment vertical="top"/>
    </xf>
    <xf numFmtId="0" fontId="31" fillId="0" borderId="0" xfId="4495" applyFont="1" applyFill="1" applyBorder="1" applyAlignment="1" applyProtection="1">
      <alignment vertical="top" wrapText="1"/>
    </xf>
    <xf numFmtId="0" fontId="20"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center"/>
    </xf>
    <xf numFmtId="0" fontId="13" fillId="0" borderId="0" xfId="4495" applyFont="1" applyFill="1" applyBorder="1" applyAlignment="1" applyProtection="1">
      <alignment horizontal="left" vertical="top"/>
    </xf>
    <xf numFmtId="0" fontId="31"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13" fillId="0" borderId="10" xfId="4495" applyFont="1" applyFill="1" applyBorder="1" applyAlignment="1" applyProtection="1">
      <alignment horizontal="center"/>
    </xf>
    <xf numFmtId="0" fontId="13" fillId="0" borderId="8" xfId="4495" applyFont="1" applyFill="1" applyBorder="1" applyAlignment="1" applyProtection="1"/>
    <xf numFmtId="0" fontId="13" fillId="0" borderId="16" xfId="4495" applyFont="1" applyFill="1" applyBorder="1" applyAlignment="1" applyProtection="1">
      <alignment horizontal="center"/>
    </xf>
    <xf numFmtId="0" fontId="29" fillId="0" borderId="16" xfId="4495" applyFont="1" applyFill="1" applyBorder="1" applyAlignment="1" applyProtection="1"/>
    <xf numFmtId="0" fontId="21" fillId="0" borderId="16" xfId="4495" applyFont="1" applyFill="1" applyBorder="1" applyAlignment="1" applyProtection="1"/>
    <xf numFmtId="0" fontId="21" fillId="0" borderId="16" xfId="4495" applyFont="1" applyFill="1" applyBorder="1" applyProtection="1"/>
    <xf numFmtId="0" fontId="21" fillId="0" borderId="16" xfId="4495" applyFont="1" applyBorder="1" applyProtection="1"/>
    <xf numFmtId="0" fontId="13" fillId="0" borderId="0" xfId="4496" applyFont="1" applyAlignment="1" applyProtection="1">
      <alignment vertical="top" wrapText="1"/>
    </xf>
    <xf numFmtId="0" fontId="20" fillId="0" borderId="0" xfId="1192" applyFont="1" applyAlignment="1" applyProtection="1">
      <alignment horizontal="right"/>
    </xf>
    <xf numFmtId="0" fontId="20" fillId="0" borderId="0" xfId="1192" applyFont="1" applyFill="1" applyAlignment="1" applyProtection="1">
      <alignment horizontal="right"/>
    </xf>
    <xf numFmtId="0" fontId="13" fillId="0" borderId="0" xfId="4496" applyFont="1" applyProtection="1"/>
    <xf numFmtId="0" fontId="13" fillId="0" borderId="0" xfId="4496" applyFont="1" applyAlignment="1" applyProtection="1">
      <alignment horizontal="left"/>
    </xf>
    <xf numFmtId="0" fontId="13" fillId="0" borderId="0" xfId="4496" applyFont="1" applyAlignment="1" applyProtection="1">
      <alignment horizontal="right"/>
    </xf>
    <xf numFmtId="0" fontId="21" fillId="0" borderId="0" xfId="4496" applyFont="1" applyAlignment="1" applyProtection="1">
      <alignment vertical="top" wrapText="1"/>
    </xf>
    <xf numFmtId="0" fontId="13" fillId="0" borderId="4" xfId="4496" applyFont="1" applyFill="1" applyBorder="1" applyProtection="1"/>
    <xf numFmtId="0" fontId="20" fillId="0" borderId="4" xfId="4496" applyFont="1" applyFill="1" applyBorder="1" applyAlignment="1" applyProtection="1">
      <alignment horizontal="right"/>
    </xf>
    <xf numFmtId="0" fontId="21" fillId="0" borderId="27" xfId="4495" applyFont="1" applyFill="1" applyBorder="1" applyAlignment="1" applyProtection="1"/>
    <xf numFmtId="0" fontId="21" fillId="0" borderId="27" xfId="4495" applyFont="1" applyFill="1" applyBorder="1" applyAlignment="1" applyProtection="1">
      <alignment horizontal="left" vertical="top"/>
    </xf>
    <xf numFmtId="0" fontId="13" fillId="0" borderId="27" xfId="4495" applyFont="1" applyFill="1" applyBorder="1" applyAlignment="1" applyProtection="1">
      <alignment horizontal="left" vertical="top"/>
    </xf>
    <xf numFmtId="0" fontId="20" fillId="0" borderId="27" xfId="4495" applyFont="1" applyFill="1" applyBorder="1" applyAlignment="1" applyProtection="1">
      <alignment horizontal="right"/>
    </xf>
    <xf numFmtId="0" fontId="13" fillId="0" borderId="27" xfId="4495" applyFont="1" applyFill="1" applyBorder="1" applyAlignment="1" applyProtection="1">
      <alignment horizontal="center"/>
    </xf>
    <xf numFmtId="0" fontId="13" fillId="0" borderId="46" xfId="4495" applyFont="1" applyFill="1" applyBorder="1" applyAlignment="1" applyProtection="1">
      <alignment horizontal="center"/>
    </xf>
    <xf numFmtId="0" fontId="21" fillId="0" borderId="0" xfId="4495" applyFont="1" applyFill="1" applyBorder="1" applyAlignment="1" applyProtection="1"/>
    <xf numFmtId="172" fontId="13" fillId="0" borderId="8" xfId="543" applyNumberFormat="1" applyFont="1" applyBorder="1" applyAlignment="1" applyProtection="1"/>
    <xf numFmtId="0" fontId="13" fillId="0" borderId="0" xfId="543" applyFont="1" applyFill="1" applyBorder="1" applyProtection="1"/>
    <xf numFmtId="0" fontId="13" fillId="0" borderId="0" xfId="543" applyFont="1" applyFill="1" applyBorder="1" applyAlignment="1" applyProtection="1"/>
    <xf numFmtId="168" fontId="13" fillId="0" borderId="0" xfId="543" applyNumberFormat="1" applyFont="1" applyFill="1" applyBorder="1" applyProtection="1"/>
    <xf numFmtId="0" fontId="29" fillId="0" borderId="0" xfId="4495" applyFont="1" applyFill="1" applyBorder="1" applyProtection="1"/>
    <xf numFmtId="164" fontId="21" fillId="0" borderId="0" xfId="4495" applyNumberFormat="1" applyFont="1" applyFill="1" applyBorder="1" applyAlignment="1" applyProtection="1">
      <alignment horizontal="left" vertical="top" wrapText="1"/>
    </xf>
    <xf numFmtId="0" fontId="24" fillId="0" borderId="0" xfId="4495" applyFont="1" applyFill="1" applyBorder="1" applyProtection="1"/>
    <xf numFmtId="0" fontId="21" fillId="0" borderId="0" xfId="4495" applyFont="1" applyAlignment="1" applyProtection="1">
      <alignment horizontal="right"/>
    </xf>
    <xf numFmtId="0" fontId="21" fillId="0" borderId="0" xfId="4495" applyNumberFormat="1" applyFont="1" applyFill="1" applyBorder="1" applyAlignment="1" applyProtection="1">
      <alignment vertical="top" wrapText="1"/>
    </xf>
    <xf numFmtId="0" fontId="21" fillId="0" borderId="0" xfId="4495" applyNumberFormat="1" applyFont="1" applyFill="1" applyBorder="1" applyAlignment="1" applyProtection="1"/>
    <xf numFmtId="0" fontId="21" fillId="0" borderId="3" xfId="4495" applyFont="1" applyFill="1" applyBorder="1" applyAlignment="1" applyProtection="1"/>
    <xf numFmtId="0" fontId="13" fillId="0" borderId="27" xfId="543" applyFont="1" applyBorder="1" applyProtection="1"/>
    <xf numFmtId="0" fontId="13" fillId="0" borderId="46" xfId="543" applyFont="1" applyBorder="1" applyProtection="1"/>
    <xf numFmtId="0" fontId="20" fillId="0" borderId="0" xfId="4495" applyFont="1" applyFill="1" applyBorder="1" applyAlignment="1" applyProtection="1">
      <alignment horizontal="left" vertical="top"/>
    </xf>
    <xf numFmtId="0" fontId="117" fillId="0" borderId="0" xfId="4495" applyBorder="1"/>
    <xf numFmtId="1" fontId="117" fillId="0" borderId="0" xfId="4495" applyNumberFormat="1" applyBorder="1"/>
    <xf numFmtId="168" fontId="13" fillId="0" borderId="0" xfId="543" applyNumberFormat="1" applyFont="1" applyBorder="1" applyProtection="1"/>
    <xf numFmtId="0" fontId="13" fillId="0" borderId="0" xfId="4495" applyFont="1" applyFill="1" applyBorder="1" applyAlignment="1" applyProtection="1">
      <alignment vertical="top" wrapText="1"/>
    </xf>
    <xf numFmtId="0" fontId="21" fillId="0" borderId="0" xfId="4495" applyFont="1" applyAlignment="1" applyProtection="1">
      <alignment vertical="top"/>
    </xf>
    <xf numFmtId="0" fontId="13" fillId="0" borderId="0" xfId="4495" applyFont="1" applyFill="1" applyBorder="1" applyAlignment="1" applyProtection="1">
      <alignment horizontal="left" vertical="top" wrapText="1"/>
    </xf>
    <xf numFmtId="0" fontId="117" fillId="0" borderId="0" xfId="4495"/>
    <xf numFmtId="0" fontId="13" fillId="0" borderId="50" xfId="4495" applyFont="1" applyFill="1" applyBorder="1" applyAlignment="1" applyProtection="1">
      <alignment vertical="top"/>
    </xf>
    <xf numFmtId="0" fontId="13" fillId="0" borderId="51" xfId="4495" applyFont="1" applyFill="1" applyBorder="1" applyAlignment="1" applyProtection="1">
      <alignment vertical="top"/>
    </xf>
    <xf numFmtId="0" fontId="13" fillId="0" borderId="52" xfId="4495" applyFont="1" applyFill="1" applyBorder="1" applyAlignment="1" applyProtection="1">
      <alignment vertical="top"/>
    </xf>
    <xf numFmtId="1" fontId="21" fillId="0" borderId="8" xfId="4495" applyNumberFormat="1" applyFont="1" applyBorder="1" applyProtection="1"/>
    <xf numFmtId="0" fontId="13" fillId="0" borderId="0" xfId="543" applyFont="1" applyAlignment="1" applyProtection="1">
      <alignment vertical="top"/>
    </xf>
    <xf numFmtId="0" fontId="21" fillId="0" borderId="51" xfId="4495" applyFont="1" applyFill="1" applyBorder="1" applyAlignment="1" applyProtection="1">
      <alignment horizontal="left" vertical="top"/>
    </xf>
    <xf numFmtId="0" fontId="21" fillId="0" borderId="52" xfId="4495" applyFont="1" applyFill="1" applyBorder="1" applyAlignment="1" applyProtection="1">
      <alignment horizontal="left" vertical="top"/>
    </xf>
    <xf numFmtId="0" fontId="21" fillId="0" borderId="0" xfId="4495" applyFont="1" applyAlignment="1" applyProtection="1"/>
    <xf numFmtId="0" fontId="13" fillId="0" borderId="8" xfId="543" applyFont="1" applyBorder="1" applyAlignment="1" applyProtection="1"/>
    <xf numFmtId="0" fontId="119" fillId="0" borderId="0" xfId="4496" applyFont="1" applyAlignment="1"/>
    <xf numFmtId="168" fontId="13" fillId="0" borderId="0" xfId="543" applyNumberFormat="1" applyFont="1" applyAlignment="1" applyProtection="1"/>
    <xf numFmtId="0" fontId="117" fillId="0" borderId="0" xfId="4495" applyFill="1" applyBorder="1" applyAlignment="1" applyProtection="1">
      <alignment horizontal="center"/>
      <protection locked="0"/>
    </xf>
    <xf numFmtId="0" fontId="13" fillId="0" borderId="53" xfId="4495" applyFont="1" applyFill="1" applyBorder="1" applyAlignment="1" applyProtection="1">
      <alignment vertical="top"/>
    </xf>
    <xf numFmtId="0" fontId="13" fillId="0" borderId="54" xfId="4495" applyFont="1" applyFill="1" applyBorder="1" applyAlignment="1" applyProtection="1">
      <alignment vertical="top" wrapText="1"/>
    </xf>
    <xf numFmtId="0" fontId="58" fillId="0" borderId="53" xfId="4495" applyFont="1" applyFill="1" applyBorder="1"/>
    <xf numFmtId="0" fontId="21" fillId="0" borderId="54" xfId="4495" applyFont="1" applyFill="1" applyBorder="1" applyAlignment="1" applyProtection="1">
      <alignment horizontal="left" vertical="top"/>
    </xf>
    <xf numFmtId="0" fontId="13" fillId="0" borderId="53" xfId="4495" applyFont="1" applyFill="1" applyBorder="1" applyAlignment="1" applyProtection="1">
      <alignment vertical="center" wrapText="1"/>
    </xf>
    <xf numFmtId="0" fontId="58" fillId="0" borderId="57" xfId="4495" applyFont="1" applyFill="1" applyBorder="1"/>
    <xf numFmtId="0" fontId="21" fillId="0" borderId="58" xfId="4495" applyFont="1" applyFill="1" applyBorder="1" applyAlignment="1" applyProtection="1">
      <alignment horizontal="left" vertical="top"/>
    </xf>
    <xf numFmtId="0" fontId="21" fillId="0" borderId="12" xfId="4495" applyFont="1" applyFill="1" applyBorder="1" applyProtection="1"/>
    <xf numFmtId="0" fontId="13" fillId="0" borderId="57" xfId="4495" applyFont="1" applyFill="1" applyBorder="1" applyAlignment="1" applyProtection="1">
      <alignment vertical="center"/>
    </xf>
    <xf numFmtId="0" fontId="13" fillId="0" borderId="58" xfId="4495" applyFont="1" applyFill="1" applyBorder="1" applyAlignment="1" applyProtection="1">
      <alignment vertical="top"/>
    </xf>
    <xf numFmtId="0" fontId="13" fillId="0" borderId="59" xfId="4495" applyFont="1" applyFill="1" applyBorder="1" applyAlignment="1" applyProtection="1">
      <alignment vertical="top"/>
    </xf>
    <xf numFmtId="172" fontId="13" fillId="0" borderId="0" xfId="543" applyNumberFormat="1" applyFont="1" applyFill="1" applyBorder="1" applyProtection="1"/>
    <xf numFmtId="0" fontId="13" fillId="0" borderId="0" xfId="4495" applyFont="1" applyFill="1" applyBorder="1" applyAlignment="1" applyProtection="1">
      <alignment vertical="top"/>
    </xf>
    <xf numFmtId="0" fontId="21" fillId="0" borderId="4" xfId="4495" applyFont="1" applyFill="1" applyBorder="1" applyAlignment="1" applyProtection="1">
      <alignment horizontal="left" vertical="top"/>
    </xf>
    <xf numFmtId="0" fontId="13" fillId="0" borderId="4" xfId="4495" applyFont="1" applyFill="1" applyBorder="1" applyAlignment="1" applyProtection="1">
      <alignment horizontal="left" vertical="top"/>
    </xf>
    <xf numFmtId="0" fontId="13" fillId="0" borderId="2" xfId="4495" applyFont="1" applyFill="1" applyBorder="1" applyAlignment="1" applyProtection="1"/>
    <xf numFmtId="0" fontId="21" fillId="0" borderId="2" xfId="4495" applyFont="1" applyBorder="1" applyProtection="1"/>
    <xf numFmtId="0" fontId="21" fillId="0" borderId="2" xfId="4495" applyFont="1" applyFill="1" applyBorder="1" applyAlignment="1" applyProtection="1"/>
    <xf numFmtId="0" fontId="21" fillId="0" borderId="2" xfId="4495" applyFont="1" applyFill="1" applyBorder="1" applyProtection="1"/>
    <xf numFmtId="0" fontId="13" fillId="0" borderId="2" xfId="4495" applyFont="1" applyFill="1" applyBorder="1" applyAlignment="1" applyProtection="1">
      <alignment horizontal="center"/>
    </xf>
    <xf numFmtId="0" fontId="21" fillId="0" borderId="7" xfId="4495" applyFont="1" applyBorder="1" applyProtection="1"/>
    <xf numFmtId="0" fontId="29" fillId="0" borderId="0" xfId="4495" applyFont="1" applyFill="1" applyBorder="1" applyAlignment="1" applyProtection="1">
      <alignment horizontal="right"/>
    </xf>
    <xf numFmtId="0" fontId="123" fillId="0" borderId="0" xfId="4495" applyFont="1" applyFill="1" applyBorder="1" applyAlignment="1" applyProtection="1">
      <alignment horizontal="left" vertical="top" wrapText="1"/>
    </xf>
    <xf numFmtId="0" fontId="29" fillId="0" borderId="0" xfId="4495" applyFont="1" applyFill="1" applyBorder="1" applyAlignment="1" applyProtection="1">
      <alignment horizontal="left" vertical="top"/>
    </xf>
    <xf numFmtId="0" fontId="21" fillId="0" borderId="0" xfId="4495" applyFont="1" applyFill="1" applyBorder="1" applyAlignment="1" applyProtection="1">
      <alignment vertical="top"/>
    </xf>
    <xf numFmtId="0" fontId="21" fillId="0" borderId="0" xfId="4495" applyFont="1" applyFill="1" applyBorder="1" applyAlignment="1" applyProtection="1">
      <alignment horizontal="right"/>
    </xf>
    <xf numFmtId="0" fontId="21" fillId="0" borderId="0" xfId="4495" quotePrefix="1" applyNumberFormat="1" applyFont="1" applyAlignment="1" applyProtection="1">
      <alignment horizontal="right"/>
    </xf>
    <xf numFmtId="0" fontId="13" fillId="0" borderId="0" xfId="4497" applyFont="1" applyAlignment="1" applyProtection="1"/>
    <xf numFmtId="0" fontId="21" fillId="0" borderId="0" xfId="4495" applyFont="1" applyFill="1" applyBorder="1" applyAlignment="1" applyProtection="1">
      <alignment horizontal="left" vertical="top" wrapText="1" shrinkToFit="1"/>
    </xf>
    <xf numFmtId="0" fontId="117" fillId="0" borderId="0" xfId="4495" applyAlignment="1">
      <alignment vertical="top" wrapText="1"/>
    </xf>
    <xf numFmtId="0" fontId="21" fillId="0" borderId="4" xfId="4495" applyFont="1" applyFill="1" applyBorder="1" applyAlignment="1" applyProtection="1">
      <alignment horizontal="left" vertical="top" wrapText="1" shrinkToFit="1"/>
    </xf>
    <xf numFmtId="0" fontId="29" fillId="0" borderId="8" xfId="4495" applyFont="1" applyBorder="1" applyProtection="1"/>
    <xf numFmtId="0" fontId="21" fillId="0" borderId="0" xfId="4495" applyFont="1" applyFill="1" applyBorder="1" applyAlignment="1" applyProtection="1">
      <alignment horizontal="center"/>
    </xf>
    <xf numFmtId="0" fontId="21" fillId="0" borderId="0" xfId="4495" quotePrefix="1" applyNumberFormat="1" applyFont="1" applyFill="1" applyAlignment="1" applyProtection="1">
      <alignment horizontal="right"/>
    </xf>
    <xf numFmtId="0" fontId="21" fillId="0" borderId="0" xfId="4495" quotePrefix="1" applyFont="1" applyFill="1" applyProtection="1"/>
    <xf numFmtId="0" fontId="21" fillId="0" borderId="0" xfId="4495" applyFont="1" applyFill="1" applyBorder="1" applyAlignment="1" applyProtection="1">
      <alignment horizontal="left" vertical="top" shrinkToFit="1"/>
    </xf>
    <xf numFmtId="0" fontId="43" fillId="0" borderId="0" xfId="4495" applyFont="1" applyProtection="1"/>
    <xf numFmtId="0" fontId="21" fillId="0" borderId="0" xfId="4495" applyNumberFormat="1" applyFont="1" applyAlignment="1" applyProtection="1">
      <alignment horizontal="right"/>
    </xf>
    <xf numFmtId="0" fontId="21" fillId="0" borderId="3" xfId="4495" applyFont="1" applyFill="1" applyBorder="1" applyAlignment="1" applyProtection="1">
      <alignment horizontal="center"/>
    </xf>
    <xf numFmtId="0" fontId="117" fillId="0" borderId="8" xfId="4495" applyBorder="1" applyProtection="1"/>
    <xf numFmtId="0" fontId="117" fillId="0" borderId="0" xfId="4495" applyProtection="1"/>
    <xf numFmtId="0" fontId="117" fillId="0" borderId="0" xfId="4495" applyFill="1" applyProtection="1"/>
    <xf numFmtId="0" fontId="20" fillId="0" borderId="8" xfId="4495" applyFont="1" applyFill="1" applyBorder="1" applyAlignment="1" applyProtection="1">
      <alignment vertical="top"/>
    </xf>
    <xf numFmtId="0" fontId="117" fillId="0" borderId="0" xfId="4495" applyFill="1" applyAlignment="1" applyProtection="1">
      <alignment vertical="top"/>
    </xf>
    <xf numFmtId="0" fontId="117" fillId="0" borderId="8" xfId="4495" applyFill="1" applyBorder="1" applyProtection="1"/>
    <xf numFmtId="172" fontId="13" fillId="0" borderId="8" xfId="543" applyNumberFormat="1" applyFont="1" applyFill="1" applyBorder="1" applyProtection="1"/>
    <xf numFmtId="0" fontId="20" fillId="0" borderId="4" xfId="4495" applyFont="1" applyFill="1" applyBorder="1" applyAlignment="1" applyProtection="1">
      <alignment horizontal="center" vertical="top"/>
    </xf>
    <xf numFmtId="0" fontId="123" fillId="0" borderId="0" xfId="4495" applyFont="1" applyFill="1" applyBorder="1" applyAlignment="1" applyProtection="1">
      <alignment horizontal="left" vertical="top"/>
    </xf>
    <xf numFmtId="0" fontId="123" fillId="0" borderId="4" xfId="4495" applyFont="1" applyFill="1" applyBorder="1" applyAlignment="1" applyProtection="1">
      <alignment horizontal="left" vertical="top"/>
    </xf>
    <xf numFmtId="0" fontId="13" fillId="0" borderId="0" xfId="4497" applyFont="1" applyProtection="1"/>
    <xf numFmtId="168" fontId="13" fillId="0" borderId="0" xfId="4497" applyNumberFormat="1" applyFont="1" applyProtection="1"/>
    <xf numFmtId="0" fontId="21" fillId="0" borderId="0" xfId="4495" quotePrefix="1" applyNumberFormat="1" applyFont="1" applyProtection="1"/>
    <xf numFmtId="1" fontId="21" fillId="0" borderId="0" xfId="4495" applyNumberFormat="1" applyFont="1" applyFill="1" applyBorder="1" applyAlignment="1" applyProtection="1">
      <alignment horizontal="center" vertical="top"/>
    </xf>
    <xf numFmtId="0" fontId="20" fillId="0" borderId="8" xfId="4495" applyFont="1" applyFill="1" applyBorder="1" applyAlignment="1" applyProtection="1"/>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applyProtection="1"/>
    <xf numFmtId="1" fontId="21" fillId="0" borderId="8" xfId="4495" applyNumberFormat="1" applyFont="1" applyFill="1" applyBorder="1" applyAlignment="1" applyProtection="1">
      <alignment horizontal="center" vertical="top"/>
    </xf>
    <xf numFmtId="0" fontId="117" fillId="0" borderId="12" xfId="4495" applyFill="1" applyBorder="1" applyProtection="1"/>
    <xf numFmtId="0" fontId="21" fillId="0" borderId="9" xfId="4495" applyFont="1" applyBorder="1" applyProtection="1"/>
    <xf numFmtId="0" fontId="117" fillId="0" borderId="10" xfId="4495" applyFill="1" applyBorder="1" applyProtection="1"/>
    <xf numFmtId="0" fontId="29" fillId="0" borderId="3" xfId="4495" applyFont="1" applyBorder="1" applyProtection="1"/>
    <xf numFmtId="0" fontId="20" fillId="0" borderId="4" xfId="4495" applyFont="1" applyBorder="1" applyProtection="1"/>
    <xf numFmtId="0" fontId="117" fillId="0" borderId="0" xfId="4495" applyFill="1" applyBorder="1" applyProtection="1"/>
    <xf numFmtId="0" fontId="117" fillId="0" borderId="12" xfId="4495" applyFill="1" applyBorder="1" applyAlignment="1" applyProtection="1">
      <alignment vertical="top"/>
    </xf>
    <xf numFmtId="0" fontId="21" fillId="0" borderId="0" xfId="4495" applyFont="1" applyAlignment="1"/>
    <xf numFmtId="0" fontId="29" fillId="0" borderId="1" xfId="4495" applyFont="1" applyBorder="1" applyAlignment="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applyProtection="1"/>
    <xf numFmtId="0" fontId="21" fillId="0" borderId="6" xfId="4495" applyFont="1" applyBorder="1" applyAlignment="1"/>
    <xf numFmtId="0" fontId="21" fillId="0" borderId="10" xfId="4495" applyFont="1" applyBorder="1" applyAlignment="1"/>
    <xf numFmtId="0" fontId="127" fillId="0" borderId="0" xfId="4495" applyFont="1" applyAlignment="1">
      <alignment wrapText="1"/>
    </xf>
    <xf numFmtId="0" fontId="29" fillId="0" borderId="9" xfId="4495" applyFont="1" applyBorder="1" applyAlignment="1" applyProtection="1">
      <alignment horizontal="center"/>
    </xf>
    <xf numFmtId="0" fontId="20" fillId="0" borderId="10" xfId="4495" applyFont="1" applyFill="1" applyBorder="1" applyProtection="1"/>
    <xf numFmtId="0" fontId="31" fillId="0" borderId="0" xfId="4495" applyFont="1" applyProtection="1"/>
    <xf numFmtId="0" fontId="21" fillId="0" borderId="50" xfId="4495" applyFont="1" applyBorder="1" applyProtection="1"/>
    <xf numFmtId="0" fontId="21" fillId="0" borderId="51" xfId="4495" applyFont="1" applyBorder="1" applyProtection="1"/>
    <xf numFmtId="1" fontId="21" fillId="0" borderId="51" xfId="4495" quotePrefix="1" applyNumberFormat="1" applyFont="1" applyFill="1" applyBorder="1" applyAlignment="1" applyProtection="1">
      <alignment horizontal="center" vertical="top"/>
    </xf>
    <xf numFmtId="0" fontId="20" fillId="0" borderId="51" xfId="4495" applyFont="1" applyBorder="1" applyAlignment="1" applyProtection="1"/>
    <xf numFmtId="0" fontId="20" fillId="0" borderId="52" xfId="4495" applyFont="1" applyBorder="1" applyAlignment="1" applyProtection="1">
      <alignment horizontal="center"/>
    </xf>
    <xf numFmtId="0" fontId="13" fillId="0" borderId="53" xfId="4495" applyFont="1" applyBorder="1" applyProtection="1"/>
    <xf numFmtId="1" fontId="21" fillId="0" borderId="0" xfId="4495" quotePrefix="1" applyNumberFormat="1" applyFont="1" applyFill="1" applyBorder="1" applyAlignment="1" applyProtection="1">
      <alignment horizontal="center" vertical="top"/>
    </xf>
    <xf numFmtId="0" fontId="20" fillId="0" borderId="0" xfId="4495" applyFont="1" applyBorder="1" applyAlignment="1" applyProtection="1"/>
    <xf numFmtId="0" fontId="20" fillId="0" borderId="54" xfId="4495" applyFont="1" applyBorder="1" applyAlignment="1" applyProtection="1">
      <alignment horizontal="center"/>
    </xf>
    <xf numFmtId="0" fontId="29" fillId="0" borderId="0" xfId="4495" applyFont="1" applyBorder="1" applyAlignment="1">
      <alignment vertical="top"/>
    </xf>
    <xf numFmtId="0" fontId="21" fillId="0" borderId="0" xfId="4495" applyFont="1" applyBorder="1" applyAlignment="1">
      <alignment vertical="top" wrapText="1"/>
    </xf>
    <xf numFmtId="0" fontId="21" fillId="0" borderId="61" xfId="4495" applyFont="1" applyBorder="1" applyProtection="1"/>
    <xf numFmtId="0" fontId="117" fillId="0" borderId="58" xfId="4495" applyFill="1" applyBorder="1" applyAlignment="1" applyProtection="1">
      <alignment horizontal="center"/>
    </xf>
    <xf numFmtId="1" fontId="21" fillId="0" borderId="58" xfId="4495" quotePrefix="1" applyNumberFormat="1" applyFont="1" applyFill="1" applyBorder="1" applyAlignment="1" applyProtection="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applyProtection="1"/>
    <xf numFmtId="0" fontId="20" fillId="0" borderId="58" xfId="4495" applyFont="1" applyBorder="1" applyAlignment="1" applyProtection="1">
      <alignment horizontal="center"/>
    </xf>
    <xf numFmtId="0" fontId="117" fillId="0" borderId="61" xfId="4495" applyBorder="1" applyProtection="1"/>
    <xf numFmtId="0" fontId="117" fillId="0" borderId="0" xfId="4495" applyFill="1" applyBorder="1" applyAlignment="1" applyProtection="1">
      <alignment horizontal="center"/>
    </xf>
    <xf numFmtId="0" fontId="13" fillId="0" borderId="53" xfId="543" applyFont="1" applyBorder="1" applyProtection="1"/>
    <xf numFmtId="0" fontId="21" fillId="0" borderId="54" xfId="4495" applyFont="1" applyBorder="1" applyProtection="1"/>
    <xf numFmtId="0" fontId="13" fillId="0" borderId="58" xfId="543" applyFont="1" applyBorder="1" applyProtection="1"/>
    <xf numFmtId="1" fontId="21" fillId="0" borderId="58" xfId="4495" applyNumberFormat="1" applyFont="1" applyFill="1" applyBorder="1" applyAlignment="1" applyProtection="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applyProtection="1"/>
    <xf numFmtId="0" fontId="21" fillId="0" borderId="0" xfId="4495" applyFont="1" applyBorder="1" applyAlignment="1">
      <alignment horizontal="left" vertical="top" wrapText="1"/>
    </xf>
    <xf numFmtId="0" fontId="29" fillId="0" borderId="0" xfId="4495" applyFont="1" applyBorder="1" applyAlignment="1">
      <alignment vertical="center"/>
    </xf>
    <xf numFmtId="0" fontId="21" fillId="0" borderId="53" xfId="4495" applyFont="1" applyBorder="1" applyProtection="1"/>
    <xf numFmtId="0" fontId="13" fillId="0" borderId="57" xfId="543" applyFont="1" applyBorder="1" applyProtection="1"/>
    <xf numFmtId="0" fontId="21" fillId="0" borderId="58" xfId="4495" applyFont="1" applyBorder="1" applyAlignment="1">
      <alignment vertical="top"/>
    </xf>
    <xf numFmtId="0" fontId="21" fillId="0" borderId="59" xfId="4495" applyFont="1" applyBorder="1" applyProtection="1"/>
    <xf numFmtId="0" fontId="21" fillId="0" borderId="57" xfId="4495" applyFont="1" applyBorder="1" applyProtection="1"/>
    <xf numFmtId="0" fontId="21" fillId="0" borderId="0" xfId="4495" applyFont="1" applyAlignment="1">
      <alignment vertical="top" wrapText="1"/>
    </xf>
    <xf numFmtId="0" fontId="20" fillId="0" borderId="51" xfId="4495" applyFont="1" applyBorder="1" applyProtection="1"/>
    <xf numFmtId="0" fontId="13" fillId="0" borderId="51" xfId="4495" applyFont="1" applyBorder="1" applyProtection="1"/>
    <xf numFmtId="0" fontId="21" fillId="0" borderId="52" xfId="4495" applyFont="1" applyBorder="1" applyProtection="1"/>
    <xf numFmtId="0" fontId="13" fillId="0" borderId="50" xfId="543" applyFont="1" applyBorder="1" applyProtection="1"/>
    <xf numFmtId="0" fontId="13" fillId="0" borderId="51" xfId="543" applyFont="1" applyBorder="1" applyProtection="1"/>
    <xf numFmtId="0" fontId="13" fillId="0" borderId="52" xfId="543" applyFont="1" applyBorder="1" applyProtection="1"/>
    <xf numFmtId="0" fontId="20" fillId="0" borderId="0" xfId="4495" applyFont="1" applyBorder="1" applyProtection="1"/>
    <xf numFmtId="0" fontId="29" fillId="0" borderId="0" xfId="4495" applyNumberFormat="1" applyFont="1" applyBorder="1" applyAlignment="1">
      <alignment vertical="top"/>
    </xf>
    <xf numFmtId="0" fontId="21" fillId="0" borderId="0" xfId="4495" applyNumberFormat="1" applyFont="1" applyBorder="1" applyAlignment="1">
      <alignment vertical="top" wrapText="1"/>
    </xf>
    <xf numFmtId="0" fontId="29" fillId="0" borderId="0" xfId="4495" applyFont="1" applyBorder="1" applyProtection="1"/>
    <xf numFmtId="0" fontId="29" fillId="0" borderId="58" xfId="4495" applyNumberFormat="1" applyFont="1" applyBorder="1" applyAlignment="1">
      <alignment vertical="top"/>
    </xf>
    <xf numFmtId="0" fontId="21" fillId="0" borderId="58" xfId="4495" applyNumberFormat="1" applyFont="1" applyBorder="1" applyAlignment="1">
      <alignment vertical="top" wrapText="1"/>
    </xf>
    <xf numFmtId="0" fontId="21" fillId="0" borderId="62" xfId="4495" applyFont="1" applyBorder="1" applyProtection="1"/>
    <xf numFmtId="0" fontId="29" fillId="0" borderId="0" xfId="4495" applyNumberFormat="1" applyFont="1" applyAlignment="1">
      <alignment vertical="top"/>
    </xf>
    <xf numFmtId="0" fontId="21" fillId="0" borderId="0" xfId="4495" applyNumberFormat="1" applyFont="1" applyAlignment="1">
      <alignment vertical="top" wrapText="1"/>
    </xf>
    <xf numFmtId="0" fontId="21" fillId="0" borderId="0" xfId="4495" applyFont="1" applyBorder="1" applyAlignment="1">
      <alignment wrapText="1"/>
    </xf>
    <xf numFmtId="0" fontId="29" fillId="0" borderId="0" xfId="4495" applyFont="1" applyAlignment="1">
      <alignment vertical="top"/>
    </xf>
    <xf numFmtId="0" fontId="20" fillId="0" borderId="0" xfId="4495" applyFont="1" applyBorder="1" applyAlignment="1" applyProtection="1">
      <alignment horizontal="center" vertical="top"/>
    </xf>
    <xf numFmtId="0" fontId="20" fillId="0" borderId="54" xfId="4495" applyFont="1" applyBorder="1" applyAlignment="1" applyProtection="1">
      <alignment horizontal="center" vertical="top"/>
    </xf>
    <xf numFmtId="0" fontId="117" fillId="0" borderId="53" xfId="4495" applyFill="1" applyBorder="1" applyAlignment="1" applyProtection="1">
      <alignment horizontal="center"/>
    </xf>
    <xf numFmtId="172" fontId="13" fillId="0" borderId="0" xfId="543" applyNumberFormat="1" applyFont="1" applyBorder="1" applyProtection="1"/>
    <xf numFmtId="0" fontId="117" fillId="0" borderId="0" xfId="4495" applyBorder="1" applyAlignment="1" applyProtection="1">
      <alignment vertical="top" wrapText="1"/>
    </xf>
    <xf numFmtId="2" fontId="21" fillId="0" borderId="0" xfId="4495" applyNumberFormat="1" applyFont="1" applyFill="1" applyBorder="1" applyAlignment="1" applyProtection="1">
      <alignment horizontal="right"/>
    </xf>
    <xf numFmtId="0" fontId="20" fillId="0" borderId="0" xfId="4495" applyFont="1" applyBorder="1" applyAlignment="1" applyProtection="1">
      <alignment horizontal="center"/>
    </xf>
    <xf numFmtId="2" fontId="21" fillId="0" borderId="0" xfId="4495" applyNumberFormat="1" applyFont="1" applyBorder="1" applyAlignment="1" applyProtection="1">
      <alignment horizontal="right"/>
    </xf>
    <xf numFmtId="0" fontId="13" fillId="0" borderId="0" xfId="4495" applyFont="1" applyBorder="1" applyAlignment="1" applyProtection="1"/>
    <xf numFmtId="2" fontId="21" fillId="0" borderId="8" xfId="4495" applyNumberFormat="1" applyFont="1" applyFill="1" applyBorder="1" applyAlignment="1" applyProtection="1">
      <alignment horizontal="left"/>
    </xf>
    <xf numFmtId="0" fontId="21" fillId="0" borderId="8" xfId="4495" applyNumberFormat="1" applyFont="1" applyFill="1" applyBorder="1" applyAlignment="1" applyProtection="1">
      <alignment horizontal="right"/>
    </xf>
    <xf numFmtId="0" fontId="126" fillId="0" borderId="0" xfId="4495" applyFont="1" applyProtection="1"/>
    <xf numFmtId="0" fontId="117" fillId="0" borderId="57" xfId="4495" applyFill="1" applyBorder="1" applyAlignment="1" applyProtection="1">
      <alignment horizontal="center"/>
    </xf>
    <xf numFmtId="0" fontId="20" fillId="0" borderId="59" xfId="4495" applyFont="1" applyBorder="1" applyAlignment="1" applyProtection="1">
      <alignment horizontal="center"/>
    </xf>
    <xf numFmtId="0" fontId="13" fillId="0" borderId="8" xfId="4495" applyNumberFormat="1" applyFont="1" applyFill="1" applyBorder="1" applyAlignment="1" applyProtection="1"/>
    <xf numFmtId="0" fontId="21" fillId="0" borderId="0" xfId="4495" applyFont="1" applyAlignment="1" applyProtection="1">
      <alignment horizontal="left"/>
    </xf>
    <xf numFmtId="0" fontId="13" fillId="0" borderId="8" xfId="4495" applyNumberFormat="1" applyFont="1" applyBorder="1" applyAlignment="1" applyProtection="1"/>
    <xf numFmtId="9" fontId="21" fillId="0" borderId="0" xfId="4495" applyNumberFormat="1" applyFont="1" applyAlignment="1" applyProtection="1">
      <alignment horizontal="left"/>
    </xf>
    <xf numFmtId="0" fontId="21" fillId="0" borderId="50" xfId="4495" applyFont="1" applyFill="1" applyBorder="1" applyProtection="1"/>
    <xf numFmtId="0" fontId="21" fillId="0" borderId="51" xfId="4495" applyFont="1" applyFill="1" applyBorder="1" applyProtection="1"/>
    <xf numFmtId="0" fontId="13" fillId="0" borderId="17" xfId="543" applyFont="1" applyBorder="1" applyProtection="1"/>
    <xf numFmtId="0" fontId="13" fillId="0" borderId="16" xfId="543" applyFont="1" applyBorder="1" applyProtection="1"/>
    <xf numFmtId="0" fontId="21" fillId="0" borderId="0" xfId="4495" applyFont="1" applyAlignment="1" applyProtection="1">
      <alignment horizontal="center"/>
    </xf>
    <xf numFmtId="0" fontId="31" fillId="0" borderId="0" xfId="4495" applyFont="1" applyBorder="1" applyProtection="1"/>
    <xf numFmtId="0" fontId="13" fillId="0" borderId="51" xfId="4495" quotePrefix="1" applyFont="1" applyFill="1" applyBorder="1" applyAlignment="1" applyProtection="1">
      <alignment horizontal="center" vertical="top"/>
    </xf>
    <xf numFmtId="0" fontId="21" fillId="0" borderId="53" xfId="4495" applyFont="1" applyFill="1" applyBorder="1" applyAlignment="1" applyProtection="1">
      <alignment horizontal="left" vertical="top"/>
    </xf>
    <xf numFmtId="0" fontId="21" fillId="0" borderId="0" xfId="4495" applyFont="1" applyFill="1" applyBorder="1" applyAlignment="1" applyProtection="1">
      <alignment horizontal="center" vertical="top"/>
    </xf>
    <xf numFmtId="0" fontId="21" fillId="0" borderId="57" xfId="4495" applyFont="1" applyFill="1" applyBorder="1" applyAlignment="1" applyProtection="1">
      <alignment horizontal="left" vertical="top"/>
    </xf>
    <xf numFmtId="0" fontId="21" fillId="0" borderId="58" xfId="4495" applyFont="1" applyFill="1" applyBorder="1" applyAlignment="1" applyProtection="1">
      <alignment horizontal="center" vertical="top"/>
    </xf>
    <xf numFmtId="0" fontId="117" fillId="0" borderId="58" xfId="4495" applyFill="1" applyBorder="1" applyAlignment="1" applyProtection="1"/>
    <xf numFmtId="0" fontId="20" fillId="0" borderId="58" xfId="4495" applyFont="1" applyFill="1" applyBorder="1" applyAlignment="1" applyProtection="1">
      <alignment vertical="top"/>
    </xf>
    <xf numFmtId="0" fontId="20" fillId="0" borderId="58" xfId="4495" applyFont="1" applyFill="1" applyBorder="1" applyAlignment="1" applyProtection="1">
      <alignment horizontal="left" vertical="top"/>
    </xf>
    <xf numFmtId="0" fontId="117" fillId="0" borderId="0" xfId="4495" applyFill="1" applyBorder="1" applyAlignment="1" applyProtection="1"/>
    <xf numFmtId="0" fontId="20" fillId="0" borderId="51" xfId="4495" applyFont="1" applyFill="1" applyBorder="1" applyAlignment="1" applyProtection="1">
      <alignment horizontal="left" vertical="top"/>
    </xf>
    <xf numFmtId="0" fontId="20" fillId="0" borderId="53" xfId="4495" applyFont="1" applyBorder="1" applyAlignment="1" applyProtection="1">
      <alignment horizontal="left" vertical="top"/>
    </xf>
    <xf numFmtId="0" fontId="50" fillId="0" borderId="0" xfId="4495" applyFont="1" applyFill="1" applyBorder="1" applyAlignment="1" applyProtection="1">
      <alignment horizontal="left" vertical="top"/>
    </xf>
    <xf numFmtId="0" fontId="21" fillId="0" borderId="0" xfId="4495" quotePrefix="1" applyFont="1" applyFill="1" applyBorder="1" applyAlignment="1" applyProtection="1">
      <alignment horizontal="center" vertical="top"/>
    </xf>
    <xf numFmtId="0" fontId="51" fillId="0" borderId="0" xfId="4495" applyFont="1" applyFill="1" applyBorder="1" applyAlignment="1" applyProtection="1">
      <alignment horizontal="center"/>
    </xf>
    <xf numFmtId="0" fontId="50" fillId="0" borderId="0" xfId="4495" applyFont="1" applyBorder="1" applyProtection="1"/>
    <xf numFmtId="0" fontId="51" fillId="0" borderId="0" xfId="4495" applyFont="1" applyFill="1" applyBorder="1" applyAlignment="1" applyProtection="1">
      <alignment vertical="top"/>
    </xf>
    <xf numFmtId="0" fontId="104" fillId="0" borderId="0" xfId="4495" applyFont="1" applyBorder="1" applyProtection="1"/>
    <xf numFmtId="0" fontId="50" fillId="0" borderId="0" xfId="4495" applyFont="1" applyBorder="1" applyAlignment="1" applyProtection="1">
      <alignment vertical="top"/>
    </xf>
    <xf numFmtId="0" fontId="29" fillId="0" borderId="53" xfId="4495" applyFont="1" applyBorder="1" applyProtection="1"/>
    <xf numFmtId="2" fontId="21" fillId="0" borderId="8" xfId="4495" applyNumberFormat="1" applyFont="1" applyFill="1" applyBorder="1" applyAlignment="1" applyProtection="1">
      <alignment horizontal="right"/>
    </xf>
    <xf numFmtId="0" fontId="20" fillId="0" borderId="50" xfId="4495" applyFont="1" applyFill="1" applyBorder="1" applyAlignment="1" applyProtection="1">
      <alignment horizontal="left" vertical="top"/>
    </xf>
    <xf numFmtId="0" fontId="21" fillId="0" borderId="51" xfId="4495" applyFont="1" applyFill="1" applyBorder="1" applyAlignment="1" applyProtection="1"/>
    <xf numFmtId="0" fontId="50" fillId="0" borderId="51" xfId="4495" applyFont="1" applyFill="1" applyBorder="1" applyAlignment="1" applyProtection="1">
      <alignment horizontal="left" vertical="top"/>
    </xf>
    <xf numFmtId="0" fontId="117" fillId="0" borderId="53" xfId="4495" applyFill="1" applyBorder="1" applyAlignment="1" applyProtection="1"/>
    <xf numFmtId="0" fontId="104" fillId="0" borderId="0" xfId="4495" applyFont="1" applyFill="1" applyBorder="1" applyAlignment="1" applyProtection="1">
      <alignment horizontal="left" vertical="top"/>
    </xf>
    <xf numFmtId="0" fontId="117" fillId="0" borderId="58" xfId="4495" applyBorder="1" applyProtection="1"/>
    <xf numFmtId="1" fontId="20" fillId="0" borderId="58" xfId="4495" applyNumberFormat="1" applyFont="1" applyFill="1" applyBorder="1" applyAlignment="1" applyProtection="1">
      <alignment vertical="top"/>
    </xf>
    <xf numFmtId="172" fontId="20" fillId="0" borderId="8" xfId="543" applyNumberFormat="1" applyFont="1" applyBorder="1" applyProtection="1"/>
    <xf numFmtId="172" fontId="20" fillId="0" borderId="0" xfId="543" applyNumberFormat="1" applyFont="1" applyFill="1" applyBorder="1" applyProtection="1"/>
    <xf numFmtId="0" fontId="29" fillId="0" borderId="0" xfId="4495" applyFont="1" applyFill="1" applyBorder="1" applyAlignment="1" applyProtection="1">
      <alignment wrapText="1"/>
    </xf>
    <xf numFmtId="0" fontId="29" fillId="0" borderId="0" xfId="4495" applyNumberFormat="1" applyFont="1" applyFill="1" applyBorder="1" applyAlignment="1" applyProtection="1">
      <alignment horizontal="center"/>
    </xf>
    <xf numFmtId="0" fontId="29" fillId="0" borderId="0" xfId="4495" applyFont="1" applyFill="1" applyBorder="1" applyAlignment="1" applyProtection="1">
      <alignment vertical="center" wrapText="1"/>
    </xf>
    <xf numFmtId="0" fontId="21" fillId="0" borderId="0" xfId="4495" applyNumberFormat="1" applyFont="1" applyFill="1" applyBorder="1" applyAlignment="1" applyProtection="1">
      <alignment horizontal="center"/>
    </xf>
    <xf numFmtId="180" fontId="21" fillId="0" borderId="0" xfId="4495" applyNumberFormat="1" applyFont="1" applyFill="1" applyBorder="1" applyAlignment="1" applyProtection="1">
      <alignment horizontal="center"/>
    </xf>
    <xf numFmtId="1" fontId="21" fillId="0" borderId="0" xfId="4495" applyNumberFormat="1" applyFont="1" applyFill="1" applyBorder="1" applyAlignment="1" applyProtection="1">
      <alignment horizontal="center"/>
    </xf>
    <xf numFmtId="0" fontId="20" fillId="0" borderId="51" xfId="4495" applyFont="1" applyFill="1" applyBorder="1" applyAlignment="1" applyProtection="1">
      <alignment horizontal="center"/>
    </xf>
    <xf numFmtId="0" fontId="20" fillId="0" borderId="51" xfId="4495" applyFont="1" applyFill="1" applyBorder="1" applyAlignment="1" applyProtection="1">
      <alignment vertical="top"/>
    </xf>
    <xf numFmtId="0" fontId="13" fillId="0" borderId="53" xfId="543" applyFont="1" applyFill="1" applyBorder="1" applyProtection="1"/>
    <xf numFmtId="0" fontId="13" fillId="0" borderId="0" xfId="543" applyFont="1" applyBorder="1" applyAlignment="1" applyProtection="1"/>
    <xf numFmtId="0" fontId="21" fillId="0" borderId="54" xfId="4495" applyFont="1" applyFill="1" applyBorder="1" applyProtection="1"/>
    <xf numFmtId="0" fontId="20" fillId="0" borderId="53" xfId="4495" applyFont="1" applyFill="1" applyBorder="1" applyProtection="1"/>
    <xf numFmtId="0" fontId="13" fillId="0" borderId="54" xfId="543" applyFont="1" applyBorder="1" applyProtection="1"/>
    <xf numFmtId="49" fontId="21" fillId="0" borderId="0" xfId="4495" applyNumberFormat="1" applyFont="1" applyFill="1" applyBorder="1" applyAlignment="1" applyProtection="1">
      <alignment horizontal="left" vertical="center" wrapText="1"/>
    </xf>
    <xf numFmtId="0" fontId="13" fillId="0" borderId="57" xfId="4495" applyFont="1" applyFill="1" applyBorder="1" applyAlignment="1" applyProtection="1"/>
    <xf numFmtId="0" fontId="21" fillId="0" borderId="58" xfId="4495" applyFont="1" applyFill="1" applyBorder="1" applyProtection="1"/>
    <xf numFmtId="0" fontId="21" fillId="0" borderId="58" xfId="4495" applyFont="1" applyFill="1" applyBorder="1" applyAlignment="1" applyProtection="1">
      <alignment vertical="top" wrapText="1"/>
    </xf>
    <xf numFmtId="1" fontId="13" fillId="0" borderId="0" xfId="4495" applyNumberFormat="1" applyFont="1" applyFill="1" applyBorder="1" applyAlignment="1" applyProtection="1">
      <alignment vertical="center"/>
    </xf>
    <xf numFmtId="0" fontId="31" fillId="0" borderId="50" xfId="4495" applyFont="1" applyBorder="1" applyProtection="1"/>
    <xf numFmtId="0" fontId="21" fillId="0" borderId="51" xfId="4495" applyFont="1" applyFill="1" applyBorder="1" applyAlignment="1" applyProtection="1">
      <alignment horizontal="center" vertical="top"/>
    </xf>
    <xf numFmtId="0" fontId="21" fillId="0" borderId="51" xfId="4495" applyFont="1" applyFill="1" applyBorder="1" applyAlignment="1" applyProtection="1">
      <alignment vertical="top" wrapText="1"/>
    </xf>
    <xf numFmtId="0" fontId="21" fillId="0" borderId="51" xfId="4495" applyFont="1" applyFill="1" applyBorder="1" applyAlignment="1" applyProtection="1">
      <alignment horizontal="left" vertical="top" wrapText="1"/>
    </xf>
    <xf numFmtId="0" fontId="13" fillId="0" borderId="0" xfId="4495" quotePrefix="1" applyFont="1" applyFill="1" applyBorder="1" applyAlignment="1" applyProtection="1">
      <alignment horizontal="center" vertical="top"/>
    </xf>
    <xf numFmtId="0" fontId="13" fillId="0" borderId="53" xfId="4495" applyFont="1" applyFill="1" applyBorder="1" applyAlignment="1" applyProtection="1"/>
    <xf numFmtId="0" fontId="21" fillId="0" borderId="0" xfId="4495" applyNumberFormat="1" applyFont="1" applyProtection="1"/>
    <xf numFmtId="1" fontId="21" fillId="0" borderId="0" xfId="4495" quotePrefix="1" applyNumberFormat="1" applyFont="1" applyFill="1" applyBorder="1" applyAlignment="1" applyProtection="1">
      <alignment wrapText="1"/>
    </xf>
    <xf numFmtId="0" fontId="21" fillId="0" borderId="6" xfId="4495" applyFont="1" applyFill="1" applyBorder="1" applyAlignment="1" applyProtection="1">
      <alignment horizontal="right"/>
    </xf>
    <xf numFmtId="0" fontId="119" fillId="0" borderId="0" xfId="4496" applyFont="1" applyAlignment="1">
      <alignment wrapText="1"/>
    </xf>
    <xf numFmtId="0" fontId="13" fillId="0" borderId="0" xfId="4496" applyFont="1" applyBorder="1" applyAlignment="1" applyProtection="1">
      <alignment wrapText="1"/>
    </xf>
    <xf numFmtId="0" fontId="13" fillId="0" borderId="50" xfId="4495" applyNumberFormat="1" applyFont="1" applyBorder="1" applyAlignment="1">
      <alignment vertical="top"/>
    </xf>
    <xf numFmtId="0" fontId="29" fillId="0" borderId="51" xfId="4495" applyNumberFormat="1" applyFont="1" applyBorder="1" applyAlignment="1">
      <alignment vertical="top"/>
    </xf>
    <xf numFmtId="0" fontId="13" fillId="0" borderId="51" xfId="4496" applyFont="1" applyBorder="1" applyAlignment="1" applyProtection="1">
      <alignment wrapText="1"/>
    </xf>
    <xf numFmtId="0" fontId="20" fillId="0" borderId="51" xfId="4495" applyFont="1" applyFill="1" applyBorder="1" applyAlignment="1" applyProtection="1">
      <alignment horizontal="right"/>
    </xf>
    <xf numFmtId="0" fontId="13" fillId="0" borderId="52" xfId="4495" applyFont="1" applyFill="1" applyBorder="1" applyAlignment="1" applyProtection="1">
      <alignment horizontal="center"/>
    </xf>
    <xf numFmtId="0" fontId="13" fillId="0" borderId="53" xfId="4495" applyNumberFormat="1" applyFont="1" applyBorder="1" applyAlignment="1">
      <alignment horizontal="left" vertical="top"/>
    </xf>
    <xf numFmtId="0" fontId="13" fillId="0" borderId="0" xfId="4495" applyNumberFormat="1" applyFont="1" applyBorder="1" applyAlignment="1">
      <alignment horizontal="left" vertical="top"/>
    </xf>
    <xf numFmtId="0" fontId="13" fillId="0" borderId="54" xfId="4495" applyNumberFormat="1" applyFont="1" applyBorder="1" applyAlignment="1">
      <alignment horizontal="left" vertical="top"/>
    </xf>
    <xf numFmtId="0" fontId="13" fillId="0" borderId="54" xfId="4495" applyFont="1" applyFill="1" applyBorder="1" applyAlignment="1" applyProtection="1">
      <alignment horizontal="center"/>
    </xf>
    <xf numFmtId="0" fontId="13" fillId="0" borderId="59" xfId="4495" applyFont="1" applyFill="1" applyBorder="1" applyAlignment="1" applyProtection="1">
      <alignment horizontal="center"/>
    </xf>
    <xf numFmtId="0" fontId="13" fillId="0" borderId="0" xfId="4495" applyNumberFormat="1" applyFont="1" applyBorder="1" applyAlignment="1">
      <alignment vertical="top" wrapText="1"/>
    </xf>
    <xf numFmtId="0" fontId="20" fillId="0" borderId="0" xfId="1192" applyFont="1" applyAlignment="1" applyProtection="1">
      <alignment horizontal="left"/>
    </xf>
    <xf numFmtId="9" fontId="13" fillId="0" borderId="0" xfId="4496" applyNumberFormat="1" applyFont="1" applyFill="1" applyBorder="1" applyAlignment="1" applyProtection="1">
      <alignment horizontal="center"/>
    </xf>
    <xf numFmtId="1" fontId="13" fillId="0" borderId="0" xfId="543" applyNumberFormat="1" applyFont="1" applyProtection="1"/>
    <xf numFmtId="1" fontId="13" fillId="0" borderId="0" xfId="543" applyNumberFormat="1" applyFont="1" applyBorder="1" applyProtection="1"/>
    <xf numFmtId="0" fontId="21" fillId="0" borderId="1" xfId="4495" applyFont="1" applyBorder="1" applyProtection="1"/>
    <xf numFmtId="0" fontId="20" fillId="0" borderId="0" xfId="4495" applyFont="1" applyFill="1" applyBorder="1" applyAlignment="1" applyProtection="1">
      <alignment horizontal="center" wrapText="1"/>
    </xf>
    <xf numFmtId="0" fontId="20" fillId="0" borderId="9" xfId="4495" applyFont="1" applyFill="1" applyBorder="1" applyAlignment="1" applyProtection="1">
      <alignment horizontal="left"/>
    </xf>
    <xf numFmtId="0" fontId="21" fillId="0" borderId="10" xfId="4495" applyFont="1" applyBorder="1" applyProtection="1"/>
    <xf numFmtId="0" fontId="20" fillId="0" borderId="3" xfId="4495" applyFont="1" applyFill="1" applyBorder="1" applyAlignment="1" applyProtection="1">
      <alignment horizontal="left"/>
    </xf>
    <xf numFmtId="0" fontId="13" fillId="0" borderId="3" xfId="4495" applyFont="1" applyBorder="1" applyProtection="1"/>
    <xf numFmtId="0" fontId="20" fillId="0" borderId="0" xfId="4495" applyFont="1" applyBorder="1"/>
    <xf numFmtId="0" fontId="20" fillId="0" borderId="4" xfId="4495" applyFont="1" applyFill="1" applyBorder="1" applyAlignment="1" applyProtection="1">
      <alignment horizontal="left"/>
    </xf>
    <xf numFmtId="0" fontId="13" fillId="0" borderId="2" xfId="4495" applyFont="1" applyFill="1" applyBorder="1" applyAlignment="1" applyProtection="1">
      <alignment horizontal="left"/>
    </xf>
    <xf numFmtId="0" fontId="20" fillId="0" borderId="2" xfId="4495" applyFont="1" applyFill="1" applyBorder="1" applyAlignment="1" applyProtection="1">
      <alignment horizontal="left"/>
    </xf>
    <xf numFmtId="0" fontId="20" fillId="0" borderId="5" xfId="4495" applyFont="1" applyFill="1" applyBorder="1" applyAlignment="1" applyProtection="1">
      <alignment horizontal="left"/>
    </xf>
    <xf numFmtId="180" fontId="61" fillId="0" borderId="0" xfId="4495" applyNumberFormat="1" applyFont="1" applyFill="1" applyBorder="1" applyAlignment="1" applyProtection="1">
      <alignment horizontal="center" vertical="center"/>
    </xf>
    <xf numFmtId="0" fontId="13" fillId="0" borderId="12" xfId="4495" applyFont="1" applyFill="1" applyBorder="1" applyAlignment="1" applyProtection="1">
      <alignment vertical="top"/>
    </xf>
    <xf numFmtId="0" fontId="43" fillId="0" borderId="0" xfId="4495" applyFont="1" applyFill="1" applyBorder="1" applyAlignment="1" applyProtection="1">
      <alignment vertical="top" wrapText="1"/>
    </xf>
    <xf numFmtId="0" fontId="13" fillId="0" borderId="51" xfId="4495" applyFont="1" applyFill="1" applyBorder="1" applyAlignment="1" applyProtection="1">
      <alignment horizontal="left" vertical="top" wrapText="1"/>
    </xf>
    <xf numFmtId="0" fontId="13" fillId="0" borderId="51" xfId="4495" applyFont="1" applyFill="1" applyBorder="1" applyAlignment="1" applyProtection="1">
      <alignment horizontal="right"/>
    </xf>
    <xf numFmtId="0" fontId="13" fillId="0" borderId="52" xfId="4495" applyFont="1" applyFill="1" applyBorder="1" applyAlignment="1" applyProtection="1">
      <alignment horizontal="right"/>
    </xf>
    <xf numFmtId="0" fontId="13" fillId="0" borderId="54" xfId="4495" applyFont="1" applyFill="1" applyBorder="1" applyAlignment="1" applyProtection="1">
      <alignment horizontal="right"/>
    </xf>
    <xf numFmtId="0" fontId="13" fillId="0" borderId="58" xfId="4495" applyFont="1" applyFill="1" applyBorder="1" applyAlignment="1" applyProtection="1">
      <alignment horizontal="left" vertical="top" wrapText="1"/>
    </xf>
    <xf numFmtId="0" fontId="13" fillId="0" borderId="58" xfId="4495" applyFont="1" applyFill="1" applyBorder="1" applyAlignment="1" applyProtection="1">
      <alignment horizontal="right"/>
    </xf>
    <xf numFmtId="0" fontId="13" fillId="0" borderId="59" xfId="4495" applyFont="1" applyFill="1" applyBorder="1" applyAlignment="1" applyProtection="1">
      <alignment horizontal="right"/>
    </xf>
    <xf numFmtId="0" fontId="43" fillId="0" borderId="0" xfId="4495" applyFont="1" applyFill="1" applyBorder="1" applyAlignment="1" applyProtection="1">
      <alignment horizontal="left" vertical="top" wrapText="1"/>
    </xf>
    <xf numFmtId="0" fontId="20" fillId="0" borderId="0" xfId="1192" applyFont="1" applyFill="1" applyBorder="1" applyAlignment="1" applyProtection="1">
      <alignment horizontal="left"/>
    </xf>
    <xf numFmtId="0" fontId="13" fillId="0" borderId="0" xfId="1192" applyFont="1" applyAlignment="1" applyProtection="1">
      <alignment horizontal="left" vertical="top"/>
    </xf>
    <xf numFmtId="0" fontId="13" fillId="0" borderId="0" xfId="1192" applyFont="1" applyFill="1"/>
    <xf numFmtId="0" fontId="31" fillId="0" borderId="0" xfId="1192" applyFont="1" applyAlignment="1" applyProtection="1">
      <alignment horizontal="left" vertical="top"/>
    </xf>
    <xf numFmtId="0" fontId="13" fillId="0" borderId="0" xfId="1192" applyFont="1" applyAlignment="1" applyProtection="1">
      <alignment vertical="top"/>
    </xf>
    <xf numFmtId="0" fontId="13" fillId="0" borderId="0" xfId="1192" applyFont="1" applyAlignment="1" applyProtection="1"/>
    <xf numFmtId="168" fontId="13" fillId="0" borderId="0" xfId="1192" applyNumberFormat="1" applyFont="1" applyAlignment="1" applyProtection="1"/>
    <xf numFmtId="165" fontId="13" fillId="0" borderId="0" xfId="1192" applyNumberFormat="1" applyFont="1" applyFill="1" applyBorder="1" applyAlignment="1" applyProtection="1"/>
    <xf numFmtId="168" fontId="13" fillId="0" borderId="0" xfId="1192" applyNumberFormat="1" applyFont="1" applyFill="1" applyBorder="1" applyAlignment="1" applyProtection="1"/>
    <xf numFmtId="165" fontId="13" fillId="0" borderId="0" xfId="1192" applyNumberFormat="1" applyFont="1" applyFill="1" applyBorder="1" applyAlignment="1" applyProtection="1">
      <alignment horizontal="right"/>
    </xf>
    <xf numFmtId="0" fontId="13" fillId="0" borderId="0" xfId="1192" applyFont="1" applyFill="1" applyBorder="1" applyProtection="1"/>
    <xf numFmtId="0" fontId="13" fillId="0" borderId="0" xfId="1192" applyFont="1" applyFill="1" applyBorder="1" applyAlignment="1" applyProtection="1"/>
    <xf numFmtId="2" fontId="13" fillId="0" borderId="0" xfId="1192" applyNumberFormat="1" applyFont="1" applyFill="1" applyBorder="1" applyAlignment="1" applyProtection="1"/>
    <xf numFmtId="0" fontId="13" fillId="0" borderId="0" xfId="1192" applyFont="1" applyFill="1" applyBorder="1" applyAlignment="1" applyProtection="1">
      <alignment horizontal="center"/>
    </xf>
    <xf numFmtId="6" fontId="13" fillId="0" borderId="0" xfId="1192" applyNumberFormat="1" applyFont="1" applyFill="1" applyBorder="1" applyAlignment="1" applyProtection="1"/>
    <xf numFmtId="0" fontId="20" fillId="0" borderId="0" xfId="1192" applyFont="1" applyFill="1" applyBorder="1" applyAlignment="1" applyProtection="1"/>
    <xf numFmtId="0" fontId="43" fillId="0" borderId="0" xfId="1192" applyFont="1" applyFill="1" applyBorder="1" applyAlignment="1" applyProtection="1"/>
    <xf numFmtId="168" fontId="13" fillId="0" borderId="0" xfId="4495" applyNumberFormat="1" applyFont="1" applyFill="1" applyBorder="1" applyAlignment="1" applyProtection="1"/>
    <xf numFmtId="0" fontId="20" fillId="0" borderId="0" xfId="1192" applyFont="1" applyFill="1" applyBorder="1" applyAlignment="1" applyProtection="1">
      <alignment vertical="center"/>
    </xf>
    <xf numFmtId="0" fontId="115" fillId="0" borderId="0" xfId="1192" applyFont="1" applyBorder="1" applyAlignment="1" applyProtection="1">
      <alignment horizontal="left"/>
    </xf>
    <xf numFmtId="0" fontId="13" fillId="0" borderId="0" xfId="1192" applyFont="1" applyFill="1" applyBorder="1"/>
    <xf numFmtId="0" fontId="112" fillId="0" borderId="0" xfId="1192" applyFont="1" applyBorder="1" applyAlignment="1" applyProtection="1">
      <alignment horizontal="left"/>
    </xf>
    <xf numFmtId="0" fontId="13" fillId="0" borderId="0" xfId="1192" applyFont="1" applyBorder="1" applyAlignment="1" applyProtection="1">
      <alignment horizontal="center"/>
    </xf>
    <xf numFmtId="0" fontId="112" fillId="0" borderId="0" xfId="1192" applyFont="1" applyBorder="1" applyAlignment="1" applyProtection="1">
      <alignment horizontal="center"/>
    </xf>
    <xf numFmtId="168" fontId="13" fillId="0" borderId="0" xfId="1192" applyNumberFormat="1" applyFont="1" applyFill="1" applyAlignment="1" applyProtection="1">
      <alignment horizontal="center"/>
    </xf>
    <xf numFmtId="9" fontId="13" fillId="0" borderId="0" xfId="1192" applyNumberFormat="1" applyFont="1" applyFill="1" applyBorder="1" applyAlignment="1" applyProtection="1"/>
    <xf numFmtId="0" fontId="13" fillId="0" borderId="0" xfId="1192" applyFont="1" applyAlignment="1" applyProtection="1">
      <alignment horizontal="right"/>
    </xf>
    <xf numFmtId="0" fontId="13" fillId="0" borderId="53" xfId="4495" applyFont="1" applyFill="1" applyBorder="1" applyAlignment="1" applyProtection="1">
      <alignment horizontal="left"/>
    </xf>
    <xf numFmtId="0" fontId="20" fillId="0" borderId="0" xfId="1192" applyFont="1" applyBorder="1" applyProtection="1"/>
    <xf numFmtId="6" fontId="20" fillId="0" borderId="0" xfId="1192" applyNumberFormat="1" applyFont="1" applyBorder="1" applyAlignment="1" applyProtection="1">
      <alignment horizontal="right"/>
    </xf>
    <xf numFmtId="0" fontId="20" fillId="0" borderId="0" xfId="1192" applyFont="1" applyFill="1" applyBorder="1" applyAlignment="1" applyProtection="1">
      <alignment horizontal="right"/>
    </xf>
    <xf numFmtId="165" fontId="13" fillId="0" borderId="0" xfId="4495" applyNumberFormat="1" applyFont="1" applyFill="1" applyBorder="1" applyAlignment="1" applyProtection="1"/>
    <xf numFmtId="0" fontId="51" fillId="0" borderId="4" xfId="4495" applyFont="1" applyFill="1" applyBorder="1" applyProtection="1"/>
    <xf numFmtId="0" fontId="33" fillId="0" borderId="0" xfId="543" applyNumberFormat="1" applyFont="1" applyFill="1" applyBorder="1" applyAlignment="1" applyProtection="1">
      <alignment vertical="center" wrapText="1"/>
    </xf>
    <xf numFmtId="1" fontId="20" fillId="0" borderId="13" xfId="271" applyNumberFormat="1" applyFont="1" applyBorder="1" applyProtection="1"/>
    <xf numFmtId="1" fontId="22" fillId="0" borderId="13" xfId="271" applyNumberFormat="1" applyFont="1" applyBorder="1" applyProtection="1"/>
    <xf numFmtId="0" fontId="13" fillId="0" borderId="11" xfId="0" applyFont="1" applyBorder="1" applyProtection="1"/>
    <xf numFmtId="9" fontId="13" fillId="0" borderId="0" xfId="4495" applyNumberFormat="1" applyFont="1" applyFill="1" applyProtection="1"/>
    <xf numFmtId="165" fontId="119" fillId="0" borderId="0" xfId="4496" applyNumberFormat="1" applyFont="1" applyFill="1" applyBorder="1" applyAlignment="1">
      <alignment horizontal="center" vertical="top" wrapText="1"/>
    </xf>
    <xf numFmtId="0" fontId="119" fillId="0" borderId="0" xfId="4496" applyFont="1" applyFill="1" applyBorder="1" applyAlignment="1">
      <alignment vertical="top" wrapText="1"/>
    </xf>
    <xf numFmtId="0" fontId="119" fillId="0" borderId="54" xfId="4496" applyFont="1" applyFill="1" applyBorder="1" applyAlignment="1">
      <alignment vertical="top" wrapText="1"/>
    </xf>
    <xf numFmtId="168" fontId="119" fillId="0" borderId="0" xfId="4496" applyNumberFormat="1" applyFont="1" applyBorder="1" applyAlignment="1">
      <alignment vertical="top" wrapText="1"/>
    </xf>
    <xf numFmtId="165" fontId="119" fillId="0" borderId="65" xfId="4496" applyNumberFormat="1" applyFont="1" applyFill="1" applyBorder="1" applyAlignment="1">
      <alignment horizontal="center" vertical="top" wrapText="1"/>
    </xf>
    <xf numFmtId="165" fontId="119" fillId="0" borderId="53" xfId="4496" applyNumberFormat="1" applyFont="1" applyFill="1" applyBorder="1" applyAlignment="1">
      <alignment horizontal="left" vertical="top"/>
    </xf>
    <xf numFmtId="165" fontId="119" fillId="0" borderId="53" xfId="4496" applyNumberFormat="1" applyFont="1" applyFill="1" applyBorder="1" applyAlignment="1">
      <alignment horizontal="center" vertical="top" wrapText="1"/>
    </xf>
    <xf numFmtId="168" fontId="119" fillId="0" borderId="0" xfId="4496" applyNumberFormat="1" applyFont="1" applyBorder="1" applyAlignment="1">
      <alignment vertical="top"/>
    </xf>
    <xf numFmtId="0" fontId="119" fillId="0" borderId="0" xfId="4496" applyFont="1" applyFill="1" applyBorder="1" applyAlignment="1">
      <alignment vertical="top"/>
    </xf>
    <xf numFmtId="1" fontId="119" fillId="0" borderId="0" xfId="4496" applyNumberFormat="1" applyFont="1" applyBorder="1" applyAlignment="1">
      <alignment vertical="top" wrapText="1"/>
    </xf>
    <xf numFmtId="0" fontId="119" fillId="0" borderId="0" xfId="4496" applyFont="1" applyFill="1" applyBorder="1" applyAlignment="1">
      <alignment horizontal="left" vertical="top" wrapText="1"/>
    </xf>
    <xf numFmtId="164" fontId="21"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5" xfId="0" applyFont="1" applyBorder="1" applyAlignment="1" applyProtection="1">
      <alignment horizontal="right"/>
    </xf>
    <xf numFmtId="168" fontId="22"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0" borderId="6" xfId="0" applyFont="1" applyBorder="1" applyAlignment="1" applyProtection="1">
      <alignment horizontal="center"/>
    </xf>
    <xf numFmtId="0" fontId="138" fillId="0" borderId="50" xfId="1192" applyFont="1" applyBorder="1" applyAlignment="1" applyProtection="1">
      <alignment horizontal="left"/>
    </xf>
    <xf numFmtId="0" fontId="139" fillId="0" borderId="51" xfId="4495" applyFont="1" applyFill="1" applyBorder="1" applyAlignment="1" applyProtection="1">
      <alignment vertical="top"/>
    </xf>
    <xf numFmtId="0" fontId="138" fillId="0" borderId="51" xfId="4495" applyFont="1" applyFill="1" applyBorder="1" applyAlignment="1" applyProtection="1">
      <alignment vertical="top" wrapText="1"/>
    </xf>
    <xf numFmtId="0" fontId="139" fillId="0" borderId="51" xfId="4495" applyFont="1" applyBorder="1" applyProtection="1"/>
    <xf numFmtId="0" fontId="139" fillId="0" borderId="53" xfId="1192" applyFont="1" applyBorder="1" applyAlignment="1" applyProtection="1">
      <alignment horizontal="left"/>
    </xf>
    <xf numFmtId="0" fontId="139" fillId="0" borderId="0" xfId="4495" applyFont="1" applyFill="1" applyBorder="1" applyAlignment="1" applyProtection="1">
      <alignment vertical="top"/>
    </xf>
    <xf numFmtId="0" fontId="138" fillId="0" borderId="0" xfId="4495" applyFont="1" applyFill="1" applyBorder="1" applyAlignment="1" applyProtection="1">
      <alignment vertical="top" wrapText="1"/>
    </xf>
    <xf numFmtId="0" fontId="139" fillId="0" borderId="0" xfId="4495" applyFont="1" applyBorder="1" applyProtection="1"/>
    <xf numFmtId="0" fontId="138" fillId="0" borderId="53" xfId="1192" applyFont="1" applyBorder="1" applyAlignment="1" applyProtection="1">
      <alignment horizontal="left"/>
    </xf>
    <xf numFmtId="0" fontId="138" fillId="0" borderId="57" xfId="1192" applyFont="1" applyBorder="1" applyAlignment="1" applyProtection="1">
      <alignment horizontal="left"/>
    </xf>
    <xf numFmtId="0" fontId="139" fillId="0" borderId="58" xfId="4495" applyFont="1" applyFill="1" applyBorder="1" applyAlignment="1" applyProtection="1">
      <alignment vertical="top"/>
    </xf>
    <xf numFmtId="0" fontId="138" fillId="0" borderId="58" xfId="4495" applyFont="1" applyFill="1" applyBorder="1" applyAlignment="1" applyProtection="1">
      <alignment vertical="top" wrapText="1"/>
    </xf>
    <xf numFmtId="0" fontId="139" fillId="0" borderId="58" xfId="4495" applyFont="1" applyBorder="1" applyProtection="1"/>
    <xf numFmtId="0" fontId="20" fillId="0" borderId="0" xfId="0" applyFont="1" applyFill="1" applyAlignment="1" applyProtection="1">
      <alignment horizontal="center"/>
    </xf>
    <xf numFmtId="0" fontId="0" fillId="0" borderId="0" xfId="0" applyFill="1" applyAlignment="1" applyProtection="1"/>
    <xf numFmtId="0" fontId="20" fillId="0" borderId="5" xfId="0" applyFont="1" applyBorder="1" applyAlignment="1" applyProtection="1">
      <alignment horizontal="righ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2" fillId="0" borderId="0" xfId="0" applyFont="1" applyFill="1" applyAlignment="1" applyProtection="1">
      <alignment horizontal="center"/>
    </xf>
    <xf numFmtId="0" fontId="20"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3" fillId="0" borderId="0" xfId="0" applyFont="1" applyAlignment="1" applyProtection="1">
      <alignment wrapText="1"/>
    </xf>
    <xf numFmtId="2" fontId="13" fillId="0" borderId="0" xfId="0" applyNumberFormat="1" applyFont="1" applyProtection="1"/>
    <xf numFmtId="0" fontId="13" fillId="0" borderId="3" xfId="0" applyFont="1" applyFill="1" applyBorder="1" applyAlignment="1" applyProtection="1"/>
    <xf numFmtId="0" fontId="0" fillId="0" borderId="4" xfId="0" applyFill="1" applyBorder="1" applyAlignment="1" applyProtection="1"/>
    <xf numFmtId="0" fontId="13" fillId="0" borderId="9" xfId="0" applyFont="1" applyBorder="1" applyAlignment="1" applyProtection="1">
      <alignment horizontal="left"/>
    </xf>
    <xf numFmtId="0" fontId="13" fillId="0" borderId="6" xfId="0" applyFont="1" applyBorder="1" applyProtection="1"/>
    <xf numFmtId="0" fontId="13" fillId="0" borderId="9" xfId="0" applyFont="1" applyFill="1" applyBorder="1" applyProtection="1"/>
    <xf numFmtId="0" fontId="46" fillId="0" borderId="0" xfId="0" applyFont="1" applyFill="1" applyBorder="1" applyAlignment="1" applyProtection="1">
      <alignment horizontal="center"/>
    </xf>
    <xf numFmtId="0" fontId="19" fillId="0" borderId="0" xfId="0" applyFont="1" applyFill="1" applyBorder="1" applyAlignment="1" applyProtection="1">
      <alignment horizontal="center" vertical="center" wrapText="1"/>
    </xf>
    <xf numFmtId="0" fontId="20" fillId="0" borderId="0" xfId="0" applyFont="1" applyFill="1" applyAlignment="1" applyProtection="1">
      <alignment vertical="top"/>
    </xf>
    <xf numFmtId="0" fontId="28" fillId="0" borderId="0" xfId="0" applyFont="1" applyFill="1" applyAlignment="1" applyProtection="1">
      <alignment horizontal="center"/>
    </xf>
    <xf numFmtId="0" fontId="21" fillId="0" borderId="0" xfId="0" applyFont="1" applyFill="1" applyAlignment="1" applyProtection="1">
      <alignment horizontal="center"/>
    </xf>
    <xf numFmtId="0" fontId="21" fillId="0" borderId="0" xfId="0" applyFont="1" applyFill="1" applyAlignment="1" applyProtection="1">
      <alignment vertical="top" wrapText="1"/>
    </xf>
    <xf numFmtId="0" fontId="21" fillId="0" borderId="0" xfId="0" applyFont="1" applyFill="1" applyAlignment="1" applyProtection="1">
      <alignment horizontal="left"/>
    </xf>
    <xf numFmtId="0" fontId="21" fillId="0" borderId="0" xfId="0" applyFont="1" applyFill="1" applyAlignment="1" applyProtection="1">
      <alignment vertical="top"/>
    </xf>
    <xf numFmtId="0" fontId="13" fillId="0" borderId="0" xfId="0" applyFont="1" applyFill="1" applyBorder="1" applyAlignment="1" applyProtection="1">
      <alignment horizontal="center"/>
    </xf>
    <xf numFmtId="0" fontId="20" fillId="0" borderId="0" xfId="271" applyFont="1" applyFill="1" applyBorder="1" applyAlignment="1" applyProtection="1"/>
    <xf numFmtId="0" fontId="20" fillId="0" borderId="0" xfId="271" applyFont="1" applyFill="1" applyBorder="1" applyAlignment="1" applyProtection="1">
      <alignment horizontal="right"/>
    </xf>
    <xf numFmtId="0" fontId="20" fillId="0" borderId="0" xfId="0" applyFont="1" applyFill="1" applyAlignment="1" applyProtection="1"/>
    <xf numFmtId="0" fontId="38" fillId="0" borderId="0" xfId="543" applyFont="1" applyFill="1" applyAlignment="1" applyProtection="1"/>
    <xf numFmtId="0" fontId="38" fillId="0" borderId="0" xfId="543" applyFont="1" applyFill="1" applyProtection="1"/>
    <xf numFmtId="0" fontId="20" fillId="0" borderId="3" xfId="0" applyFont="1" applyBorder="1" applyAlignment="1" applyProtection="1"/>
    <xf numFmtId="0" fontId="20" fillId="0" borderId="4" xfId="271" applyFont="1" applyBorder="1" applyAlignment="1" applyProtection="1"/>
    <xf numFmtId="0" fontId="20" fillId="0" borderId="3" xfId="271" applyFont="1" applyBorder="1" applyAlignment="1" applyProtection="1"/>
    <xf numFmtId="0" fontId="20" fillId="0" borderId="5" xfId="271" applyFont="1" applyBorder="1" applyAlignment="1" applyProtection="1"/>
    <xf numFmtId="0" fontId="13" fillId="0" borderId="58" xfId="4495" applyFont="1" applyFill="1" applyBorder="1" applyAlignment="1" applyProtection="1">
      <alignment vertical="center" wrapText="1"/>
    </xf>
    <xf numFmtId="0" fontId="13" fillId="0" borderId="59" xfId="4495" applyFont="1" applyFill="1" applyBorder="1" applyAlignment="1" applyProtection="1">
      <alignment vertical="center" wrapText="1"/>
    </xf>
    <xf numFmtId="0" fontId="13" fillId="0" borderId="0" xfId="4495" applyFont="1" applyFill="1" applyBorder="1" applyAlignment="1" applyProtection="1">
      <alignment horizontal="left" vertical="center" wrapText="1"/>
    </xf>
    <xf numFmtId="0" fontId="20" fillId="0" borderId="0" xfId="4495" applyFont="1" applyAlignment="1" applyProtection="1">
      <alignment horizontal="right"/>
    </xf>
    <xf numFmtId="0" fontId="20" fillId="0" borderId="0" xfId="4495" applyFont="1" applyFill="1" applyBorder="1" applyAlignment="1" applyProtection="1">
      <alignment horizontal="right"/>
    </xf>
    <xf numFmtId="0" fontId="20" fillId="0" borderId="0" xfId="4495" applyFont="1" applyFill="1" applyBorder="1" applyAlignment="1" applyProtection="1">
      <alignment horizontal="center" vertical="top"/>
    </xf>
    <xf numFmtId="0" fontId="13"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left" vertical="top"/>
    </xf>
    <xf numFmtId="0" fontId="21" fillId="0" borderId="0" xfId="4495" applyFont="1" applyFill="1" applyBorder="1" applyAlignment="1" applyProtection="1">
      <alignment horizontal="center"/>
    </xf>
    <xf numFmtId="0" fontId="20" fillId="0" borderId="54" xfId="4495" applyFont="1" applyBorder="1" applyAlignment="1" applyProtection="1">
      <alignment horizontal="center"/>
    </xf>
    <xf numFmtId="0" fontId="20" fillId="0" borderId="0" xfId="4495" applyFont="1" applyFill="1" applyBorder="1" applyAlignment="1" applyProtection="1">
      <alignment horizontal="center"/>
    </xf>
    <xf numFmtId="0" fontId="20" fillId="0" borderId="3" xfId="0" applyFont="1" applyFill="1" applyBorder="1" applyAlignment="1" applyProtection="1"/>
    <xf numFmtId="0" fontId="20" fillId="0" borderId="4" xfId="0" applyFont="1" applyFill="1" applyBorder="1" applyAlignment="1" applyProtection="1"/>
    <xf numFmtId="0" fontId="20" fillId="0" borderId="5" xfId="0" applyFont="1" applyFill="1" applyBorder="1" applyAlignment="1" applyProtection="1"/>
    <xf numFmtId="168" fontId="18" fillId="43" borderId="0" xfId="0" applyNumberFormat="1" applyFont="1" applyFill="1"/>
    <xf numFmtId="0" fontId="36" fillId="0" borderId="0" xfId="0" applyFont="1" applyBorder="1" applyProtection="1"/>
    <xf numFmtId="1" fontId="13" fillId="0" borderId="0" xfId="543" applyNumberFormat="1" applyFont="1" applyBorder="1" applyAlignment="1" applyProtection="1"/>
    <xf numFmtId="0" fontId="13" fillId="0" borderId="0" xfId="543" applyFont="1" applyBorder="1" applyAlignment="1" applyProtection="1">
      <alignment horizontal="center"/>
    </xf>
    <xf numFmtId="9" fontId="21" fillId="0" borderId="0" xfId="543" applyNumberFormat="1" applyFont="1" applyBorder="1" applyAlignment="1" applyProtection="1">
      <alignment horizontal="center"/>
    </xf>
    <xf numFmtId="171" fontId="13" fillId="0" borderId="0" xfId="543" applyNumberFormat="1" applyFont="1" applyBorder="1" applyAlignment="1" applyProtection="1"/>
    <xf numFmtId="171" fontId="13" fillId="0" borderId="11" xfId="543" applyNumberFormat="1" applyFont="1" applyBorder="1" applyAlignment="1" applyProtection="1"/>
    <xf numFmtId="1" fontId="13" fillId="0" borderId="11" xfId="543" applyNumberFormat="1" applyFont="1" applyBorder="1" applyAlignment="1" applyProtection="1">
      <alignment horizontal="center"/>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33" fillId="0" borderId="12" xfId="543" applyFont="1" applyBorder="1" applyAlignment="1" applyProtection="1">
      <alignment horizontal="center" vertical="top"/>
    </xf>
    <xf numFmtId="0" fontId="34" fillId="0" borderId="7" xfId="543" applyFont="1" applyFill="1" applyBorder="1" applyAlignment="1" applyProtection="1"/>
    <xf numFmtId="0" fontId="13" fillId="0" borderId="12" xfId="543" quotePrefix="1" applyFont="1" applyFill="1" applyBorder="1" applyAlignment="1" applyProtection="1"/>
    <xf numFmtId="0" fontId="13" fillId="0" borderId="12" xfId="543" applyFont="1" applyFill="1" applyBorder="1" applyAlignment="1" applyProtection="1"/>
    <xf numFmtId="0" fontId="13" fillId="0" borderId="10" xfId="543" applyFont="1" applyFill="1" applyBorder="1" applyAlignment="1" applyProtection="1"/>
    <xf numFmtId="0" fontId="50" fillId="0" borderId="2" xfId="569" applyNumberFormat="1" applyFont="1" applyBorder="1" applyAlignment="1">
      <alignment vertical="top"/>
    </xf>
    <xf numFmtId="0" fontId="50" fillId="0" borderId="0" xfId="271" applyFont="1" applyFill="1" applyAlignment="1" applyProtection="1">
      <alignment vertical="top" wrapText="1"/>
    </xf>
    <xf numFmtId="0" fontId="13" fillId="0" borderId="0" xfId="4495" applyNumberFormat="1" applyFont="1" applyAlignment="1" applyProtection="1">
      <alignment vertical="top" wrapText="1"/>
    </xf>
    <xf numFmtId="0" fontId="13" fillId="0" borderId="0" xfId="1192" applyFont="1" applyFill="1" applyBorder="1" applyAlignment="1" applyProtection="1">
      <alignment vertical="top"/>
    </xf>
    <xf numFmtId="0" fontId="23" fillId="0" borderId="0" xfId="4495" applyFont="1" applyFill="1" applyBorder="1" applyProtection="1"/>
    <xf numFmtId="0" fontId="13" fillId="0" borderId="0" xfId="4495" applyFont="1" applyFill="1" applyBorder="1" applyAlignment="1" applyProtection="1">
      <alignment vertical="top" wrapText="1" shrinkToFit="1"/>
    </xf>
    <xf numFmtId="0" fontId="154" fillId="0" borderId="0" xfId="4495" applyFont="1" applyFill="1" applyBorder="1" applyAlignment="1" applyProtection="1"/>
    <xf numFmtId="0" fontId="23" fillId="0" borderId="0" xfId="4495" applyFont="1" applyFill="1" applyBorder="1" applyAlignment="1" applyProtection="1"/>
    <xf numFmtId="164" fontId="13" fillId="0" borderId="0" xfId="1192" applyNumberFormat="1" applyFont="1" applyFill="1" applyBorder="1" applyAlignment="1" applyProtection="1">
      <alignment horizontal="right"/>
    </xf>
    <xf numFmtId="164" fontId="13" fillId="0" borderId="0" xfId="4495" applyNumberFormat="1" applyFont="1" applyFill="1" applyBorder="1" applyAlignment="1" applyProtection="1">
      <alignment horizontal="right"/>
    </xf>
    <xf numFmtId="0" fontId="13" fillId="0" borderId="0" xfId="4495" applyFont="1" applyFill="1" applyBorder="1" applyAlignment="1" applyProtection="1">
      <alignment horizontal="left" vertical="top" wrapText="1" shrinkToFit="1"/>
    </xf>
    <xf numFmtId="0" fontId="13" fillId="0" borderId="0" xfId="4495" applyFont="1" applyAlignment="1">
      <alignment vertical="top" wrapText="1"/>
    </xf>
    <xf numFmtId="0" fontId="13" fillId="0" borderId="6" xfId="4495" applyFont="1" applyBorder="1" applyAlignment="1">
      <alignment vertical="top" wrapText="1"/>
    </xf>
    <xf numFmtId="0" fontId="13" fillId="0" borderId="0" xfId="4495" applyFont="1" applyBorder="1" applyAlignment="1">
      <alignment vertical="top" wrapText="1"/>
    </xf>
    <xf numFmtId="0" fontId="154" fillId="0" borderId="4" xfId="4495" applyFont="1" applyFill="1" applyBorder="1" applyAlignment="1" applyProtection="1"/>
    <xf numFmtId="0" fontId="13" fillId="0" borderId="4" xfId="4495" applyFont="1" applyFill="1" applyBorder="1" applyAlignment="1" applyProtection="1">
      <alignment horizontal="left" vertical="top" wrapText="1" shrinkToFit="1"/>
    </xf>
    <xf numFmtId="0" fontId="23" fillId="0" borderId="0" xfId="4495" applyFont="1" applyFill="1" applyBorder="1" applyAlignment="1" applyProtection="1">
      <alignment horizontal="left" vertical="top"/>
    </xf>
    <xf numFmtId="0" fontId="13" fillId="0" borderId="0" xfId="4495" applyFont="1" applyFill="1" applyBorder="1" applyAlignment="1" applyProtection="1">
      <alignment vertical="center" wrapText="1" shrinkToFit="1"/>
    </xf>
    <xf numFmtId="0" fontId="13" fillId="0" borderId="0" xfId="4495" applyFont="1" applyFill="1" applyBorder="1" applyAlignment="1" applyProtection="1">
      <alignment horizontal="left" vertical="top" shrinkToFit="1"/>
    </xf>
    <xf numFmtId="0" fontId="13" fillId="0" borderId="0" xfId="4495" applyFont="1" applyFill="1" applyBorder="1" applyAlignment="1" applyProtection="1">
      <alignment horizontal="left" vertical="center" shrinkToFit="1"/>
    </xf>
    <xf numFmtId="0" fontId="23" fillId="0" borderId="4" xfId="4495" applyFont="1" applyFill="1" applyBorder="1" applyProtection="1"/>
    <xf numFmtId="0" fontId="13" fillId="0" borderId="4" xfId="4495" applyFont="1" applyFill="1" applyBorder="1" applyAlignment="1" applyProtection="1">
      <alignment horizontal="left" vertical="top" shrinkToFit="1"/>
    </xf>
    <xf numFmtId="0" fontId="13" fillId="0" borderId="0" xfId="4495" applyFont="1" applyAlignment="1" applyProtection="1">
      <alignment vertical="center"/>
    </xf>
    <xf numFmtId="0" fontId="19" fillId="0" borderId="0" xfId="4495" applyFont="1" applyFill="1" applyBorder="1" applyAlignment="1" applyProtection="1"/>
    <xf numFmtId="0" fontId="23" fillId="0" borderId="0" xfId="4495" applyFont="1" applyFill="1" applyProtection="1"/>
    <xf numFmtId="0" fontId="31" fillId="0" borderId="0" xfId="4495" applyFont="1" applyFill="1" applyBorder="1" applyAlignment="1" applyProtection="1"/>
    <xf numFmtId="0" fontId="23" fillId="0" borderId="0" xfId="4495" applyFont="1" applyFill="1" applyBorder="1" applyAlignment="1" applyProtection="1">
      <alignment horizontal="center"/>
    </xf>
    <xf numFmtId="0" fontId="13" fillId="0" borderId="4" xfId="4495" applyFont="1" applyFill="1" applyBorder="1" applyAlignment="1" applyProtection="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Fill="1" applyBorder="1" applyAlignment="1" applyProtection="1">
      <alignment horizontal="left"/>
    </xf>
    <xf numFmtId="0" fontId="23" fillId="0" borderId="0" xfId="4495" applyFont="1" applyFill="1" applyBorder="1" applyAlignment="1" applyProtection="1">
      <alignment horizontal="left"/>
    </xf>
    <xf numFmtId="0" fontId="13" fillId="0" borderId="0" xfId="4495" applyFont="1" applyFill="1" applyBorder="1" applyAlignment="1" applyProtection="1">
      <alignment vertical="center"/>
    </xf>
    <xf numFmtId="0" fontId="13" fillId="0" borderId="4" xfId="4495" applyFont="1" applyFill="1" applyBorder="1" applyAlignment="1" applyProtection="1">
      <alignment vertical="top" wrapText="1"/>
    </xf>
    <xf numFmtId="0" fontId="23" fillId="0" borderId="4" xfId="4495" applyFont="1" applyFill="1" applyBorder="1" applyAlignment="1" applyProtection="1">
      <alignment horizontal="left" vertical="top"/>
    </xf>
    <xf numFmtId="0" fontId="13" fillId="0" borderId="0" xfId="4495" applyFont="1" applyFill="1" applyBorder="1" applyAlignment="1" applyProtection="1">
      <alignment horizontal="left" vertical="center" wrapText="1" shrinkToFit="1"/>
    </xf>
    <xf numFmtId="0" fontId="13" fillId="0" borderId="6" xfId="4495" applyFont="1" applyFill="1" applyBorder="1" applyAlignment="1" applyProtection="1">
      <alignment horizontal="left" vertical="top" wrapText="1"/>
    </xf>
    <xf numFmtId="0" fontId="21" fillId="0" borderId="0" xfId="4495" applyFont="1" applyBorder="1" applyAlignment="1"/>
    <xf numFmtId="0" fontId="29" fillId="0" borderId="0" xfId="4495" applyFont="1" applyFill="1" applyBorder="1" applyAlignment="1">
      <alignment horizontal="center"/>
    </xf>
    <xf numFmtId="2" fontId="115" fillId="0" borderId="0" xfId="0" applyNumberFormat="1" applyFont="1" applyFill="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168" fontId="13" fillId="0" borderId="0" xfId="0" applyNumberFormat="1" applyFont="1" applyFill="1"/>
    <xf numFmtId="3" fontId="13" fillId="0" borderId="0" xfId="0" applyNumberFormat="1" applyFont="1" applyFill="1" applyAlignment="1">
      <alignment horizontal="center"/>
    </xf>
    <xf numFmtId="3" fontId="13" fillId="0" borderId="0" xfId="0" applyNumberFormat="1" applyFont="1" applyFill="1"/>
    <xf numFmtId="3" fontId="13" fillId="0" borderId="0" xfId="0" applyNumberFormat="1" applyFont="1" applyAlignment="1">
      <alignment horizontal="center"/>
    </xf>
    <xf numFmtId="0" fontId="119" fillId="0" borderId="0" xfId="4496" applyFont="1" applyBorder="1" applyAlignment="1">
      <alignment vertical="center"/>
    </xf>
    <xf numFmtId="0" fontId="13" fillId="0" borderId="50" xfId="4495" applyFont="1" applyFill="1" applyBorder="1" applyAlignment="1" applyProtection="1">
      <alignment vertical="center"/>
    </xf>
    <xf numFmtId="0" fontId="13" fillId="0" borderId="51" xfId="4495" applyFont="1" applyFill="1" applyBorder="1" applyAlignment="1" applyProtection="1">
      <alignment vertical="center"/>
    </xf>
    <xf numFmtId="0" fontId="13" fillId="0" borderId="52" xfId="4495" applyFont="1" applyFill="1" applyBorder="1" applyAlignment="1" applyProtection="1">
      <alignment vertical="center"/>
    </xf>
    <xf numFmtId="0" fontId="13" fillId="0" borderId="54" xfId="4495" applyFont="1" applyFill="1" applyBorder="1" applyAlignment="1" applyProtection="1">
      <alignment vertical="center" wrapText="1"/>
    </xf>
    <xf numFmtId="0" fontId="13" fillId="0" borderId="53" xfId="4495" applyFont="1" applyFill="1" applyBorder="1" applyAlignment="1" applyProtection="1">
      <alignment vertical="top" wrapText="1"/>
    </xf>
    <xf numFmtId="0" fontId="13" fillId="0" borderId="8" xfId="543" applyFont="1" applyFill="1" applyBorder="1" applyProtection="1"/>
    <xf numFmtId="172" fontId="13" fillId="0" borderId="0" xfId="543" applyNumberFormat="1" applyFont="1" applyFill="1" applyProtection="1"/>
    <xf numFmtId="0" fontId="13" fillId="0" borderId="0" xfId="543" applyFont="1" applyFill="1" applyAlignment="1" applyProtection="1"/>
    <xf numFmtId="0" fontId="13" fillId="0" borderId="58" xfId="0" applyFont="1" applyBorder="1" applyAlignment="1">
      <alignment horizontal="left"/>
    </xf>
    <xf numFmtId="9" fontId="13" fillId="0" borderId="0" xfId="543" applyNumberFormat="1" applyFont="1" applyBorder="1" applyAlignment="1" applyProtection="1">
      <alignment horizontal="center"/>
    </xf>
    <xf numFmtId="0" fontId="45" fillId="0" borderId="0" xfId="4496" applyFont="1" applyProtection="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wrapText="1"/>
    </xf>
    <xf numFmtId="0" fontId="20" fillId="0" borderId="0" xfId="0" applyFont="1" applyAlignment="1">
      <alignment horizontal="left" vertical="top" wrapText="1"/>
    </xf>
    <xf numFmtId="0" fontId="13" fillId="0" borderId="0" xfId="1192"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xf>
    <xf numFmtId="0" fontId="31" fillId="0" borderId="0" xfId="0" applyFont="1" applyFill="1" applyAlignment="1">
      <alignment horizontal="left"/>
    </xf>
    <xf numFmtId="0" fontId="20" fillId="0" borderId="0" xfId="0" applyFont="1" applyAlignment="1">
      <alignment horizontal="left"/>
    </xf>
    <xf numFmtId="0" fontId="13" fillId="0" borderId="0" xfId="569" applyFont="1" applyAlignment="1">
      <alignment horizontal="left" vertical="top" wrapText="1"/>
    </xf>
    <xf numFmtId="0" fontId="13" fillId="0" borderId="0" xfId="569" applyFont="1" applyBorder="1" applyAlignment="1">
      <alignment horizontal="left" vertical="top"/>
    </xf>
    <xf numFmtId="0" fontId="31" fillId="0" borderId="0" xfId="0" applyFont="1" applyAlignment="1" applyProtection="1">
      <alignment horizontal="center"/>
    </xf>
    <xf numFmtId="0" fontId="31" fillId="0" borderId="0" xfId="0" applyFont="1" applyFill="1" applyAlignment="1">
      <alignment horizontal="center"/>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0" fontId="13" fillId="0" borderId="0" xfId="569" applyFont="1" applyAlignment="1">
      <alignment horizontal="left" vertical="top"/>
    </xf>
    <xf numFmtId="0" fontId="20" fillId="0" borderId="4" xfId="0" applyFont="1" applyBorder="1" applyAlignment="1" applyProtection="1">
      <alignment horizontal="left"/>
    </xf>
    <xf numFmtId="0" fontId="13" fillId="0" borderId="0" xfId="0" applyFont="1" applyFill="1" applyAlignment="1">
      <alignment horizontal="left"/>
    </xf>
    <xf numFmtId="4" fontId="13" fillId="0" borderId="0" xfId="0" applyNumberFormat="1" applyFont="1" applyFill="1" applyAlignment="1" applyProtection="1">
      <alignment horizontal="left"/>
    </xf>
    <xf numFmtId="0" fontId="13" fillId="0" borderId="0" xfId="569" applyFont="1" applyAlignment="1" applyProtection="1">
      <alignment horizontal="left" vertical="top"/>
    </xf>
    <xf numFmtId="0" fontId="13" fillId="0" borderId="0" xfId="569" applyFont="1" applyAlignment="1" applyProtection="1">
      <alignment horizontal="left" vertical="top" wrapText="1"/>
    </xf>
    <xf numFmtId="0" fontId="20" fillId="0" borderId="0" xfId="0" applyFont="1" applyAlignment="1" applyProtection="1">
      <alignment horizontal="center"/>
    </xf>
    <xf numFmtId="0" fontId="13" fillId="0" borderId="0" xfId="0" applyFont="1" applyFill="1" applyAlignment="1" applyProtection="1">
      <alignment horizontal="center"/>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0" fontId="20" fillId="0" borderId="0" xfId="0" applyFont="1" applyAlignment="1">
      <alignment vertical="top"/>
    </xf>
    <xf numFmtId="0" fontId="13" fillId="0" borderId="0" xfId="0" applyFont="1" applyBorder="1" applyAlignment="1">
      <alignment horizontal="center"/>
    </xf>
    <xf numFmtId="0" fontId="13" fillId="0" borderId="0" xfId="0" applyFont="1" applyFill="1" applyBorder="1" applyAlignment="1">
      <alignment horizontal="left"/>
    </xf>
    <xf numFmtId="0" fontId="13" fillId="0" borderId="0" xfId="0" applyFont="1" applyFill="1" applyBorder="1" applyAlignment="1">
      <alignment horizontal="center"/>
    </xf>
    <xf numFmtId="0" fontId="31" fillId="0" borderId="0" xfId="0" applyFont="1" applyBorder="1" applyAlignment="1">
      <alignment horizontal="center"/>
    </xf>
    <xf numFmtId="0" fontId="31" fillId="0" borderId="0" xfId="0" applyFont="1" applyFill="1" applyBorder="1" applyAlignment="1" applyProtection="1">
      <alignment horizontal="center"/>
    </xf>
    <xf numFmtId="0" fontId="31" fillId="0" borderId="0" xfId="0" applyFont="1" applyFill="1" applyBorder="1" applyAlignment="1">
      <alignment horizontal="center"/>
    </xf>
    <xf numFmtId="49" fontId="13" fillId="0" borderId="0" xfId="0" applyNumberFormat="1" applyFont="1"/>
    <xf numFmtId="49" fontId="13" fillId="0" borderId="0" xfId="0" applyNumberFormat="1" applyFont="1" applyFill="1"/>
    <xf numFmtId="49" fontId="13" fillId="0" borderId="0" xfId="0" applyNumberFormat="1" applyFont="1" applyAlignment="1">
      <alignment horizontal="center"/>
    </xf>
    <xf numFmtId="4" fontId="13" fillId="0" borderId="0" xfId="0" applyNumberFormat="1" applyFont="1" applyFill="1" applyAlignment="1" applyProtection="1">
      <alignment vertical="top" wrapText="1"/>
    </xf>
    <xf numFmtId="0" fontId="13" fillId="0" borderId="0" xfId="0" applyFont="1" applyAlignment="1" applyProtection="1">
      <alignment horizontal="center"/>
    </xf>
    <xf numFmtId="0" fontId="13" fillId="0" borderId="0" xfId="0" quotePrefix="1" applyFont="1"/>
    <xf numFmtId="49" fontId="13" fillId="0" borderId="0" xfId="0" applyNumberFormat="1" applyFont="1" applyFill="1" applyAlignment="1">
      <alignment horizontal="center"/>
    </xf>
    <xf numFmtId="0" fontId="43" fillId="0" borderId="0" xfId="0" applyFont="1" applyFill="1" applyAlignment="1">
      <alignment horizontal="left"/>
    </xf>
    <xf numFmtId="0" fontId="31" fillId="0" borderId="0" xfId="0" applyFont="1" applyAlignment="1">
      <alignment horizontal="center"/>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Fill="1" applyAlignment="1">
      <alignment horizontal="left"/>
    </xf>
    <xf numFmtId="0" fontId="48" fillId="0" borderId="0" xfId="0" applyFont="1" applyFill="1" applyAlignment="1" applyProtection="1">
      <alignment horizontal="center" vertical="center"/>
    </xf>
    <xf numFmtId="49" fontId="20" fillId="0" borderId="0" xfId="0" applyNumberFormat="1" applyFont="1" applyFill="1" applyAlignment="1">
      <alignment horizontal="center" vertical="center"/>
    </xf>
    <xf numFmtId="49" fontId="13" fillId="0" borderId="0" xfId="0" applyNumberFormat="1" applyFont="1" applyFill="1" applyAlignment="1">
      <alignment vertical="center"/>
    </xf>
    <xf numFmtId="0" fontId="20" fillId="0" borderId="0" xfId="1192" applyFont="1" applyFill="1"/>
    <xf numFmtId="49" fontId="13" fillId="0" borderId="0" xfId="0" applyNumberFormat="1" applyFont="1" applyAlignment="1" applyProtection="1">
      <alignment horizontal="center"/>
    </xf>
    <xf numFmtId="0" fontId="13" fillId="0" borderId="0" xfId="0" applyFont="1" applyFill="1" applyBorder="1" applyAlignment="1" applyProtection="1">
      <alignment vertical="top"/>
    </xf>
    <xf numFmtId="49" fontId="13" fillId="0" borderId="0" xfId="0" applyNumberFormat="1" applyFont="1" applyFill="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Fill="1" applyProtection="1"/>
    <xf numFmtId="4" fontId="13" fillId="0" borderId="0" xfId="0" applyNumberFormat="1" applyFont="1" applyAlignment="1" applyProtection="1">
      <alignment horizontal="left"/>
    </xf>
    <xf numFmtId="4" fontId="13" fillId="0" borderId="0" xfId="0" applyNumberFormat="1" applyFont="1" applyProtection="1"/>
    <xf numFmtId="0" fontId="43" fillId="0" borderId="0" xfId="0" applyFont="1" applyFill="1" applyBorder="1"/>
    <xf numFmtId="10" fontId="13" fillId="0" borderId="0" xfId="4495" applyNumberFormat="1" applyFont="1" applyFill="1" applyProtection="1"/>
    <xf numFmtId="0" fontId="13" fillId="0" borderId="0" xfId="4495" applyFont="1" applyFill="1" applyAlignment="1" applyProtection="1">
      <alignment horizontal="center"/>
    </xf>
    <xf numFmtId="0" fontId="13" fillId="0" borderId="0" xfId="0" applyFont="1" applyFill="1" applyBorder="1" applyAlignment="1">
      <alignment vertical="top"/>
    </xf>
    <xf numFmtId="0" fontId="13" fillId="0" borderId="0" xfId="0" applyFont="1" applyFill="1" applyBorder="1" applyAlignment="1">
      <alignment vertical="center"/>
    </xf>
    <xf numFmtId="165" fontId="13" fillId="0" borderId="0" xfId="4495" applyNumberFormat="1" applyFont="1" applyFill="1" applyProtection="1"/>
    <xf numFmtId="0" fontId="13" fillId="0" borderId="0" xfId="569"/>
    <xf numFmtId="4" fontId="13" fillId="0" borderId="0" xfId="569" applyNumberFormat="1" applyFont="1" applyFill="1" applyAlignment="1" applyProtection="1">
      <alignment horizontal="left"/>
    </xf>
    <xf numFmtId="0" fontId="13" fillId="0" borderId="0" xfId="569" applyFont="1" applyProtection="1"/>
    <xf numFmtId="0" fontId="13" fillId="0" borderId="0" xfId="569" applyProtection="1"/>
    <xf numFmtId="0" fontId="13" fillId="0" borderId="0" xfId="569" applyFill="1" applyProtection="1"/>
    <xf numFmtId="0" fontId="20" fillId="0" borderId="0" xfId="569" applyFont="1" applyProtection="1"/>
    <xf numFmtId="0" fontId="13" fillId="5" borderId="6" xfId="569" applyFill="1" applyBorder="1" applyAlignment="1" applyProtection="1">
      <protection locked="0"/>
    </xf>
    <xf numFmtId="0" fontId="13" fillId="0" borderId="0" xfId="569" applyFont="1" applyFill="1" applyAlignment="1">
      <alignment horizontal="center"/>
    </xf>
    <xf numFmtId="0" fontId="13" fillId="0" borderId="0" xfId="1192"/>
    <xf numFmtId="0" fontId="13" fillId="0" borderId="0" xfId="1192" applyFont="1" applyAlignment="1" applyProtection="1">
      <alignment vertical="top" wrapText="1"/>
    </xf>
    <xf numFmtId="0" fontId="13" fillId="0" borderId="0" xfId="1192" applyFont="1" applyAlignment="1" applyProtection="1">
      <alignment horizontal="left" vertical="top" wrapText="1"/>
    </xf>
    <xf numFmtId="10" fontId="119" fillId="0" borderId="0" xfId="4496" applyNumberFormat="1" applyFont="1" applyFill="1" applyBorder="1" applyAlignment="1">
      <alignment horizontal="center" vertical="top" wrapText="1"/>
    </xf>
    <xf numFmtId="10" fontId="119" fillId="0" borderId="65" xfId="4496" applyNumberFormat="1" applyFont="1" applyFill="1" applyBorder="1" applyAlignment="1">
      <alignment horizontal="center" vertical="top" wrapText="1"/>
    </xf>
    <xf numFmtId="10" fontId="119" fillId="0" borderId="53" xfId="4496" applyNumberFormat="1" applyFont="1" applyFill="1" applyBorder="1" applyAlignment="1">
      <alignment horizontal="left" vertical="top"/>
    </xf>
    <xf numFmtId="0" fontId="20"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0" fillId="0" borderId="0" xfId="0" applyFont="1" applyBorder="1" applyAlignment="1" applyProtection="1">
      <alignment horizontal="center"/>
    </xf>
    <xf numFmtId="0" fontId="20" fillId="0" borderId="6" xfId="0" applyFont="1" applyBorder="1" applyAlignment="1" applyProtection="1">
      <alignment horizontal="center"/>
    </xf>
    <xf numFmtId="0" fontId="20" fillId="0" borderId="0" xfId="4495" applyFont="1" applyFill="1" applyBorder="1" applyAlignment="1" applyProtection="1">
      <alignment horizontal="center"/>
    </xf>
    <xf numFmtId="0" fontId="20" fillId="0" borderId="0" xfId="4495" applyFont="1" applyFill="1" applyBorder="1" applyAlignment="1" applyProtection="1">
      <alignment horizontal="right"/>
    </xf>
    <xf numFmtId="0" fontId="117" fillId="0" borderId="53" xfId="4495" applyFill="1" applyBorder="1" applyAlignment="1" applyProtection="1">
      <alignment horizontal="center"/>
    </xf>
    <xf numFmtId="0" fontId="117" fillId="0" borderId="0" xfId="4495" applyFill="1" applyBorder="1" applyAlignment="1" applyProtection="1">
      <alignment horizontal="center"/>
    </xf>
    <xf numFmtId="0" fontId="21"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center" vertical="top"/>
    </xf>
    <xf numFmtId="0" fontId="21" fillId="0" borderId="0" xfId="4495" applyFont="1" applyFill="1" applyBorder="1" applyAlignment="1" applyProtection="1">
      <alignment horizontal="center"/>
    </xf>
    <xf numFmtId="0" fontId="13" fillId="0" borderId="0" xfId="543" applyFont="1" applyAlignment="1" applyProtection="1">
      <alignment horizontal="center"/>
    </xf>
    <xf numFmtId="0" fontId="20" fillId="0" borderId="0" xfId="4495" applyFont="1" applyFill="1" applyBorder="1" applyAlignment="1" applyProtection="1">
      <alignment horizontal="left" vertical="top"/>
    </xf>
    <xf numFmtId="0" fontId="13" fillId="0" borderId="0" xfId="1192" applyFont="1" applyAlignment="1" applyProtection="1">
      <alignment horizontal="right"/>
    </xf>
    <xf numFmtId="9" fontId="13" fillId="0" borderId="0" xfId="1192" quotePrefix="1" applyNumberFormat="1" applyFont="1" applyFill="1" applyBorder="1" applyAlignment="1" applyProtection="1">
      <alignment horizontal="center"/>
    </xf>
    <xf numFmtId="0" fontId="20" fillId="0" borderId="0" xfId="4495" applyFont="1" applyAlignment="1" applyProtection="1">
      <alignment horizontal="right"/>
    </xf>
    <xf numFmtId="0" fontId="119" fillId="0" borderId="0" xfId="4495" applyFont="1" applyFill="1" applyProtection="1"/>
    <xf numFmtId="10" fontId="119" fillId="0" borderId="0" xfId="4495" applyNumberFormat="1" applyFont="1" applyFill="1" applyProtection="1"/>
    <xf numFmtId="172" fontId="13" fillId="0" borderId="0" xfId="4495" applyNumberFormat="1" applyFont="1" applyFill="1" applyProtection="1"/>
    <xf numFmtId="0" fontId="13" fillId="0" borderId="0" xfId="543" applyFont="1" applyFill="1" applyBorder="1" applyAlignment="1" applyProtection="1">
      <alignment horizontal="center"/>
    </xf>
    <xf numFmtId="0" fontId="36" fillId="0" borderId="0" xfId="0" applyFont="1" applyBorder="1" applyAlignment="1" applyProtection="1">
      <alignment horizontal="center"/>
    </xf>
    <xf numFmtId="0" fontId="36" fillId="0" borderId="0" xfId="543" applyFont="1" applyBorder="1" applyProtection="1"/>
    <xf numFmtId="0" fontId="32" fillId="0" borderId="0" xfId="0" applyFont="1" applyFill="1" applyBorder="1" applyAlignment="1" applyProtection="1">
      <alignment horizontal="left"/>
    </xf>
    <xf numFmtId="0" fontId="0" fillId="0" borderId="10" xfId="0" applyFill="1" applyBorder="1" applyAlignment="1" applyProtection="1">
      <alignment horizontal="left"/>
    </xf>
    <xf numFmtId="0" fontId="50" fillId="0" borderId="11" xfId="0" applyFont="1" applyFill="1" applyBorder="1" applyAlignment="1" applyProtection="1">
      <alignment horizontal="right" vertical="top" wrapText="1"/>
    </xf>
    <xf numFmtId="0" fontId="53" fillId="0" borderId="11" xfId="0" applyFont="1" applyFill="1" applyBorder="1" applyAlignment="1" applyProtection="1">
      <alignment horizontal="right" vertical="top" wrapText="1"/>
    </xf>
    <xf numFmtId="1" fontId="13" fillId="0" borderId="0" xfId="1192" applyNumberFormat="1" applyFont="1" applyFill="1" applyBorder="1" applyAlignment="1" applyProtection="1">
      <alignment horizontal="center"/>
    </xf>
    <xf numFmtId="0" fontId="117" fillId="0" borderId="64" xfId="4495" applyFill="1" applyBorder="1" applyAlignment="1" applyProtection="1"/>
    <xf numFmtId="0" fontId="29" fillId="0" borderId="0" xfId="4495" applyNumberFormat="1" applyFont="1" applyFill="1" applyBorder="1" applyAlignment="1" applyProtection="1">
      <alignment vertical="top"/>
    </xf>
    <xf numFmtId="0" fontId="50" fillId="0" borderId="0" xfId="271" applyFont="1" applyFill="1" applyAlignment="1" applyProtection="1">
      <alignment vertical="top"/>
    </xf>
    <xf numFmtId="0" fontId="20" fillId="0" borderId="11" xfId="0" applyFont="1" applyBorder="1" applyAlignment="1" applyProtection="1">
      <alignment horizontal="right" vertical="top" wrapText="1"/>
    </xf>
    <xf numFmtId="0" fontId="22"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3" fillId="0" borderId="54" xfId="4495" applyFont="1" applyFill="1" applyBorder="1" applyAlignment="1" applyProtection="1">
      <alignment vertical="top"/>
    </xf>
    <xf numFmtId="0" fontId="22" fillId="0" borderId="0" xfId="0" applyFont="1" applyFill="1" applyBorder="1" applyAlignment="1" applyProtection="1">
      <alignment vertical="top"/>
    </xf>
    <xf numFmtId="9" fontId="22" fillId="0" borderId="0" xfId="0" applyNumberFormat="1" applyFont="1" applyFill="1" applyBorder="1" applyAlignment="1" applyProtection="1"/>
    <xf numFmtId="0" fontId="13" fillId="0" borderId="0" xfId="569" applyFont="1" applyAlignment="1">
      <alignment horizontal="left" vertical="top" wrapText="1"/>
    </xf>
    <xf numFmtId="0" fontId="13" fillId="0" borderId="16" xfId="569" applyFont="1" applyBorder="1" applyAlignment="1" applyProtection="1">
      <alignment horizontal="center"/>
    </xf>
    <xf numFmtId="0" fontId="13" fillId="0" borderId="0" xfId="569" applyAlignment="1">
      <alignment wrapText="1"/>
    </xf>
    <xf numFmtId="0" fontId="13" fillId="0" borderId="0" xfId="569" applyFont="1" applyAlignment="1"/>
    <xf numFmtId="0" fontId="13" fillId="0" borderId="0" xfId="569" applyFont="1" applyAlignment="1" applyProtection="1">
      <alignment horizontal="left" vertical="top"/>
    </xf>
    <xf numFmtId="0" fontId="13" fillId="0" borderId="0" xfId="1192" applyAlignment="1">
      <alignment vertical="top" wrapText="1"/>
    </xf>
    <xf numFmtId="164" fontId="13" fillId="0" borderId="57" xfId="4495" applyNumberFormat="1" applyFont="1" applyFill="1" applyBorder="1" applyAlignment="1" applyProtection="1">
      <alignment vertical="top" wrapText="1"/>
    </xf>
    <xf numFmtId="164" fontId="13" fillId="0" borderId="58" xfId="4495" applyNumberFormat="1" applyFont="1" applyFill="1" applyBorder="1" applyAlignment="1" applyProtection="1">
      <alignment vertical="top" wrapText="1"/>
    </xf>
    <xf numFmtId="164" fontId="13" fillId="0" borderId="59" xfId="4495" applyNumberFormat="1" applyFont="1" applyFill="1" applyBorder="1" applyAlignment="1" applyProtection="1">
      <alignment vertical="top" wrapText="1"/>
    </xf>
    <xf numFmtId="0" fontId="20" fillId="0" borderId="0" xfId="569" applyFont="1" applyFill="1" applyAlignment="1" applyProtection="1">
      <alignment horizontal="center"/>
    </xf>
    <xf numFmtId="0" fontId="20" fillId="0" borderId="0" xfId="569" applyFont="1" applyFill="1" applyProtection="1"/>
    <xf numFmtId="43" fontId="20" fillId="0" borderId="0" xfId="4504" applyFont="1" applyProtection="1"/>
    <xf numFmtId="0" fontId="20" fillId="0" borderId="0" xfId="569" applyFont="1" applyAlignment="1">
      <alignment vertical="center"/>
    </xf>
    <xf numFmtId="0" fontId="20" fillId="0" borderId="0" xfId="569" applyFont="1" applyAlignment="1" applyProtection="1"/>
    <xf numFmtId="49" fontId="20" fillId="0" borderId="0" xfId="569" applyNumberFormat="1" applyFont="1" applyProtection="1"/>
    <xf numFmtId="49" fontId="20" fillId="0" borderId="0" xfId="569" applyNumberFormat="1" applyFont="1" applyFill="1" applyProtection="1"/>
    <xf numFmtId="4" fontId="20" fillId="0" borderId="0" xfId="569" applyNumberFormat="1" applyFont="1" applyFill="1" applyProtection="1"/>
    <xf numFmtId="0" fontId="13" fillId="0" borderId="0" xfId="569" applyFont="1" applyAlignment="1" applyProtection="1">
      <alignment wrapText="1"/>
    </xf>
    <xf numFmtId="0" fontId="13" fillId="0" borderId="0" xfId="569" applyFont="1" applyBorder="1" applyAlignment="1">
      <alignment horizontal="left"/>
    </xf>
    <xf numFmtId="0" fontId="31" fillId="0" borderId="0" xfId="0" applyFont="1" applyAlignment="1" applyProtection="1">
      <alignment horizontal="center"/>
    </xf>
    <xf numFmtId="0" fontId="20" fillId="0" borderId="0" xfId="0" applyFont="1" applyFill="1" applyAlignment="1">
      <alignment horizontal="left" vertical="top" wrapText="1"/>
    </xf>
    <xf numFmtId="0" fontId="20" fillId="0" borderId="0" xfId="1192" applyFont="1" applyFill="1" applyAlignment="1">
      <alignment horizontal="left" vertical="top" wrapText="1"/>
    </xf>
    <xf numFmtId="0" fontId="13" fillId="0" borderId="0" xfId="0" applyFont="1" applyFill="1" applyBorder="1" applyAlignment="1">
      <alignment horizontal="left" wrapText="1"/>
    </xf>
    <xf numFmtId="0" fontId="20" fillId="0" borderId="0" xfId="569" quotePrefix="1" applyFont="1" applyProtection="1"/>
    <xf numFmtId="0" fontId="13" fillId="0" borderId="16" xfId="569" applyBorder="1" applyProtection="1"/>
    <xf numFmtId="0" fontId="20" fillId="0" borderId="16" xfId="569" applyFont="1" applyBorder="1" applyProtection="1"/>
    <xf numFmtId="0" fontId="13" fillId="0" borderId="4" xfId="569" applyBorder="1" applyProtection="1"/>
    <xf numFmtId="0" fontId="20" fillId="0" borderId="4" xfId="569" applyFont="1" applyBorder="1" applyProtection="1"/>
    <xf numFmtId="49" fontId="13" fillId="0" borderId="4" xfId="569" applyNumberFormat="1" applyBorder="1" applyProtection="1"/>
    <xf numFmtId="49" fontId="20" fillId="0" borderId="4" xfId="569" applyNumberFormat="1" applyFont="1" applyBorder="1" applyProtection="1"/>
    <xf numFmtId="0" fontId="160" fillId="0" borderId="0" xfId="0" applyFont="1" applyFill="1" applyBorder="1" applyProtection="1"/>
    <xf numFmtId="0" fontId="13" fillId="0" borderId="0" xfId="0" applyFont="1" applyBorder="1" applyAlignment="1" applyProtection="1">
      <alignment horizontal="right"/>
    </xf>
    <xf numFmtId="1" fontId="13"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right"/>
    </xf>
    <xf numFmtId="0" fontId="20"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0" xfId="569" applyFont="1" applyFill="1" applyAlignment="1">
      <alignment horizontal="left" vertical="top" wrapText="1"/>
    </xf>
    <xf numFmtId="0" fontId="13" fillId="0" borderId="0" xfId="569" applyFont="1" applyAlignment="1">
      <alignment horizontal="left" vertical="top"/>
    </xf>
    <xf numFmtId="0" fontId="13" fillId="0" borderId="0" xfId="569" applyFont="1" applyAlignment="1">
      <alignment horizontal="left" vertical="top" wrapText="1"/>
    </xf>
    <xf numFmtId="0" fontId="20" fillId="0" borderId="0" xfId="0" applyFont="1" applyAlignment="1">
      <alignment horizontal="left" vertical="top"/>
    </xf>
    <xf numFmtId="0" fontId="13" fillId="0" borderId="0" xfId="569" applyFont="1" applyAlignment="1">
      <alignment vertical="top"/>
    </xf>
    <xf numFmtId="0" fontId="20" fillId="0" borderId="0" xfId="569" applyFont="1" applyAlignment="1" applyProtection="1">
      <alignment vertical="top"/>
    </xf>
    <xf numFmtId="0" fontId="14" fillId="0" borderId="0" xfId="244" applyAlignment="1"/>
    <xf numFmtId="0" fontId="20" fillId="0" borderId="0" xfId="569" applyFont="1" applyAlignment="1"/>
    <xf numFmtId="0" fontId="13" fillId="0" borderId="0" xfId="569" applyFont="1" applyFill="1" applyAlignment="1">
      <alignment vertical="top" wrapText="1"/>
    </xf>
    <xf numFmtId="0" fontId="20" fillId="0" borderId="0" xfId="0" applyFont="1" applyAlignment="1">
      <alignment vertical="top" wrapText="1"/>
    </xf>
    <xf numFmtId="0" fontId="20" fillId="0" borderId="0" xfId="0" applyFont="1" applyFill="1" applyAlignment="1">
      <alignment vertical="top" wrapText="1"/>
    </xf>
    <xf numFmtId="49" fontId="20" fillId="0" borderId="0" xfId="0" applyNumberFormat="1" applyFont="1" applyAlignment="1"/>
    <xf numFmtId="49" fontId="20" fillId="0" borderId="0" xfId="0" applyNumberFormat="1" applyFont="1" applyAlignment="1">
      <alignment vertical="top"/>
    </xf>
    <xf numFmtId="0" fontId="13" fillId="0" borderId="0" xfId="569" applyFont="1" applyFill="1" applyAlignment="1">
      <alignment horizontal="left" vertical="top"/>
    </xf>
    <xf numFmtId="0" fontId="36" fillId="0" borderId="11" xfId="0" applyFont="1" applyBorder="1" applyProtection="1"/>
    <xf numFmtId="175" fontId="13" fillId="0" borderId="0" xfId="543" applyNumberFormat="1" applyFont="1" applyFill="1" applyBorder="1" applyAlignment="1" applyProtection="1">
      <alignment vertical="center"/>
    </xf>
    <xf numFmtId="0" fontId="95" fillId="43" borderId="6" xfId="4496" applyFont="1" applyFill="1" applyBorder="1" applyAlignment="1" applyProtection="1">
      <alignment horizontal="center"/>
      <protection locked="0"/>
    </xf>
    <xf numFmtId="0" fontId="95" fillId="0" borderId="0" xfId="4496" applyFont="1" applyProtection="1"/>
    <xf numFmtId="0" fontId="95" fillId="0" borderId="0" xfId="4496" applyFont="1" applyAlignment="1" applyProtection="1">
      <alignment wrapText="1"/>
    </xf>
    <xf numFmtId="0" fontId="134" fillId="0" borderId="0" xfId="4496" applyFont="1" applyBorder="1" applyProtection="1"/>
    <xf numFmtId="0" fontId="95" fillId="0" borderId="0" xfId="4496" applyFont="1" applyBorder="1" applyProtection="1"/>
    <xf numFmtId="0" fontId="95" fillId="0" borderId="0" xfId="4496" applyFont="1" applyFill="1" applyBorder="1" applyProtection="1"/>
    <xf numFmtId="181" fontId="135" fillId="0" borderId="0" xfId="4498" applyNumberFormat="1" applyFont="1" applyBorder="1" applyProtection="1"/>
    <xf numFmtId="0" fontId="136" fillId="0" borderId="0" xfId="4496" applyFont="1" applyAlignment="1" applyProtection="1">
      <alignment vertical="center" wrapText="1"/>
    </xf>
    <xf numFmtId="49" fontId="95" fillId="0" borderId="0" xfId="4496" applyNumberFormat="1" applyFont="1" applyBorder="1" applyAlignment="1" applyProtection="1">
      <alignment horizontal="center"/>
    </xf>
    <xf numFmtId="182" fontId="95" fillId="0" borderId="6" xfId="4496" applyNumberFormat="1" applyFont="1" applyBorder="1" applyProtection="1"/>
    <xf numFmtId="0" fontId="95" fillId="0" borderId="0" xfId="4496" applyFont="1" applyBorder="1" applyAlignment="1" applyProtection="1">
      <alignment vertical="center"/>
    </xf>
    <xf numFmtId="182" fontId="95" fillId="0" borderId="0" xfId="4496" applyNumberFormat="1" applyFont="1" applyAlignment="1" applyProtection="1">
      <alignment vertical="center"/>
    </xf>
    <xf numFmtId="175" fontId="95" fillId="0" borderId="0" xfId="4499" applyNumberFormat="1" applyFont="1" applyFill="1" applyBorder="1" applyAlignment="1" applyProtection="1">
      <alignment horizontal="left" vertical="center"/>
    </xf>
    <xf numFmtId="0" fontId="95" fillId="0" borderId="0" xfId="4496" applyFont="1" applyAlignment="1" applyProtection="1">
      <alignment vertical="center"/>
    </xf>
    <xf numFmtId="9" fontId="95" fillId="0" borderId="0" xfId="4499" applyFont="1" applyFill="1" applyBorder="1" applyAlignment="1" applyProtection="1">
      <alignment vertical="center"/>
    </xf>
    <xf numFmtId="0" fontId="95" fillId="0" borderId="0" xfId="4496" applyFont="1" applyFill="1" applyBorder="1" applyAlignment="1" applyProtection="1">
      <alignment vertical="center"/>
    </xf>
    <xf numFmtId="183" fontId="95" fillId="0" borderId="0" xfId="4496" applyNumberFormat="1" applyFont="1" applyFill="1" applyAlignment="1" applyProtection="1">
      <alignment vertical="center" wrapText="1"/>
    </xf>
    <xf numFmtId="9" fontId="95" fillId="0" borderId="0" xfId="4499" applyFont="1" applyBorder="1" applyAlignment="1" applyProtection="1">
      <alignment vertical="center"/>
    </xf>
    <xf numFmtId="0" fontId="95" fillId="0" borderId="0" xfId="4496" applyFont="1" applyFill="1" applyAlignment="1" applyProtection="1">
      <alignment vertical="center"/>
    </xf>
    <xf numFmtId="164" fontId="95" fillId="0" borderId="0" xfId="4496" applyNumberFormat="1" applyFont="1" applyFill="1" applyAlignment="1" applyProtection="1">
      <alignment vertical="center" wrapText="1"/>
    </xf>
    <xf numFmtId="0" fontId="95" fillId="0" borderId="0" xfId="4496" applyFont="1" applyFill="1" applyBorder="1" applyAlignment="1" applyProtection="1">
      <alignment horizontal="center" vertical="center"/>
    </xf>
    <xf numFmtId="182" fontId="95" fillId="0" borderId="11" xfId="8722" applyNumberFormat="1" applyFont="1" applyBorder="1" applyProtection="1"/>
    <xf numFmtId="182" fontId="95" fillId="0" borderId="11" xfId="4496" applyNumberFormat="1" applyFont="1" applyBorder="1" applyProtection="1"/>
    <xf numFmtId="164" fontId="95" fillId="0" borderId="0" xfId="4496" applyNumberFormat="1" applyFont="1" applyAlignment="1" applyProtection="1">
      <alignment wrapText="1"/>
    </xf>
    <xf numFmtId="49" fontId="95" fillId="0" borderId="0" xfId="4496" applyNumberFormat="1" applyFont="1" applyBorder="1" applyAlignment="1" applyProtection="1">
      <alignment horizontal="left"/>
    </xf>
    <xf numFmtId="0" fontId="137" fillId="0" borderId="0" xfId="4496" applyFont="1" applyFill="1" applyBorder="1" applyProtection="1"/>
    <xf numFmtId="182" fontId="95" fillId="0" borderId="11" xfId="4496" applyNumberFormat="1" applyFont="1" applyFill="1" applyBorder="1" applyProtection="1"/>
    <xf numFmtId="0" fontId="95" fillId="0" borderId="0" xfId="4496" applyFont="1" applyFill="1" applyProtection="1"/>
    <xf numFmtId="0" fontId="95" fillId="0" borderId="0" xfId="4496" applyFont="1" applyFill="1" applyAlignment="1" applyProtection="1">
      <alignment wrapText="1"/>
    </xf>
    <xf numFmtId="9" fontId="95" fillId="0" borderId="11" xfId="4494" applyFont="1" applyFill="1" applyBorder="1" applyAlignment="1" applyProtection="1">
      <alignment horizontal="right"/>
    </xf>
    <xf numFmtId="182" fontId="95" fillId="0" borderId="11" xfId="4496" applyNumberFormat="1" applyFont="1" applyFill="1" applyBorder="1" applyAlignment="1" applyProtection="1">
      <alignment horizontal="left"/>
    </xf>
    <xf numFmtId="1" fontId="95" fillId="0" borderId="0" xfId="4496" applyNumberFormat="1" applyFont="1" applyFill="1" applyBorder="1" applyProtection="1"/>
    <xf numFmtId="2" fontId="95" fillId="0" borderId="0" xfId="4496" applyNumberFormat="1" applyFont="1" applyFill="1" applyBorder="1" applyAlignment="1" applyProtection="1">
      <alignment horizontal="center"/>
    </xf>
    <xf numFmtId="2" fontId="95" fillId="0" borderId="0" xfId="4496" applyNumberFormat="1" applyFont="1" applyFill="1" applyBorder="1" applyProtection="1"/>
    <xf numFmtId="0" fontId="134" fillId="45" borderId="3" xfId="4496" applyFont="1" applyFill="1" applyBorder="1" applyAlignment="1" applyProtection="1">
      <alignment horizontal="left" indent="1"/>
    </xf>
    <xf numFmtId="0" fontId="95" fillId="45" borderId="4" xfId="4496" applyFont="1" applyFill="1" applyBorder="1" applyProtection="1"/>
    <xf numFmtId="2" fontId="95" fillId="45" borderId="5" xfId="4496" applyNumberFormat="1" applyFont="1" applyFill="1" applyBorder="1" applyProtection="1"/>
    <xf numFmtId="1" fontId="95" fillId="0" borderId="0" xfId="4496" applyNumberFormat="1" applyFont="1" applyProtection="1"/>
    <xf numFmtId="181" fontId="95" fillId="0" borderId="0" xfId="4496" applyNumberFormat="1" applyFont="1" applyBorder="1" applyProtection="1"/>
    <xf numFmtId="165" fontId="135" fillId="0" borderId="0" xfId="4499" applyNumberFormat="1" applyFont="1" applyFill="1" applyBorder="1" applyProtection="1"/>
    <xf numFmtId="9" fontId="95" fillId="0" borderId="0" xfId="4494" applyFont="1" applyFill="1" applyProtection="1"/>
    <xf numFmtId="1" fontId="95" fillId="0" borderId="0" xfId="4496" applyNumberFormat="1" applyFont="1" applyFill="1" applyProtection="1"/>
    <xf numFmtId="0" fontId="95" fillId="0" borderId="11" xfId="4496" applyFont="1" applyBorder="1" applyAlignment="1" applyProtection="1">
      <alignment horizontal="center"/>
    </xf>
    <xf numFmtId="2" fontId="95" fillId="0" borderId="11" xfId="4496" applyNumberFormat="1" applyFont="1" applyFill="1" applyBorder="1" applyAlignment="1" applyProtection="1">
      <alignment horizontal="center"/>
    </xf>
    <xf numFmtId="0" fontId="95" fillId="0" borderId="0" xfId="4496" applyFont="1" applyFill="1" applyBorder="1" applyAlignment="1" applyProtection="1">
      <alignment vertical="top" wrapText="1"/>
    </xf>
    <xf numFmtId="0" fontId="95" fillId="0" borderId="11" xfId="4496" applyFont="1" applyFill="1" applyBorder="1" applyAlignment="1" applyProtection="1">
      <alignment horizontal="center" vertical="top" wrapText="1"/>
    </xf>
    <xf numFmtId="182" fontId="95" fillId="0" borderId="0" xfId="8722" applyNumberFormat="1" applyFont="1" applyBorder="1" applyProtection="1"/>
    <xf numFmtId="0" fontId="95" fillId="0" borderId="0" xfId="4496" applyFont="1" applyAlignment="1" applyProtection="1">
      <alignment horizontal="left" indent="1"/>
    </xf>
    <xf numFmtId="182" fontId="95" fillId="0" borderId="0" xfId="4496" applyNumberFormat="1" applyFont="1" applyBorder="1" applyProtection="1"/>
    <xf numFmtId="184" fontId="95" fillId="0" borderId="0" xfId="4496" applyNumberFormat="1" applyFont="1" applyProtection="1"/>
    <xf numFmtId="182" fontId="95" fillId="0" borderId="0" xfId="4496" applyNumberFormat="1" applyFont="1" applyProtection="1"/>
    <xf numFmtId="0" fontId="95" fillId="0" borderId="0" xfId="4496" applyFont="1" applyAlignment="1" applyProtection="1">
      <alignment horizontal="left"/>
    </xf>
    <xf numFmtId="0" fontId="95" fillId="0" borderId="0" xfId="4496" applyFont="1" applyFill="1" applyBorder="1" applyAlignment="1" applyProtection="1">
      <alignment horizontal="left" indent="1"/>
    </xf>
    <xf numFmtId="0" fontId="95" fillId="0" borderId="0" xfId="4496" applyFont="1" applyAlignment="1" applyProtection="1">
      <alignment horizontal="center"/>
    </xf>
    <xf numFmtId="1" fontId="95" fillId="0" borderId="0" xfId="4496" applyNumberFormat="1" applyFont="1" applyBorder="1" applyProtection="1"/>
    <xf numFmtId="9" fontId="95" fillId="0" borderId="0" xfId="4494" applyFont="1" applyFill="1" applyBorder="1" applyProtection="1"/>
    <xf numFmtId="3" fontId="18" fillId="0" borderId="11" xfId="271" applyNumberFormat="1" applyFont="1" applyFill="1" applyBorder="1" applyAlignment="1" applyProtection="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pplyProtection="1">
      <alignment horizontal="right"/>
    </xf>
    <xf numFmtId="168" fontId="22" fillId="0" borderId="0" xfId="0" applyNumberFormat="1" applyFont="1" applyFill="1" applyBorder="1" applyAlignment="1" applyProtection="1"/>
    <xf numFmtId="0" fontId="95" fillId="0" borderId="11" xfId="4496" applyFont="1" applyFill="1" applyBorder="1" applyAlignment="1" applyProtection="1">
      <alignment horizontal="center"/>
    </xf>
    <xf numFmtId="0" fontId="95" fillId="0" borderId="15" xfId="4496" applyFont="1" applyFill="1" applyBorder="1" applyAlignment="1" applyProtection="1">
      <alignment horizontal="center" vertical="top" wrapText="1"/>
    </xf>
    <xf numFmtId="2" fontId="95" fillId="0" borderId="15" xfId="4496" applyNumberFormat="1" applyFont="1" applyFill="1" applyBorder="1" applyAlignment="1" applyProtection="1">
      <alignment horizontal="center"/>
    </xf>
    <xf numFmtId="0" fontId="95" fillId="0" borderId="15" xfId="4496" applyFont="1" applyBorder="1" applyAlignment="1" applyProtection="1">
      <alignment horizontal="center"/>
    </xf>
    <xf numFmtId="0" fontId="95" fillId="0" borderId="15" xfId="4496" applyFont="1" applyFill="1" applyBorder="1" applyAlignment="1" applyProtection="1">
      <alignment horizontal="center"/>
    </xf>
    <xf numFmtId="0" fontId="134" fillId="0" borderId="72" xfId="4496" applyFont="1" applyFill="1" applyBorder="1" applyAlignment="1" applyProtection="1">
      <alignment horizontal="center" vertical="top" wrapText="1"/>
    </xf>
    <xf numFmtId="0" fontId="134" fillId="0" borderId="72" xfId="4496" applyFont="1" applyBorder="1" applyAlignment="1" applyProtection="1">
      <alignment horizontal="center"/>
    </xf>
    <xf numFmtId="0" fontId="165" fillId="0" borderId="0" xfId="4496" applyFont="1" applyFill="1" applyBorder="1" applyAlignment="1" applyProtection="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pplyProtection="1">
      <alignment vertical="center"/>
    </xf>
    <xf numFmtId="0" fontId="95" fillId="0" borderId="67" xfId="4496" applyFont="1" applyBorder="1" applyAlignment="1" applyProtection="1">
      <alignment vertical="center"/>
    </xf>
    <xf numFmtId="0" fontId="95" fillId="0" borderId="41" xfId="4496" applyFont="1" applyBorder="1" applyAlignment="1" applyProtection="1">
      <alignment vertical="center"/>
    </xf>
    <xf numFmtId="182" fontId="95" fillId="0" borderId="87" xfId="4496" applyNumberFormat="1" applyFont="1" applyBorder="1" applyAlignment="1" applyProtection="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pplyProtection="1">
      <alignment vertical="center"/>
    </xf>
    <xf numFmtId="0" fontId="95" fillId="0" borderId="44" xfId="4496" applyFont="1" applyBorder="1" applyAlignment="1" applyProtection="1">
      <alignment vertical="center"/>
    </xf>
    <xf numFmtId="49" fontId="95" fillId="0" borderId="0" xfId="4496" applyNumberFormat="1" applyFont="1" applyBorder="1" applyAlignment="1" applyProtection="1">
      <alignment horizontal="center" vertical="center"/>
    </xf>
    <xf numFmtId="0" fontId="95" fillId="0" borderId="66" xfId="4496" applyFont="1" applyBorder="1" applyAlignment="1" applyProtection="1">
      <alignment vertical="center"/>
    </xf>
    <xf numFmtId="0" fontId="95" fillId="0" borderId="29" xfId="4496" applyFont="1" applyBorder="1" applyAlignment="1" applyProtection="1">
      <alignment vertical="center"/>
    </xf>
    <xf numFmtId="0" fontId="95" fillId="0" borderId="29" xfId="4496" applyFont="1" applyBorder="1" applyAlignment="1" applyProtection="1">
      <alignment horizontal="right" vertical="center"/>
    </xf>
    <xf numFmtId="0" fontId="95" fillId="0" borderId="29" xfId="4496" applyFont="1" applyFill="1" applyBorder="1" applyAlignment="1" applyProtection="1">
      <alignment vertical="center"/>
    </xf>
    <xf numFmtId="5" fontId="95" fillId="0" borderId="29" xfId="4496" applyNumberFormat="1" applyFont="1" applyBorder="1" applyAlignment="1" applyProtection="1">
      <alignment vertical="center"/>
    </xf>
    <xf numFmtId="0" fontId="95" fillId="0" borderId="31" xfId="4496" applyFont="1" applyBorder="1" applyAlignment="1" applyProtection="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pplyProtection="1">
      <alignment vertical="center"/>
    </xf>
    <xf numFmtId="0" fontId="134" fillId="0" borderId="0" xfId="4496" applyFont="1" applyBorder="1" applyAlignment="1" applyProtection="1">
      <alignment vertical="center"/>
    </xf>
    <xf numFmtId="0" fontId="134" fillId="0" borderId="42" xfId="4496" applyFont="1" applyBorder="1" applyAlignment="1" applyProtection="1">
      <alignment vertical="center"/>
    </xf>
    <xf numFmtId="9" fontId="134" fillId="0" borderId="42" xfId="4499" applyFont="1" applyFill="1" applyBorder="1" applyAlignment="1" applyProtection="1">
      <alignment vertical="center"/>
    </xf>
    <xf numFmtId="182" fontId="95" fillId="0" borderId="15" xfId="4496" applyNumberFormat="1" applyFont="1" applyFill="1" applyBorder="1" applyProtection="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applyProtection="1"/>
    <xf numFmtId="0" fontId="165" fillId="0" borderId="0" xfId="4496" applyFont="1" applyAlignment="1" applyProtection="1">
      <alignment horizontal="right"/>
    </xf>
    <xf numFmtId="0" fontId="95" fillId="0" borderId="0" xfId="4496" applyFont="1" applyFill="1" applyBorder="1" applyAlignment="1" applyProtection="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pplyProtection="1">
      <alignment horizontal="right" indent="1"/>
    </xf>
    <xf numFmtId="0" fontId="95" fillId="0" borderId="0" xfId="4496" applyFont="1" applyFill="1" applyBorder="1" applyAlignment="1" applyProtection="1">
      <alignment horizontal="right" vertical="top"/>
    </xf>
    <xf numFmtId="0" fontId="134" fillId="0" borderId="0" xfId="4496" applyFont="1" applyAlignment="1" applyProtection="1">
      <alignment horizontal="right"/>
    </xf>
    <xf numFmtId="0" fontId="134" fillId="0" borderId="0" xfId="4496" applyFont="1" applyProtection="1"/>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0" fontId="95" fillId="0" borderId="0" xfId="4496" applyFont="1" applyBorder="1" applyAlignment="1" applyProtection="1">
      <alignment horizontal="center"/>
    </xf>
    <xf numFmtId="184" fontId="95" fillId="0" borderId="6" xfId="4496" applyNumberFormat="1" applyFont="1" applyBorder="1" applyProtection="1"/>
    <xf numFmtId="0" fontId="134" fillId="0" borderId="0" xfId="4496" applyFont="1" applyFill="1" applyBorder="1" applyAlignment="1" applyProtection="1">
      <alignment horizontal="right" vertical="top"/>
    </xf>
    <xf numFmtId="0" fontId="134" fillId="0" borderId="0" xfId="4496" applyFont="1" applyFill="1" applyBorder="1" applyProtection="1"/>
    <xf numFmtId="182" fontId="134" fillId="0" borderId="0" xfId="4496" applyNumberFormat="1" applyFont="1" applyProtection="1"/>
    <xf numFmtId="182" fontId="95" fillId="0" borderId="6" xfId="8722" applyNumberFormat="1" applyFont="1" applyBorder="1" applyProtection="1"/>
    <xf numFmtId="184" fontId="95" fillId="0" borderId="0" xfId="4496" applyNumberFormat="1" applyFont="1" applyAlignment="1" applyProtection="1">
      <alignment horizontal="center"/>
    </xf>
    <xf numFmtId="0" fontId="95" fillId="0" borderId="6" xfId="4496" applyFont="1" applyFill="1" applyBorder="1" applyAlignment="1" applyProtection="1">
      <alignment horizontal="right" vertical="top" wrapText="1" indent="1"/>
    </xf>
    <xf numFmtId="0" fontId="95" fillId="0" borderId="71" xfId="4496" applyFont="1" applyFill="1" applyBorder="1" applyAlignment="1" applyProtection="1">
      <alignment horizontal="right" indent="1"/>
    </xf>
    <xf numFmtId="0" fontId="95" fillId="0" borderId="81" xfId="4496" applyFont="1" applyFill="1" applyBorder="1" applyAlignment="1" applyProtection="1">
      <alignment horizontal="right" indent="1"/>
    </xf>
    <xf numFmtId="0" fontId="95" fillId="0" borderId="81" xfId="4496" quotePrefix="1" applyFont="1" applyFill="1" applyBorder="1" applyAlignment="1" applyProtection="1">
      <alignment horizontal="right" indent="1"/>
    </xf>
    <xf numFmtId="0" fontId="95" fillId="0" borderId="73" xfId="4496" applyFont="1" applyFill="1" applyBorder="1" applyAlignment="1" applyProtection="1">
      <alignment horizontal="right" indent="1"/>
    </xf>
    <xf numFmtId="182" fontId="95" fillId="0" borderId="75" xfId="4496" applyNumberFormat="1" applyFont="1" applyBorder="1" applyProtection="1"/>
    <xf numFmtId="182" fontId="95" fillId="0" borderId="92" xfId="4496" applyNumberFormat="1" applyFont="1" applyBorder="1" applyProtection="1"/>
    <xf numFmtId="182" fontId="95" fillId="0" borderId="94" xfId="4496" applyNumberFormat="1" applyFont="1" applyBorder="1" applyProtection="1"/>
    <xf numFmtId="175" fontId="20" fillId="0" borderId="0" xfId="543" applyNumberFormat="1" applyFont="1" applyFill="1" applyBorder="1" applyAlignment="1" applyProtection="1">
      <alignment vertical="center"/>
    </xf>
    <xf numFmtId="10" fontId="134" fillId="0" borderId="0" xfId="4494" applyNumberFormat="1" applyFont="1" applyProtection="1"/>
    <xf numFmtId="0" fontId="20" fillId="0" borderId="0" xfId="1192" applyFont="1" applyFill="1" applyBorder="1" applyAlignment="1" applyProtection="1">
      <alignment horizontal="left" indent="1"/>
    </xf>
    <xf numFmtId="0" fontId="95" fillId="0" borderId="0" xfId="4496" applyNumberFormat="1" applyFont="1" applyProtection="1"/>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applyProtection="1"/>
    <xf numFmtId="182" fontId="95" fillId="0" borderId="74" xfId="4496" applyNumberFormat="1" applyFont="1" applyBorder="1" applyProtection="1"/>
    <xf numFmtId="0" fontId="134" fillId="0" borderId="4" xfId="4496" applyFont="1" applyBorder="1" applyAlignment="1" applyProtection="1">
      <alignment horizontal="left" indent="1"/>
    </xf>
    <xf numFmtId="0" fontId="95" fillId="0" borderId="4" xfId="4496" applyFont="1" applyFill="1" applyBorder="1" applyProtection="1"/>
    <xf numFmtId="0" fontId="20" fillId="0" borderId="3" xfId="4495" applyFont="1" applyFill="1" applyBorder="1" applyAlignment="1" applyProtection="1">
      <alignment horizontal="left"/>
    </xf>
    <xf numFmtId="0" fontId="20" fillId="0" borderId="0" xfId="4495" applyFont="1" applyAlignment="1" applyProtection="1">
      <alignment horizontal="right"/>
    </xf>
    <xf numFmtId="0" fontId="13" fillId="0" borderId="58" xfId="4495" applyFont="1" applyFill="1" applyBorder="1" applyAlignment="1" applyProtection="1">
      <alignment vertical="center" wrapText="1"/>
    </xf>
    <xf numFmtId="0" fontId="31" fillId="0" borderId="0" xfId="4495" applyFont="1" applyFill="1" applyBorder="1" applyAlignment="1" applyProtection="1">
      <alignment vertical="center"/>
    </xf>
    <xf numFmtId="0" fontId="119" fillId="0" borderId="0" xfId="4496" applyFont="1" applyAlignment="1">
      <alignment vertical="center" wrapText="1"/>
    </xf>
    <xf numFmtId="3" fontId="65" fillId="0" borderId="0" xfId="0" applyNumberFormat="1" applyFont="1" applyBorder="1"/>
    <xf numFmtId="0" fontId="18" fillId="43" borderId="0" xfId="1192" applyFont="1" applyFill="1"/>
    <xf numFmtId="3" fontId="65" fillId="43" borderId="6" xfId="1192" applyNumberFormat="1" applyFont="1" applyFill="1" applyBorder="1"/>
    <xf numFmtId="0" fontId="167" fillId="0" borderId="0" xfId="0" applyFont="1" applyProtection="1"/>
    <xf numFmtId="0" fontId="18" fillId="0" borderId="11" xfId="253" applyFont="1" applyFill="1" applyBorder="1" applyAlignment="1" applyProtection="1">
      <alignment horizontal="center" wrapText="1"/>
      <protection locked="0"/>
    </xf>
    <xf numFmtId="0" fontId="168" fillId="0" borderId="0" xfId="0" applyFont="1" applyFill="1" applyProtection="1"/>
    <xf numFmtId="0" fontId="169" fillId="0" borderId="0" xfId="0" applyFont="1" applyFill="1" applyAlignment="1" applyProtection="1">
      <alignment horizontal="center"/>
    </xf>
    <xf numFmtId="0" fontId="43" fillId="0" borderId="0" xfId="0" applyFont="1" applyProtection="1"/>
    <xf numFmtId="0" fontId="50" fillId="5" borderId="11" xfId="0" applyFont="1" applyFill="1" applyBorder="1" applyAlignment="1" applyProtection="1">
      <alignment horizontal="right" vertical="top" wrapText="1"/>
      <protection locked="0"/>
    </xf>
    <xf numFmtId="0" fontId="13" fillId="43" borderId="3" xfId="569" applyFill="1" applyBorder="1"/>
    <xf numFmtId="0" fontId="18" fillId="0" borderId="0" xfId="0" applyFont="1" applyFill="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0" fontId="13" fillId="0" borderId="0" xfId="4495" applyFont="1" applyFill="1" applyBorder="1" applyAlignment="1" applyProtection="1">
      <alignment horizontal="left" vertical="top" wrapText="1" shrinkToFit="1"/>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5" borderId="6" xfId="0" applyFill="1" applyBorder="1" applyAlignment="1" applyProtection="1">
      <alignment horizontal="left"/>
      <protection locked="0"/>
    </xf>
    <xf numFmtId="0" fontId="13" fillId="5" borderId="6" xfId="1192" applyFont="1" applyFill="1" applyBorder="1" applyAlignment="1" applyProtection="1">
      <alignment horizontal="left"/>
      <protection locked="0"/>
    </xf>
    <xf numFmtId="9" fontId="13" fillId="0" borderId="11" xfId="4494" applyFont="1" applyBorder="1" applyAlignment="1">
      <alignment horizontal="center"/>
    </xf>
    <xf numFmtId="164" fontId="13" fillId="5" borderId="0" xfId="0" applyNumberFormat="1" applyFont="1" applyFill="1"/>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3" fillId="0" borderId="0" xfId="0" applyFont="1" applyAlignment="1">
      <alignment horizontal="left" vertical="top" wrapText="1"/>
    </xf>
    <xf numFmtId="0" fontId="14" fillId="0" borderId="0" xfId="244"/>
    <xf numFmtId="0" fontId="0" fillId="0" borderId="0" xfId="0"/>
    <xf numFmtId="0" fontId="13" fillId="0" borderId="0" xfId="0" applyFont="1" applyFill="1" applyAlignment="1">
      <alignment horizontal="left" vertical="top" wrapText="1"/>
    </xf>
    <xf numFmtId="0" fontId="13" fillId="0" borderId="0" xfId="1192" applyFont="1"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Fill="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13" fillId="0" borderId="0" xfId="0" applyFont="1" applyFill="1" applyAlignment="1">
      <alignment horizontal="left" wrapText="1"/>
    </xf>
    <xf numFmtId="0" fontId="22" fillId="0" borderId="0" xfId="0" applyFont="1" applyFill="1" applyAlignment="1">
      <alignment horizontal="left" wrapText="1"/>
    </xf>
    <xf numFmtId="0" fontId="19" fillId="3" borderId="0" xfId="0" applyFont="1" applyFill="1" applyBorder="1" applyAlignment="1" applyProtection="1">
      <alignment horizontal="center" vertical="center" wrapText="1"/>
    </xf>
    <xf numFmtId="0" fontId="19" fillId="3" borderId="16" xfId="0" applyFont="1" applyFill="1" applyBorder="1" applyAlignment="1" applyProtection="1">
      <alignment horizontal="center" vertical="center" wrapText="1"/>
    </xf>
    <xf numFmtId="0" fontId="13" fillId="0" borderId="0" xfId="0" applyFont="1" applyBorder="1" applyAlignment="1">
      <alignment horizontal="left" vertical="top"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Font="1" applyFill="1" applyAlignment="1" applyProtection="1">
      <alignment horizontal="left"/>
    </xf>
    <xf numFmtId="0" fontId="13" fillId="0" borderId="0" xfId="569" applyFont="1" applyFill="1" applyAlignment="1">
      <alignment horizontal="left" vertical="top" wrapText="1"/>
    </xf>
    <xf numFmtId="4" fontId="31" fillId="0" borderId="0" xfId="569" applyNumberFormat="1" applyFont="1" applyFill="1" applyAlignment="1" applyProtection="1">
      <alignment horizontal="left" vertical="top" wrapText="1"/>
    </xf>
    <xf numFmtId="4" fontId="13" fillId="0" borderId="0" xfId="569" applyNumberFormat="1" applyFont="1" applyFill="1" applyAlignment="1" applyProtection="1">
      <alignment horizontal="left" vertical="top" wrapText="1"/>
    </xf>
    <xf numFmtId="0" fontId="13" fillId="0" borderId="0" xfId="0" applyFont="1" applyAlignment="1" applyProtection="1">
      <alignment horizontal="left" vertical="top" wrapText="1"/>
    </xf>
    <xf numFmtId="0" fontId="22" fillId="0" borderId="0" xfId="0" applyFont="1" applyAlignment="1" applyProtection="1">
      <alignment horizontal="left" vertical="top"/>
    </xf>
    <xf numFmtId="0" fontId="13" fillId="0" borderId="0" xfId="0" applyFont="1" applyFill="1" applyAlignment="1" applyProtection="1">
      <alignment horizontal="left" vertical="top" wrapText="1"/>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pplyProtection="1">
      <alignment horizontal="left"/>
    </xf>
    <xf numFmtId="0" fontId="20" fillId="0" borderId="4" xfId="569" applyFont="1" applyBorder="1" applyAlignment="1" applyProtection="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13" fillId="0" borderId="0" xfId="0" applyFont="1" applyFill="1" applyAlignment="1">
      <alignment horizontal="left"/>
    </xf>
    <xf numFmtId="0" fontId="13" fillId="0" borderId="0" xfId="0" applyFont="1" applyAlignment="1" applyProtection="1">
      <alignment horizontal="left"/>
    </xf>
    <xf numFmtId="0" fontId="22" fillId="0" borderId="0" xfId="0" applyFont="1" applyAlignment="1" applyProtection="1">
      <alignment horizontal="left"/>
    </xf>
    <xf numFmtId="0" fontId="14" fillId="0" borderId="0" xfId="244" quotePrefix="1" applyAlignment="1" applyProtection="1">
      <alignment horizontal="left"/>
    </xf>
    <xf numFmtId="0" fontId="20" fillId="0" borderId="4" xfId="0" applyFont="1" applyBorder="1" applyAlignment="1" applyProtection="1">
      <alignment horizontal="left"/>
    </xf>
    <xf numFmtId="0" fontId="13" fillId="0" borderId="0" xfId="0" applyFont="1" applyAlignment="1" applyProtection="1">
      <alignment horizontal="left" vertical="top"/>
    </xf>
    <xf numFmtId="0" fontId="20" fillId="0" borderId="4" xfId="569" applyFont="1" applyFill="1" applyBorder="1" applyAlignment="1" applyProtection="1">
      <alignment horizontal="left"/>
    </xf>
    <xf numFmtId="0" fontId="31" fillId="0" borderId="0" xfId="569" applyFont="1" applyFill="1" applyBorder="1" applyAlignment="1">
      <alignment horizontal="left" vertical="top"/>
    </xf>
    <xf numFmtId="0" fontId="13" fillId="0" borderId="0" xfId="569" applyFont="1" applyFill="1" applyBorder="1" applyAlignment="1">
      <alignment horizontal="left" vertical="top"/>
    </xf>
    <xf numFmtId="0" fontId="13" fillId="0" borderId="0" xfId="569" applyFont="1"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pplyProtection="1">
      <alignment horizontal="left" vertical="top" wrapText="1"/>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4" fontId="14" fillId="0" borderId="0" xfId="244" applyNumberFormat="1" applyFill="1" applyAlignment="1" applyProtection="1">
      <alignment horizontal="left"/>
    </xf>
    <xf numFmtId="0" fontId="13" fillId="0" borderId="0" xfId="271" applyFont="1" applyFill="1" applyAlignment="1">
      <alignment horizontal="left" vertical="top" wrapText="1"/>
    </xf>
    <xf numFmtId="4" fontId="13" fillId="0" borderId="0" xfId="1192" applyNumberFormat="1" applyFont="1" applyAlignment="1" applyProtection="1">
      <alignment horizontal="left" vertical="top" wrapText="1"/>
    </xf>
    <xf numFmtId="4" fontId="13" fillId="0" borderId="0" xfId="1192" applyNumberFormat="1" applyFont="1" applyFill="1" applyAlignment="1" applyProtection="1">
      <alignment horizontal="left" vertical="top" wrapText="1"/>
    </xf>
    <xf numFmtId="0" fontId="31" fillId="0" borderId="0" xfId="0" applyFont="1" applyAlignment="1" applyProtection="1">
      <alignment horizontal="center"/>
    </xf>
    <xf numFmtId="0" fontId="0" fillId="0" borderId="0" xfId="0" applyAlignment="1" applyProtection="1"/>
    <xf numFmtId="0" fontId="31" fillId="0" borderId="0" xfId="0" applyFont="1" applyFill="1" applyAlignment="1">
      <alignment horizontal="center"/>
    </xf>
    <xf numFmtId="0" fontId="0" fillId="0" borderId="0" xfId="0" applyFill="1" applyAlignment="1">
      <alignment horizontal="center"/>
    </xf>
    <xf numFmtId="0" fontId="20" fillId="0" borderId="0" xfId="0" applyFont="1" applyFill="1" applyAlignment="1" applyProtection="1">
      <alignment horizontal="center"/>
    </xf>
    <xf numFmtId="0" fontId="0" fillId="0" borderId="0" xfId="0" applyFill="1" applyAlignment="1" applyProtection="1"/>
    <xf numFmtId="0" fontId="20" fillId="0" borderId="4" xfId="569" applyFont="1" applyBorder="1" applyAlignment="1">
      <alignment horizontal="left"/>
    </xf>
    <xf numFmtId="0" fontId="13" fillId="0" borderId="0" xfId="1192" applyFont="1" applyAlignment="1" applyProtection="1">
      <alignment horizontal="left" vertical="top" wrapText="1"/>
    </xf>
    <xf numFmtId="49" fontId="13" fillId="0" borderId="0" xfId="0" applyNumberFormat="1" applyFont="1" applyFill="1" applyAlignment="1">
      <alignment horizontal="left" vertical="top" wrapText="1"/>
    </xf>
    <xf numFmtId="49" fontId="13" fillId="0" borderId="0" xfId="1192" applyNumberFormat="1" applyFont="1" applyFill="1" applyAlignment="1">
      <alignment horizontal="left" vertical="top" wrapText="1"/>
    </xf>
    <xf numFmtId="0" fontId="13" fillId="0" borderId="0" xfId="1192" applyFont="1" applyFill="1" applyAlignment="1">
      <alignment horizontal="left" vertical="top" wrapText="1"/>
    </xf>
    <xf numFmtId="0" fontId="13" fillId="0" borderId="0" xfId="569" applyFont="1" applyAlignment="1">
      <alignment horizontal="left" vertical="top" wrapText="1"/>
    </xf>
    <xf numFmtId="0" fontId="31" fillId="0" borderId="0" xfId="569" applyFont="1" applyBorder="1" applyAlignment="1">
      <alignment horizontal="left" vertical="top" wrapText="1"/>
    </xf>
    <xf numFmtId="0" fontId="13" fillId="0" borderId="0" xfId="569" applyFont="1" applyBorder="1" applyAlignment="1">
      <alignment horizontal="left" vertical="top"/>
    </xf>
    <xf numFmtId="0" fontId="31" fillId="0" borderId="0" xfId="0" applyFont="1" applyAlignment="1" applyProtection="1">
      <alignment horizontal="left"/>
    </xf>
    <xf numFmtId="0" fontId="13" fillId="0" borderId="0" xfId="271" applyFont="1" applyAlignment="1">
      <alignment horizontal="left" vertical="top" wrapText="1"/>
    </xf>
    <xf numFmtId="0" fontId="13" fillId="0" borderId="0" xfId="569" applyFont="1" applyAlignment="1">
      <alignment horizontal="left"/>
    </xf>
    <xf numFmtId="0" fontId="31" fillId="0" borderId="0" xfId="0" applyFont="1" applyBorder="1" applyAlignment="1">
      <alignment horizontal="left"/>
    </xf>
    <xf numFmtId="0" fontId="13" fillId="0" borderId="0" xfId="0" applyFont="1" applyBorder="1" applyAlignment="1">
      <alignment horizontal="left"/>
    </xf>
    <xf numFmtId="0" fontId="13" fillId="0" borderId="0" xfId="1192" applyFont="1" applyFill="1" applyBorder="1" applyAlignment="1" applyProtection="1">
      <alignment horizontal="left" vertical="top" wrapText="1"/>
    </xf>
    <xf numFmtId="0" fontId="14" fillId="0" borderId="0" xfId="244" applyAlignment="1">
      <alignment horizontal="left"/>
    </xf>
    <xf numFmtId="0" fontId="20" fillId="0" borderId="16" xfId="0" applyFont="1" applyFill="1" applyBorder="1" applyAlignment="1" applyProtection="1">
      <alignment horizontal="left"/>
    </xf>
    <xf numFmtId="0" fontId="13" fillId="0" borderId="27" xfId="0" applyFont="1" applyBorder="1" applyAlignment="1">
      <alignment horizontal="left"/>
    </xf>
    <xf numFmtId="0" fontId="13" fillId="0" borderId="0" xfId="1192" applyFont="1" applyAlignment="1" applyProtection="1">
      <alignment horizontal="left"/>
    </xf>
    <xf numFmtId="0" fontId="0" fillId="0" borderId="0" xfId="0" applyAlignment="1">
      <alignment horizontal="left" vertical="top" wrapText="1"/>
    </xf>
    <xf numFmtId="0" fontId="13" fillId="0" borderId="0" xfId="271" applyFont="1" applyFill="1" applyAlignment="1" applyProtection="1">
      <alignment horizontal="left" vertical="top" wrapText="1"/>
      <protection locked="0"/>
    </xf>
    <xf numFmtId="0" fontId="13" fillId="0" borderId="0" xfId="1192" applyFont="1" applyBorder="1" applyAlignment="1" applyProtection="1">
      <alignment horizontal="left" vertical="top" wrapText="1"/>
    </xf>
    <xf numFmtId="0" fontId="31" fillId="0" borderId="0" xfId="1192" applyFont="1" applyAlignment="1" applyProtection="1">
      <alignment horizontal="left"/>
    </xf>
    <xf numFmtId="0" fontId="13" fillId="0" borderId="0" xfId="1192" applyFont="1" applyFill="1" applyAlignment="1" applyProtection="1">
      <alignment horizontal="left"/>
    </xf>
    <xf numFmtId="0" fontId="13" fillId="0" borderId="0" xfId="1192" applyFont="1" applyFill="1" applyAlignment="1" applyProtection="1">
      <alignment horizontal="left" vertical="top" wrapText="1"/>
    </xf>
    <xf numFmtId="0" fontId="31" fillId="0" borderId="0" xfId="0" applyFont="1" applyFill="1" applyAlignment="1">
      <alignment horizontal="left"/>
    </xf>
    <xf numFmtId="0" fontId="20" fillId="0" borderId="0" xfId="271" applyFont="1" applyFill="1" applyAlignment="1">
      <alignment horizontal="left" vertical="top" wrapText="1"/>
    </xf>
    <xf numFmtId="0" fontId="111" fillId="0" borderId="0" xfId="569" applyFont="1" applyAlignment="1">
      <alignment horizontal="center"/>
    </xf>
    <xf numFmtId="0" fontId="112" fillId="0" borderId="0" xfId="569" applyFont="1" applyAlignment="1"/>
    <xf numFmtId="0" fontId="13" fillId="0" borderId="0" xfId="569" applyFont="1" applyAlignment="1">
      <alignment wrapText="1"/>
    </xf>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applyAlignment="1"/>
    <xf numFmtId="0" fontId="13" fillId="0" borderId="0" xfId="1192" applyFont="1" applyAlignment="1">
      <alignment vertical="top" wrapText="1"/>
    </xf>
    <xf numFmtId="0" fontId="13" fillId="0" borderId="0" xfId="1192" applyAlignment="1">
      <alignment vertical="top" wrapText="1"/>
    </xf>
    <xf numFmtId="0" fontId="13" fillId="0" borderId="0" xfId="569" applyFont="1" applyAlignment="1"/>
    <xf numFmtId="0" fontId="31" fillId="0" borderId="0" xfId="569" applyFont="1" applyAlignment="1" applyProtection="1">
      <alignment horizontal="center"/>
    </xf>
    <xf numFmtId="0" fontId="20" fillId="0" borderId="0" xfId="569" applyFont="1" applyAlignment="1" applyProtection="1">
      <alignment horizontal="center"/>
    </xf>
    <xf numFmtId="0" fontId="13" fillId="0" borderId="15" xfId="569" applyBorder="1" applyAlignment="1" applyProtection="1">
      <alignment horizontal="center" vertical="top" wrapText="1"/>
    </xf>
    <xf numFmtId="0" fontId="13" fillId="0" borderId="14" xfId="569" applyBorder="1" applyAlignment="1" applyProtection="1">
      <alignment horizontal="center" vertical="top" wrapText="1"/>
    </xf>
    <xf numFmtId="0" fontId="13" fillId="0" borderId="13" xfId="569" applyBorder="1" applyAlignment="1" applyProtection="1">
      <alignment horizontal="center" vertical="top" wrapText="1"/>
    </xf>
    <xf numFmtId="0" fontId="13" fillId="0" borderId="0" xfId="569" applyFont="1" applyAlignment="1" applyProtection="1">
      <alignment horizontal="left" vertical="top" wrapText="1"/>
    </xf>
    <xf numFmtId="0" fontId="31" fillId="0" borderId="0" xfId="569" applyFont="1" applyAlignment="1">
      <alignment horizontal="left" vertical="top" wrapText="1"/>
    </xf>
    <xf numFmtId="0" fontId="13" fillId="0" borderId="0" xfId="569" applyFont="1" applyAlignment="1" applyProtection="1">
      <alignment horizontal="left"/>
    </xf>
    <xf numFmtId="0" fontId="13" fillId="0" borderId="0" xfId="1192" applyFont="1" applyAlignment="1" applyProtection="1">
      <alignment vertical="top" wrapText="1"/>
    </xf>
    <xf numFmtId="0" fontId="31" fillId="0" borderId="0" xfId="569" applyFont="1" applyFill="1" applyAlignment="1">
      <alignment horizontal="left"/>
    </xf>
    <xf numFmtId="0" fontId="13" fillId="0" borderId="0" xfId="569" applyFont="1" applyBorder="1" applyAlignment="1">
      <alignment horizontal="left" vertical="top" wrapText="1"/>
    </xf>
    <xf numFmtId="0" fontId="13" fillId="0" borderId="0" xfId="1192" applyFont="1" applyFill="1" applyAlignment="1" applyProtection="1">
      <alignment horizontal="left" vertical="top" wrapText="1"/>
      <protection locked="0"/>
    </xf>
    <xf numFmtId="0" fontId="13" fillId="0" borderId="27" xfId="569" applyFont="1" applyBorder="1" applyAlignment="1">
      <alignment horizontal="left"/>
    </xf>
    <xf numFmtId="0" fontId="13" fillId="0" borderId="0" xfId="569" applyFont="1" applyFill="1" applyAlignment="1" applyProtection="1">
      <alignment horizontal="left" vertical="top" wrapText="1"/>
    </xf>
    <xf numFmtId="0" fontId="14" fillId="0" borderId="0" xfId="244" applyAlignment="1" applyProtection="1">
      <alignment horizontal="left" vertical="top" wrapText="1"/>
    </xf>
    <xf numFmtId="0" fontId="13" fillId="0" borderId="0" xfId="569" applyFont="1" applyFill="1" applyAlignment="1">
      <alignment horizontal="left"/>
    </xf>
    <xf numFmtId="0" fontId="20" fillId="0" borderId="0" xfId="569" applyFont="1" applyAlignment="1">
      <alignment horizontal="left"/>
    </xf>
    <xf numFmtId="0" fontId="20" fillId="0" borderId="4" xfId="0" applyFont="1" applyBorder="1" applyAlignment="1" applyProtection="1">
      <alignment horizontal="left" vertical="top"/>
    </xf>
    <xf numFmtId="4" fontId="31" fillId="0" borderId="0" xfId="0" applyNumberFormat="1" applyFont="1" applyFill="1" applyAlignment="1" applyProtection="1">
      <alignment horizontal="left" vertical="top" wrapText="1"/>
    </xf>
    <xf numFmtId="4" fontId="13" fillId="0" borderId="0" xfId="569" applyNumberFormat="1" applyFont="1" applyAlignment="1" applyProtection="1">
      <alignment horizontal="left" vertical="top" wrapText="1"/>
    </xf>
    <xf numFmtId="0" fontId="13" fillId="0" borderId="0" xfId="1192" applyFont="1" applyFill="1" applyAlignment="1">
      <alignment vertical="top" wrapText="1"/>
    </xf>
    <xf numFmtId="0" fontId="31" fillId="0" borderId="0" xfId="569" applyFont="1" applyAlignment="1" applyProtection="1">
      <alignment horizontal="left"/>
    </xf>
    <xf numFmtId="0" fontId="13" fillId="0" borderId="0" xfId="569" applyFont="1" applyAlignment="1" applyProtection="1">
      <alignment horizontal="left" vertical="top"/>
    </xf>
    <xf numFmtId="0" fontId="20" fillId="0" borderId="0" xfId="0" applyFont="1" applyAlignment="1">
      <alignment horizontal="left" vertical="top"/>
    </xf>
    <xf numFmtId="0" fontId="31" fillId="0" borderId="0" xfId="569" applyFont="1" applyFill="1" applyAlignment="1">
      <alignment horizontal="center"/>
    </xf>
    <xf numFmtId="0" fontId="13" fillId="0" borderId="0" xfId="569" applyFill="1" applyAlignment="1">
      <alignment horizontal="center"/>
    </xf>
    <xf numFmtId="0" fontId="31" fillId="0" borderId="0" xfId="569" applyFont="1" applyAlignment="1">
      <alignment horizontal="left" wrapText="1"/>
    </xf>
    <xf numFmtId="0" fontId="13" fillId="0" borderId="0" xfId="569" applyFont="1" applyFill="1" applyAlignment="1">
      <alignment horizontal="left" vertical="center" wrapText="1"/>
    </xf>
    <xf numFmtId="0" fontId="20" fillId="0" borderId="0" xfId="569" applyFont="1" applyFill="1" applyAlignment="1" applyProtection="1">
      <alignment horizontal="center"/>
    </xf>
    <xf numFmtId="0" fontId="13" fillId="0" borderId="0" xfId="569" applyFont="1" applyFill="1" applyAlignment="1" applyProtection="1"/>
    <xf numFmtId="0" fontId="13" fillId="0" borderId="0" xfId="1192" applyFont="1" applyAlignment="1">
      <alignment horizontal="left"/>
    </xf>
    <xf numFmtId="0" fontId="14" fillId="0" borderId="0" xfId="244" applyNumberFormat="1" applyFill="1" applyAlignment="1" applyProtection="1">
      <alignment horizontal="left"/>
    </xf>
    <xf numFmtId="0" fontId="13" fillId="0" borderId="0" xfId="569" applyFill="1" applyAlignment="1" applyProtection="1"/>
    <xf numFmtId="0" fontId="13" fillId="0" borderId="0" xfId="1192" applyFont="1" applyFill="1" applyAlignment="1">
      <alignment horizontal="left"/>
    </xf>
    <xf numFmtId="0" fontId="31" fillId="0" borderId="0" xfId="569" applyFont="1" applyBorder="1" applyAlignment="1">
      <alignment horizontal="left"/>
    </xf>
    <xf numFmtId="0" fontId="13" fillId="0" borderId="0" xfId="569" applyFont="1" applyBorder="1" applyAlignment="1">
      <alignment horizontal="left"/>
    </xf>
    <xf numFmtId="0" fontId="20" fillId="0" borderId="16" xfId="569" applyFont="1" applyFill="1" applyBorder="1" applyAlignment="1" applyProtection="1">
      <alignment horizontal="left"/>
    </xf>
    <xf numFmtId="0" fontId="13" fillId="0" borderId="0" xfId="569" applyAlignment="1">
      <alignment horizontal="left" vertical="top" wrapText="1"/>
    </xf>
    <xf numFmtId="0" fontId="13" fillId="0" borderId="0" xfId="569" applyFont="1" applyFill="1" applyAlignment="1">
      <alignment vertical="top" wrapText="1"/>
    </xf>
    <xf numFmtId="0" fontId="13" fillId="0" borderId="0" xfId="569" applyFont="1" applyAlignment="1">
      <alignment vertical="top" wrapText="1"/>
    </xf>
    <xf numFmtId="0" fontId="31" fillId="0" borderId="0" xfId="0" applyFont="1" applyFill="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1192" applyFont="1" applyFill="1" applyAlignment="1">
      <alignment horizontal="left" vertical="top" wrapText="1"/>
    </xf>
    <xf numFmtId="0" fontId="20" fillId="0" borderId="0" xfId="0" applyFont="1" applyFill="1" applyAlignment="1">
      <alignment horizontal="left" vertical="top" wrapText="1"/>
    </xf>
    <xf numFmtId="0" fontId="20" fillId="0" borderId="0" xfId="1192" applyFont="1" applyFill="1" applyAlignment="1">
      <alignment horizontal="left" vertical="top" wrapText="1"/>
    </xf>
    <xf numFmtId="4" fontId="13" fillId="0" borderId="0" xfId="0" applyNumberFormat="1" applyFont="1" applyAlignment="1" applyProtection="1">
      <alignment horizontal="left"/>
    </xf>
    <xf numFmtId="0" fontId="20" fillId="0" borderId="0" xfId="0" applyFont="1" applyAlignment="1">
      <alignmen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wrapText="1"/>
    </xf>
    <xf numFmtId="0" fontId="13" fillId="0" borderId="0" xfId="569" applyAlignment="1" applyProtection="1">
      <alignment horizontal="left" wrapText="1"/>
    </xf>
    <xf numFmtId="0" fontId="20" fillId="0" borderId="4" xfId="0" applyFont="1" applyFill="1" applyBorder="1" applyAlignment="1" applyProtection="1">
      <alignment horizontal="left"/>
    </xf>
    <xf numFmtId="0" fontId="13" fillId="0" borderId="0" xfId="0" applyFont="1" applyFill="1" applyBorder="1" applyAlignment="1">
      <alignment horizontal="left" vertical="top" wrapText="1"/>
    </xf>
    <xf numFmtId="0" fontId="13" fillId="0" borderId="0" xfId="0" applyFont="1" applyFill="1" applyBorder="1" applyAlignment="1">
      <alignment vertical="top" wrapText="1"/>
    </xf>
    <xf numFmtId="0" fontId="14" fillId="0" borderId="0" xfId="244" applyFill="1" applyBorder="1" applyAlignment="1">
      <alignment horizontal="left" vertical="top" wrapText="1"/>
    </xf>
    <xf numFmtId="4" fontId="13" fillId="0" borderId="0" xfId="0" applyNumberFormat="1" applyFont="1" applyFill="1" applyBorder="1" applyAlignment="1" applyProtection="1">
      <alignment horizontal="left"/>
    </xf>
    <xf numFmtId="0" fontId="31" fillId="0" borderId="0" xfId="0" applyFont="1" applyFill="1" applyBorder="1" applyAlignment="1">
      <alignment horizontal="left" vertical="top"/>
    </xf>
    <xf numFmtId="0" fontId="13" fillId="0" borderId="0" xfId="0" applyFont="1" applyFill="1" applyBorder="1" applyAlignment="1">
      <alignment horizontal="left" vertical="top"/>
    </xf>
    <xf numFmtId="4" fontId="13" fillId="0" borderId="0" xfId="0" applyNumberFormat="1" applyFont="1" applyFill="1" applyAlignment="1" applyProtection="1">
      <alignment horizontal="left"/>
    </xf>
    <xf numFmtId="49" fontId="13" fillId="0" borderId="0" xfId="0" applyNumberFormat="1" applyFont="1" applyAlignment="1">
      <alignment horizontal="left" vertical="top" wrapText="1"/>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5" borderId="3" xfId="0" applyNumberFormat="1" applyFont="1" applyFill="1" applyBorder="1" applyAlignment="1" applyProtection="1">
      <alignment horizontal="right" vertical="top"/>
      <protection locked="0"/>
    </xf>
    <xf numFmtId="0" fontId="22" fillId="5" borderId="4" xfId="0" applyNumberFormat="1" applyFont="1" applyFill="1" applyBorder="1" applyAlignment="1" applyProtection="1">
      <alignment horizontal="right" vertical="top"/>
      <protection locked="0"/>
    </xf>
    <xf numFmtId="0" fontId="22" fillId="5" borderId="5" xfId="0" applyNumberFormat="1" applyFont="1" applyFill="1" applyBorder="1" applyAlignment="1" applyProtection="1">
      <alignment horizontal="right" vertical="top"/>
      <protection locked="0"/>
    </xf>
    <xf numFmtId="0" fontId="13" fillId="0" borderId="0" xfId="0" applyFont="1" applyAlignment="1" applyProtection="1">
      <alignment horizontal="left" wrapText="1"/>
    </xf>
    <xf numFmtId="168" fontId="22" fillId="0" borderId="3" xfId="0" applyNumberFormat="1" applyFont="1" applyFill="1" applyBorder="1" applyAlignment="1" applyProtection="1">
      <alignment horizontal="left" vertical="top"/>
    </xf>
    <xf numFmtId="168" fontId="22" fillId="0" borderId="4" xfId="0" applyNumberFormat="1" applyFont="1" applyFill="1" applyBorder="1" applyAlignment="1" applyProtection="1">
      <alignment horizontal="left" vertical="top"/>
    </xf>
    <xf numFmtId="168" fontId="22" fillId="0" borderId="5" xfId="0" applyNumberFormat="1" applyFont="1" applyFill="1" applyBorder="1" applyAlignment="1" applyProtection="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Fill="1" applyBorder="1" applyAlignment="1" applyProtection="1">
      <alignment horizontal="center"/>
    </xf>
    <xf numFmtId="168" fontId="22" fillId="0" borderId="11" xfId="0" applyNumberFormat="1" applyFont="1" applyFill="1" applyBorder="1" applyAlignment="1" applyProtection="1">
      <alignment horizontal="center"/>
    </xf>
    <xf numFmtId="0" fontId="13" fillId="0" borderId="3" xfId="0" applyFont="1" applyBorder="1" applyAlignment="1" applyProtection="1">
      <alignment horizontal="left"/>
    </xf>
    <xf numFmtId="0" fontId="13" fillId="0" borderId="4" xfId="0" applyFont="1" applyBorder="1" applyAlignment="1" applyProtection="1">
      <alignment horizontal="left"/>
    </xf>
    <xf numFmtId="0" fontId="13" fillId="0" borderId="5" xfId="0" applyFont="1" applyBorder="1" applyAlignment="1" applyProtection="1">
      <alignment horizontal="left"/>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5" borderId="6" xfId="0" applyFill="1" applyBorder="1" applyAlignment="1" applyProtection="1">
      <alignment horizontal="left"/>
      <protection locked="0"/>
    </xf>
    <xf numFmtId="0" fontId="22" fillId="45" borderId="11" xfId="0" applyFon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3" fillId="0" borderId="3" xfId="0" applyFont="1" applyBorder="1" applyAlignment="1" applyProtection="1">
      <alignment horizontal="center"/>
    </xf>
    <xf numFmtId="0" fontId="13"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0" fillId="0" borderId="6" xfId="0" applyFont="1" applyFill="1" applyBorder="1" applyAlignment="1" applyProtection="1">
      <alignment horizontal="center"/>
    </xf>
    <xf numFmtId="0" fontId="20" fillId="0" borderId="10" xfId="0" applyFont="1" applyFill="1" applyBorder="1" applyAlignment="1" applyProtection="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3" xfId="0" applyFont="1" applyFill="1" applyBorder="1" applyAlignment="1" applyProtection="1">
      <alignment horizontal="center"/>
    </xf>
    <xf numFmtId="0" fontId="0" fillId="43" borderId="10" xfId="0" applyFill="1" applyBorder="1" applyAlignment="1" applyProtection="1">
      <alignment horizontal="left"/>
      <protection locked="0"/>
    </xf>
    <xf numFmtId="0" fontId="22" fillId="5" borderId="5" xfId="0" applyFon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Border="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22" fillId="5" borderId="6" xfId="0" applyFont="1" applyFill="1" applyBorder="1" applyAlignment="1" applyProtection="1">
      <alignment horizontal="left"/>
      <protection locked="0"/>
    </xf>
    <xf numFmtId="0" fontId="13"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22" fillId="5" borderId="6" xfId="271" applyNumberFormat="1" applyFont="1" applyFill="1" applyBorder="1" applyAlignment="1" applyProtection="1">
      <alignment horizontal="left"/>
      <protection locked="0"/>
    </xf>
    <xf numFmtId="168" fontId="13" fillId="0" borderId="3" xfId="0" applyNumberFormat="1" applyFont="1" applyFill="1" applyBorder="1" applyAlignment="1" applyProtection="1">
      <alignment horizontal="left" vertical="top"/>
    </xf>
    <xf numFmtId="0" fontId="22" fillId="5" borderId="3" xfId="0" applyNumberFormat="1" applyFont="1" applyFill="1" applyBorder="1" applyAlignment="1" applyProtection="1">
      <alignment horizontal="right" vertical="top"/>
      <protection locked="0"/>
    </xf>
    <xf numFmtId="0" fontId="0" fillId="0" borderId="6" xfId="0" applyBorder="1" applyAlignment="1" applyProtection="1">
      <alignment horizont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13"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0" xfId="0" applyFont="1" applyAlignment="1" applyProtection="1">
      <alignment horizontal="center"/>
    </xf>
    <xf numFmtId="0" fontId="21" fillId="43" borderId="6" xfId="0" applyFont="1" applyFill="1" applyBorder="1" applyAlignment="1" applyProtection="1">
      <alignment horizontal="left"/>
      <protection locked="0"/>
    </xf>
    <xf numFmtId="0" fontId="167" fillId="0" borderId="0" xfId="0" applyFont="1"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3" fontId="22" fillId="0" borderId="11" xfId="0" applyNumberFormat="1" applyFont="1" applyFill="1" applyBorder="1" applyAlignment="1" applyProtection="1">
      <alignment horizontal="center"/>
    </xf>
    <xf numFmtId="168" fontId="0" fillId="5" borderId="6" xfId="0" applyNumberFormat="1" applyFill="1" applyBorder="1" applyAlignment="1" applyProtection="1">
      <alignment horizontal="right"/>
      <protection locked="0"/>
    </xf>
    <xf numFmtId="175" fontId="0" fillId="5" borderId="4" xfId="0" applyNumberFormat="1" applyFill="1" applyBorder="1" applyAlignment="1" applyProtection="1">
      <alignment horizontal="left" vertical="center" wrapText="1"/>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0" borderId="1" xfId="0" applyFont="1" applyFill="1" applyBorder="1" applyAlignment="1" applyProtection="1">
      <alignment horizontal="center" vertical="top" wrapText="1"/>
    </xf>
    <xf numFmtId="0" fontId="22" fillId="0" borderId="2" xfId="0" applyFont="1" applyFill="1" applyBorder="1" applyAlignment="1" applyProtection="1">
      <alignment horizontal="center" vertical="top" wrapText="1"/>
    </xf>
    <xf numFmtId="0" fontId="22" fillId="0" borderId="7" xfId="0" applyFont="1" applyFill="1" applyBorder="1" applyAlignment="1" applyProtection="1">
      <alignment horizontal="center" vertical="top" wrapText="1"/>
    </xf>
    <xf numFmtId="0" fontId="22" fillId="0" borderId="8"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12" xfId="0" applyFont="1" applyFill="1" applyBorder="1" applyAlignment="1" applyProtection="1">
      <alignment horizontal="center" vertical="top" wrapText="1"/>
    </xf>
    <xf numFmtId="0" fontId="22" fillId="0" borderId="9" xfId="0" applyFont="1" applyFill="1" applyBorder="1" applyAlignment="1" applyProtection="1">
      <alignment horizontal="center" vertical="top" wrapText="1"/>
    </xf>
    <xf numFmtId="0" fontId="22" fillId="0" borderId="6" xfId="0" applyFont="1" applyFill="1" applyBorder="1" applyAlignment="1" applyProtection="1">
      <alignment horizontal="center" vertical="top" wrapText="1"/>
    </xf>
    <xf numFmtId="0" fontId="22" fillId="0" borderId="10" xfId="0" applyFont="1" applyFill="1" applyBorder="1" applyAlignment="1" applyProtection="1">
      <alignment horizontal="center" vertical="top" wrapText="1"/>
    </xf>
    <xf numFmtId="168" fontId="22" fillId="0" borderId="3" xfId="0" applyNumberFormat="1" applyFont="1" applyFill="1" applyBorder="1" applyAlignment="1" applyProtection="1">
      <alignment horizontal="center"/>
    </xf>
    <xf numFmtId="168" fontId="22" fillId="0" borderId="4" xfId="0" applyNumberFormat="1" applyFont="1" applyFill="1" applyBorder="1" applyAlignment="1" applyProtection="1">
      <alignment horizontal="center"/>
    </xf>
    <xf numFmtId="168" fontId="22" fillId="0" borderId="5" xfId="0" applyNumberFormat="1" applyFont="1" applyFill="1" applyBorder="1" applyAlignment="1" applyProtection="1">
      <alignment horizontal="center"/>
    </xf>
    <xf numFmtId="0" fontId="13" fillId="0" borderId="0" xfId="0" applyFont="1" applyFill="1" applyBorder="1" applyAlignment="1" applyProtection="1">
      <alignment horizontal="left" wrapText="1"/>
    </xf>
    <xf numFmtId="0" fontId="20" fillId="0" borderId="0" xfId="0" applyFont="1" applyAlignment="1" applyProtection="1">
      <alignment horizontal="center" vertical="center"/>
    </xf>
    <xf numFmtId="0" fontId="1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22" fillId="45" borderId="3" xfId="0" applyFont="1" applyFill="1" applyBorder="1" applyAlignment="1" applyProtection="1">
      <alignment horizontal="center"/>
    </xf>
    <xf numFmtId="0" fontId="22" fillId="45" borderId="4" xfId="0" applyFont="1" applyFill="1" applyBorder="1" applyAlignment="1" applyProtection="1">
      <alignment horizontal="center"/>
    </xf>
    <xf numFmtId="0" fontId="22" fillId="45" borderId="5" xfId="0" applyFont="1" applyFill="1" applyBorder="1" applyAlignment="1" applyProtection="1">
      <alignment horizontal="center"/>
    </xf>
    <xf numFmtId="0" fontId="22" fillId="0" borderId="3" xfId="0" applyFont="1" applyBorder="1" applyAlignment="1" applyProtection="1">
      <alignment horizontal="center"/>
    </xf>
    <xf numFmtId="0" fontId="22" fillId="0" borderId="5" xfId="0" applyFont="1" applyBorder="1" applyAlignment="1" applyProtection="1">
      <alignment horizontal="center"/>
    </xf>
    <xf numFmtId="0" fontId="22" fillId="0" borderId="4" xfId="0" applyFont="1" applyBorder="1" applyAlignment="1" applyProtection="1">
      <alignment horizont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5" borderId="4" xfId="8726" applyFill="1" applyBorder="1" applyAlignment="1" applyProtection="1">
      <alignment horizontal="left"/>
      <protection locked="0"/>
    </xf>
    <xf numFmtId="0" fontId="13" fillId="0" borderId="11" xfId="543" applyFont="1" applyFill="1" applyBorder="1" applyAlignment="1" applyProtection="1">
      <alignment horizontal="center"/>
    </xf>
    <xf numFmtId="0" fontId="0" fillId="0" borderId="6" xfId="0" applyFill="1" applyBorder="1" applyAlignment="1" applyProtection="1">
      <alignment horizontal="left"/>
    </xf>
    <xf numFmtId="166" fontId="13" fillId="5" borderId="4" xfId="0" applyNumberFormat="1" applyFont="1" applyFill="1" applyBorder="1" applyAlignment="1" applyProtection="1">
      <alignment horizontal="left"/>
      <protection locked="0"/>
    </xf>
    <xf numFmtId="0" fontId="20" fillId="0" borderId="11" xfId="0" applyFont="1" applyBorder="1" applyAlignment="1" applyProtection="1">
      <alignment horizontal="center" vertical="center" wrapText="1"/>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170" fillId="0" borderId="0" xfId="0" applyNumberFormat="1" applyFont="1" applyFill="1" applyBorder="1" applyAlignment="1" applyProtection="1">
      <alignment horizontal="center" vertical="center" wrapText="1"/>
    </xf>
    <xf numFmtId="0" fontId="0" fillId="43" borderId="4" xfId="0" applyFill="1" applyBorder="1" applyAlignment="1" applyProtection="1">
      <alignment horizontal="center"/>
      <protection locked="0"/>
    </xf>
    <xf numFmtId="0" fontId="20" fillId="0" borderId="9" xfId="0" applyFont="1" applyFill="1" applyBorder="1" applyAlignment="1" applyProtection="1">
      <alignment horizontal="center"/>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6" fontId="22" fillId="5" borderId="6" xfId="0" applyNumberFormat="1" applyFont="1" applyFill="1" applyBorder="1" applyAlignment="1" applyProtection="1">
      <alignment horizontal="left" wrapText="1"/>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22" fillId="0" borderId="6" xfId="0" applyFont="1" applyBorder="1" applyAlignment="1" applyProtection="1">
      <alignment horizontal="left"/>
    </xf>
    <xf numFmtId="0" fontId="13" fillId="5" borderId="0" xfId="244" applyFont="1" applyFill="1" applyBorder="1" applyAlignment="1" applyProtection="1">
      <alignment horizontal="left"/>
      <protection locked="0"/>
    </xf>
    <xf numFmtId="166" fontId="22" fillId="5" borderId="4" xfId="271" applyNumberFormat="1" applyFont="1" applyFill="1" applyBorder="1" applyAlignment="1" applyProtection="1">
      <alignment horizontal="left"/>
      <protection locked="0"/>
    </xf>
    <xf numFmtId="0" fontId="13" fillId="0" borderId="6" xfId="0"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0" fillId="0" borderId="0" xfId="0" applyFont="1" applyBorder="1" applyAlignment="1" applyProtection="1">
      <alignment horizontal="center"/>
    </xf>
    <xf numFmtId="168" fontId="13"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8"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2" fillId="0" borderId="6" xfId="0" applyFont="1" applyFill="1" applyBorder="1" applyAlignment="1" applyProtection="1">
      <alignment horizontal="left" wrapText="1"/>
    </xf>
    <xf numFmtId="0" fontId="13" fillId="0" borderId="0" xfId="0" applyFont="1" applyFill="1" applyAlignment="1" applyProtection="1">
      <alignment horizontal="center"/>
    </xf>
    <xf numFmtId="0" fontId="22" fillId="0" borderId="0" xfId="0" applyFont="1" applyFill="1" applyAlignment="1" applyProtection="1">
      <alignment horizontal="center"/>
    </xf>
    <xf numFmtId="168" fontId="22" fillId="0" borderId="6" xfId="0" applyNumberFormat="1" applyFont="1" applyFill="1" applyBorder="1" applyAlignment="1" applyProtection="1">
      <alignment horizontal="center"/>
    </xf>
    <xf numFmtId="0" fontId="21"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2" fillId="0" borderId="4"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0" borderId="6" xfId="0" applyFont="1" applyFill="1" applyBorder="1" applyAlignment="1" applyProtection="1">
      <alignment horizontal="left"/>
    </xf>
    <xf numFmtId="0" fontId="13" fillId="43" borderId="0" xfId="0" applyFont="1" applyFill="1" applyBorder="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4" fontId="0" fillId="5" borderId="6"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2" fillId="0" borderId="0" xfId="0" applyFont="1" applyAlignment="1" applyProtection="1">
      <alignment horizontal="left" vertical="top" wrapText="1"/>
    </xf>
    <xf numFmtId="0" fontId="13" fillId="43" borderId="4" xfId="0" applyFont="1" applyFill="1" applyBorder="1" applyAlignment="1" applyProtection="1">
      <alignment horizontal="left" wrapText="1"/>
      <protection locked="0"/>
    </xf>
    <xf numFmtId="0" fontId="20" fillId="0" borderId="3" xfId="0" applyFont="1" applyBorder="1" applyAlignment="1" applyProtection="1">
      <alignment horizontal="right"/>
    </xf>
    <xf numFmtId="0" fontId="20" fillId="0" borderId="4" xfId="0" applyFont="1" applyBorder="1" applyAlignment="1" applyProtection="1">
      <alignment horizontal="right"/>
    </xf>
    <xf numFmtId="0" fontId="20" fillId="0" borderId="6" xfId="0" applyFont="1" applyBorder="1" applyAlignment="1" applyProtection="1">
      <alignment horizontal="right"/>
    </xf>
    <xf numFmtId="0" fontId="20" fillId="0" borderId="5" xfId="0" applyFont="1" applyBorder="1" applyAlignment="1" applyProtection="1">
      <alignment horizontal="right"/>
    </xf>
    <xf numFmtId="0" fontId="13" fillId="0" borderId="3" xfId="271" applyFont="1" applyBorder="1" applyAlignment="1" applyProtection="1">
      <alignment horizontal="left"/>
    </xf>
    <xf numFmtId="0" fontId="13" fillId="0" borderId="4" xfId="271" applyFont="1" applyBorder="1" applyAlignment="1" applyProtection="1">
      <alignment horizontal="left"/>
    </xf>
    <xf numFmtId="0" fontId="13" fillId="0" borderId="5" xfId="271" applyFont="1" applyBorder="1" applyAlignment="1" applyProtection="1">
      <alignment horizontal="left"/>
    </xf>
    <xf numFmtId="168" fontId="50" fillId="0" borderId="2" xfId="0" applyNumberFormat="1" applyFont="1" applyFill="1" applyBorder="1" applyAlignment="1" applyProtection="1">
      <alignment horizontal="left" vertical="top" wrapText="1"/>
    </xf>
    <xf numFmtId="168" fontId="50" fillId="0" borderId="0" xfId="0" applyNumberFormat="1" applyFont="1" applyFill="1" applyBorder="1" applyAlignment="1" applyProtection="1">
      <alignment horizontal="left" vertical="top" wrapText="1"/>
    </xf>
    <xf numFmtId="0" fontId="32" fillId="5" borderId="6" xfId="0" applyFont="1" applyFill="1" applyBorder="1" applyAlignment="1" applyProtection="1">
      <alignment horizontal="left"/>
      <protection locked="0"/>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0" fontId="20" fillId="0" borderId="2"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6" xfId="0" applyFont="1" applyFill="1" applyBorder="1" applyAlignment="1" applyProtection="1">
      <alignment horizontal="center" wrapText="1"/>
    </xf>
    <xf numFmtId="0" fontId="20" fillId="0" borderId="10" xfId="0" applyFont="1" applyFill="1" applyBorder="1" applyAlignment="1" applyProtection="1">
      <alignment horizontal="center" wrapText="1"/>
    </xf>
    <xf numFmtId="0" fontId="0" fillId="0" borderId="9" xfId="0" applyBorder="1" applyAlignment="1" applyProtection="1">
      <alignment horizontal="left"/>
    </xf>
    <xf numFmtId="0" fontId="0" fillId="0" borderId="6" xfId="0" applyBorder="1" applyAlignment="1" applyProtection="1">
      <alignment horizontal="left"/>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60" fillId="44" borderId="8" xfId="0" applyFont="1" applyFill="1" applyBorder="1" applyAlignment="1" applyProtection="1">
      <alignment horizontal="center" vertical="top" wrapText="1"/>
    </xf>
    <xf numFmtId="0" fontId="160" fillId="44" borderId="0" xfId="0" applyFont="1" applyFill="1" applyBorder="1" applyAlignment="1" applyProtection="1">
      <alignment horizontal="center" vertical="top" wrapText="1"/>
    </xf>
    <xf numFmtId="9" fontId="160" fillId="44" borderId="8" xfId="0" applyNumberFormat="1" applyFont="1" applyFill="1" applyBorder="1" applyAlignment="1" applyProtection="1">
      <alignment horizontal="center"/>
    </xf>
    <xf numFmtId="9" fontId="160" fillId="44" borderId="0" xfId="0" applyNumberFormat="1" applyFont="1" applyFill="1" applyBorder="1" applyAlignment="1" applyProtection="1">
      <alignment horizontal="center"/>
    </xf>
    <xf numFmtId="0" fontId="20" fillId="0" borderId="11" xfId="0"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3" fillId="0" borderId="0" xfId="543" applyNumberFormat="1" applyFont="1" applyBorder="1" applyAlignment="1" applyProtection="1">
      <alignment horizontal="right"/>
    </xf>
    <xf numFmtId="2" fontId="13" fillId="0" borderId="0" xfId="543" applyNumberFormat="1" applyFont="1" applyBorder="1" applyAlignment="1" applyProtection="1">
      <alignment horizontal="center"/>
    </xf>
    <xf numFmtId="0" fontId="13" fillId="0" borderId="0" xfId="543" applyFont="1" applyBorder="1" applyAlignment="1" applyProtection="1">
      <alignment horizontal="center"/>
    </xf>
    <xf numFmtId="2" fontId="13" fillId="0" borderId="0" xfId="543" applyNumberFormat="1" applyFont="1" applyFill="1" applyBorder="1" applyAlignment="1" applyProtection="1">
      <alignment horizontal="center"/>
    </xf>
    <xf numFmtId="0" fontId="22" fillId="0" borderId="11" xfId="0" applyFont="1" applyFill="1" applyBorder="1" applyAlignment="1" applyProtection="1">
      <alignment horizontal="center"/>
    </xf>
    <xf numFmtId="171" fontId="13" fillId="0" borderId="0" xfId="543" applyNumberFormat="1" applyFont="1" applyBorder="1" applyAlignment="1" applyProtection="1">
      <alignment horizontal="center"/>
    </xf>
    <xf numFmtId="168" fontId="0" fillId="0" borderId="11" xfId="0" applyNumberFormat="1" applyFill="1" applyBorder="1" applyAlignment="1" applyProtection="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Font="1" applyFill="1" applyBorder="1" applyAlignment="1" applyProtection="1">
      <alignment horizontal="center" vertical="center"/>
    </xf>
    <xf numFmtId="0" fontId="13" fillId="5" borderId="3" xfId="0" applyFont="1" applyFill="1" applyBorder="1" applyAlignment="1" applyProtection="1">
      <protection locked="0"/>
    </xf>
    <xf numFmtId="0" fontId="22" fillId="0" borderId="4" xfId="0" applyFont="1" applyBorder="1" applyAlignment="1" applyProtection="1">
      <protection locked="0"/>
    </xf>
    <xf numFmtId="0" fontId="22" fillId="0" borderId="5" xfId="0" applyFont="1" applyBorder="1" applyAlignment="1" applyProtection="1">
      <protection locked="0"/>
    </xf>
    <xf numFmtId="0" fontId="20" fillId="0" borderId="2" xfId="0" applyFont="1" applyBorder="1" applyAlignment="1" applyProtection="1">
      <alignment horizontal="right"/>
    </xf>
    <xf numFmtId="0" fontId="20" fillId="0" borderId="7" xfId="0" applyFont="1" applyBorder="1" applyAlignment="1" applyProtection="1">
      <alignment horizontal="right"/>
    </xf>
    <xf numFmtId="0" fontId="13" fillId="0" borderId="0" xfId="543" applyFont="1" applyFill="1" applyAlignment="1" applyProtection="1">
      <alignment horizontal="center"/>
    </xf>
    <xf numFmtId="0" fontId="13" fillId="5" borderId="3" xfId="0" applyNumberFormat="1" applyFont="1" applyFill="1" applyBorder="1" applyAlignment="1" applyProtection="1">
      <alignment horizontal="left"/>
      <protection locked="0"/>
    </xf>
    <xf numFmtId="0" fontId="13" fillId="5" borderId="4" xfId="0" applyNumberFormat="1" applyFont="1" applyFill="1" applyBorder="1" applyAlignment="1" applyProtection="1">
      <alignment horizontal="left"/>
      <protection locked="0"/>
    </xf>
    <xf numFmtId="0" fontId="13"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50" fillId="5" borderId="3" xfId="0" applyNumberFormat="1" applyFont="1" applyFill="1" applyBorder="1" applyAlignment="1" applyProtection="1">
      <alignment horizontal="right"/>
      <protection locked="0"/>
    </xf>
    <xf numFmtId="0" fontId="50" fillId="5" borderId="4" xfId="0" applyNumberFormat="1" applyFont="1" applyFill="1" applyBorder="1" applyAlignment="1" applyProtection="1">
      <alignment horizontal="right"/>
      <protection locked="0"/>
    </xf>
    <xf numFmtId="0" fontId="50" fillId="5" borderId="5"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8" xfId="0" applyFont="1" applyBorder="1" applyAlignment="1" applyProtection="1">
      <alignment horizontal="center" wrapText="1"/>
    </xf>
    <xf numFmtId="0" fontId="20" fillId="0" borderId="0" xfId="0" applyFont="1" applyBorder="1" applyAlignment="1" applyProtection="1">
      <alignment horizontal="center" wrapText="1"/>
    </xf>
    <xf numFmtId="0" fontId="20" fillId="0" borderId="12" xfId="0" applyFont="1" applyBorder="1" applyAlignment="1" applyProtection="1">
      <alignment horizontal="center" wrapText="1"/>
    </xf>
    <xf numFmtId="0" fontId="20" fillId="0" borderId="9" xfId="0" applyFont="1" applyBorder="1" applyAlignment="1" applyProtection="1">
      <alignment horizontal="center" wrapText="1"/>
    </xf>
    <xf numFmtId="0" fontId="20" fillId="0" borderId="6" xfId="0" applyFont="1" applyBorder="1" applyAlignment="1" applyProtection="1">
      <alignment horizontal="center" wrapText="1"/>
    </xf>
    <xf numFmtId="0" fontId="20" fillId="0" borderId="10" xfId="0" applyFont="1" applyBorder="1" applyAlignment="1" applyProtection="1">
      <alignment horizontal="center" wrapText="1"/>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0" fillId="0" borderId="6" xfId="0" applyFont="1" applyBorder="1" applyAlignment="1" applyProtection="1">
      <alignment horizontal="center"/>
    </xf>
    <xf numFmtId="0" fontId="22" fillId="0" borderId="3" xfId="0" applyFont="1" applyBorder="1" applyAlignment="1" applyProtection="1">
      <alignment horizontal="left"/>
    </xf>
    <xf numFmtId="168" fontId="0" fillId="0" borderId="11" xfId="0" applyNumberFormat="1" applyFill="1" applyBorder="1" applyAlignment="1" applyProtection="1"/>
    <xf numFmtId="0" fontId="20" fillId="0" borderId="17" xfId="0" applyFont="1" applyFill="1" applyBorder="1" applyAlignment="1" applyProtection="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5" fontId="22" fillId="0" borderId="1" xfId="0" applyNumberFormat="1" applyFont="1" applyBorder="1" applyAlignment="1" applyProtection="1">
      <alignment horizontal="right"/>
    </xf>
    <xf numFmtId="165" fontId="22" fillId="0" borderId="2" xfId="0" applyNumberFormat="1" applyFont="1" applyBorder="1" applyAlignment="1" applyProtection="1">
      <alignment horizontal="right"/>
    </xf>
    <xf numFmtId="165" fontId="22" fillId="0" borderId="7" xfId="0" applyNumberFormat="1" applyFont="1" applyBorder="1" applyAlignment="1" applyProtection="1">
      <alignment horizontal="right"/>
    </xf>
    <xf numFmtId="0" fontId="13" fillId="0" borderId="1" xfId="0" applyFont="1" applyFill="1" applyBorder="1" applyAlignment="1" applyProtection="1">
      <alignment horizontal="center" vertical="top" wrapText="1"/>
    </xf>
    <xf numFmtId="0" fontId="32" fillId="5" borderId="3" xfId="543" applyFont="1" applyFill="1" applyBorder="1" applyAlignment="1" applyProtection="1">
      <alignment horizontal="center"/>
    </xf>
    <xf numFmtId="0" fontId="32" fillId="5" borderId="4" xfId="543" applyFont="1" applyFill="1" applyBorder="1" applyAlignment="1" applyProtection="1">
      <alignment horizontal="center"/>
    </xf>
    <xf numFmtId="0" fontId="32" fillId="5" borderId="5" xfId="543" applyFont="1" applyFill="1" applyBorder="1" applyAlignment="1" applyProtection="1">
      <alignment horizontal="center"/>
    </xf>
    <xf numFmtId="49" fontId="13" fillId="5" borderId="3" xfId="543" applyNumberFormat="1" applyFont="1" applyFill="1" applyBorder="1" applyAlignment="1" applyProtection="1">
      <alignment horizontal="center"/>
    </xf>
    <xf numFmtId="49" fontId="13" fillId="5" borderId="5" xfId="543" applyNumberFormat="1" applyFont="1" applyFill="1" applyBorder="1" applyAlignment="1" applyProtection="1">
      <alignment horizontal="center"/>
    </xf>
    <xf numFmtId="0" fontId="22" fillId="0" borderId="11" xfId="0" applyFont="1" applyFill="1" applyBorder="1" applyAlignment="1" applyProtection="1">
      <alignment horizontal="center" vertical="top" wrapText="1"/>
    </xf>
    <xf numFmtId="165" fontId="20" fillId="0" borderId="3" xfId="271" applyNumberFormat="1" applyFont="1" applyBorder="1" applyAlignment="1" applyProtection="1">
      <alignment horizontal="center"/>
    </xf>
    <xf numFmtId="165" fontId="20" fillId="0" borderId="4" xfId="271" applyNumberFormat="1" applyFont="1" applyBorder="1" applyAlignment="1" applyProtection="1">
      <alignment horizontal="center"/>
    </xf>
    <xf numFmtId="165" fontId="20" fillId="0" borderId="5" xfId="271" applyNumberFormat="1" applyFont="1" applyBorder="1" applyAlignment="1" applyProtection="1">
      <alignment horizontal="center"/>
    </xf>
    <xf numFmtId="0" fontId="13" fillId="0" borderId="11" xfId="0" applyFont="1" applyBorder="1" applyAlignment="1" applyProtection="1">
      <alignment horizontal="center"/>
    </xf>
    <xf numFmtId="0" fontId="13"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6" fillId="0" borderId="3" xfId="0" applyFont="1" applyBorder="1" applyAlignment="1" applyProtection="1">
      <alignment horizontal="center"/>
    </xf>
    <xf numFmtId="0" fontId="36" fillId="0" borderId="4" xfId="0" applyFont="1" applyBorder="1" applyAlignment="1" applyProtection="1">
      <alignment horizontal="center"/>
    </xf>
    <xf numFmtId="0" fontId="36" fillId="0" borderId="5" xfId="0" applyFont="1" applyBorder="1" applyAlignment="1" applyProtection="1">
      <alignment horizontal="center"/>
    </xf>
    <xf numFmtId="0" fontId="13" fillId="5" borderId="6" xfId="8726" applyFill="1" applyBorder="1" applyAlignment="1" applyProtection="1">
      <alignment horizontal="left"/>
      <protection locked="0"/>
    </xf>
    <xf numFmtId="0" fontId="20" fillId="0" borderId="9" xfId="0" applyFont="1" applyBorder="1" applyAlignment="1" applyProtection="1">
      <alignment horizontal="right"/>
    </xf>
    <xf numFmtId="0" fontId="20" fillId="0" borderId="10" xfId="0" applyFont="1" applyBorder="1" applyAlignment="1" applyProtection="1">
      <alignment horizontal="righ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2" borderId="11" xfId="0" applyFont="1" applyFill="1" applyBorder="1" applyAlignment="1" applyProtection="1">
      <alignment horizontal="center"/>
    </xf>
    <xf numFmtId="0" fontId="21"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13" fillId="5" borderId="5"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22" fillId="5" borderId="5"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3" xfId="543" applyFont="1" applyFill="1" applyBorder="1" applyAlignment="1" applyProtection="1">
      <alignment horizontal="center"/>
    </xf>
    <xf numFmtId="0" fontId="13" fillId="0" borderId="4" xfId="543" applyFont="1" applyFill="1" applyBorder="1" applyAlignment="1" applyProtection="1">
      <alignment horizontal="center"/>
    </xf>
    <xf numFmtId="0" fontId="13"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3" fillId="0" borderId="0" xfId="0" applyFont="1" applyFill="1" applyAlignment="1" applyProtection="1">
      <alignment horizontal="left" vertical="center" wrapText="1"/>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3" fillId="10" borderId="3" xfId="543" applyNumberFormat="1" applyFont="1" applyFill="1" applyBorder="1" applyAlignment="1" applyProtection="1">
      <alignment horizontal="center"/>
    </xf>
    <xf numFmtId="168" fontId="13" fillId="10" borderId="4" xfId="543" applyNumberFormat="1" applyFont="1" applyFill="1" applyBorder="1" applyAlignment="1" applyProtection="1">
      <alignment horizontal="center"/>
    </xf>
    <xf numFmtId="168" fontId="13" fillId="10" borderId="5" xfId="543" applyNumberFormat="1" applyFont="1" applyFill="1" applyBorder="1" applyAlignment="1" applyProtection="1">
      <alignment horizontal="center"/>
    </xf>
    <xf numFmtId="168" fontId="13" fillId="0" borderId="11" xfId="543" applyNumberFormat="1" applyFont="1" applyFill="1" applyBorder="1" applyAlignment="1" applyProtection="1">
      <alignment horizontal="center"/>
    </xf>
    <xf numFmtId="0" fontId="22" fillId="5" borderId="6" xfId="271" applyFont="1" applyFill="1" applyBorder="1" applyAlignment="1" applyProtection="1">
      <protection locked="0"/>
    </xf>
    <xf numFmtId="3" fontId="41" fillId="10" borderId="6" xfId="543" applyNumberFormat="1" applyFont="1" applyFill="1" applyBorder="1" applyAlignment="1" applyProtection="1">
      <alignment horizontal="left" vertical="center" wrapText="1"/>
    </xf>
    <xf numFmtId="171" fontId="13"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6"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NumberFormat="1" applyFill="1" applyBorder="1" applyAlignment="1" applyProtection="1">
      <alignment horizontal="right"/>
      <protection locked="0"/>
    </xf>
    <xf numFmtId="0" fontId="29" fillId="0" borderId="1" xfId="0" applyFont="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10" xfId="0" applyFont="1" applyBorder="1" applyAlignment="1" applyProtection="1">
      <alignment horizontal="center" vertical="center" wrapText="1"/>
    </xf>
    <xf numFmtId="180" fontId="0" fillId="0" borderId="6" xfId="0" applyNumberFormat="1" applyFill="1" applyBorder="1" applyAlignment="1" applyProtection="1">
      <alignment horizontal="center"/>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7"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1" fillId="0" borderId="0" xfId="0" applyFont="1" applyBorder="1" applyAlignment="1" applyProtection="1">
      <alignment horizontal="center" vertical="center" wrapText="1"/>
    </xf>
    <xf numFmtId="0" fontId="51" fillId="0" borderId="12" xfId="0" applyFont="1" applyBorder="1" applyAlignment="1" applyProtection="1">
      <alignment horizontal="center" vertical="center" wrapText="1"/>
    </xf>
    <xf numFmtId="0" fontId="51" fillId="0" borderId="9" xfId="0" applyFont="1" applyBorder="1" applyAlignment="1" applyProtection="1">
      <alignment horizontal="center" vertical="center" wrapText="1"/>
    </xf>
    <xf numFmtId="0" fontId="51" fillId="0" borderId="6" xfId="0" applyFont="1" applyBorder="1" applyAlignment="1" applyProtection="1">
      <alignment horizontal="center" vertical="center" wrapText="1"/>
    </xf>
    <xf numFmtId="0" fontId="51" fillId="0" borderId="10" xfId="0" applyFont="1" applyBorder="1" applyAlignment="1" applyProtection="1">
      <alignment horizontal="center" vertical="center" wrapText="1"/>
    </xf>
    <xf numFmtId="14" fontId="22" fillId="5" borderId="4"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3" borderId="0" xfId="0" applyFont="1" applyFill="1" applyBorder="1" applyAlignment="1" applyProtection="1">
      <alignment horizontal="center" vertical="center"/>
    </xf>
    <xf numFmtId="0" fontId="20" fillId="0" borderId="3" xfId="0" applyFont="1" applyFill="1" applyBorder="1" applyAlignment="1" applyProtection="1">
      <alignment horizontal="right"/>
    </xf>
    <xf numFmtId="0" fontId="20" fillId="0" borderId="4" xfId="0" applyFont="1" applyFill="1" applyBorder="1" applyAlignment="1" applyProtection="1">
      <alignment horizontal="right"/>
    </xf>
    <xf numFmtId="0" fontId="20" fillId="0" borderId="5" xfId="0" applyFont="1" applyFill="1" applyBorder="1" applyAlignment="1" applyProtection="1">
      <alignment horizontal="right"/>
    </xf>
    <xf numFmtId="1" fontId="22" fillId="0" borderId="3" xfId="0" applyNumberFormat="1" applyFont="1" applyFill="1" applyBorder="1" applyAlignment="1" applyProtection="1">
      <alignment horizontal="center"/>
    </xf>
    <xf numFmtId="1" fontId="22" fillId="0" borderId="4" xfId="0" applyNumberFormat="1" applyFont="1" applyFill="1" applyBorder="1" applyAlignment="1" applyProtection="1">
      <alignment horizontal="center"/>
    </xf>
    <xf numFmtId="1" fontId="22" fillId="0" borderId="5" xfId="0" applyNumberFormat="1" applyFont="1" applyFill="1" applyBorder="1" applyAlignment="1" applyProtection="1">
      <alignment horizontal="center"/>
    </xf>
    <xf numFmtId="0" fontId="33" fillId="0" borderId="4" xfId="543" applyNumberFormat="1" applyFont="1" applyBorder="1" applyAlignment="1" applyProtection="1">
      <alignment horizontal="right" vertical="top" wrapText="1"/>
    </xf>
    <xf numFmtId="0" fontId="33" fillId="0" borderId="5" xfId="543" applyNumberFormat="1" applyFont="1" applyBorder="1" applyAlignment="1" applyProtection="1">
      <alignment horizontal="right" vertical="top" wrapText="1"/>
    </xf>
    <xf numFmtId="0" fontId="20" fillId="0" borderId="8" xfId="543" applyFont="1" applyBorder="1" applyAlignment="1" applyProtection="1">
      <alignment horizontal="left" vertical="center" wrapText="1"/>
    </xf>
    <xf numFmtId="0" fontId="20" fillId="0" borderId="0" xfId="543" applyFont="1" applyBorder="1" applyAlignment="1" applyProtection="1">
      <alignment horizontal="left" vertical="center" wrapText="1"/>
    </xf>
    <xf numFmtId="0" fontId="20" fillId="0" borderId="12" xfId="543" applyFont="1" applyBorder="1" applyAlignment="1" applyProtection="1">
      <alignment horizontal="left" vertical="center" wrapText="1"/>
    </xf>
    <xf numFmtId="0" fontId="13" fillId="0" borderId="8" xfId="543" applyFont="1" applyBorder="1" applyAlignment="1" applyProtection="1">
      <alignment horizontal="left" vertical="top" wrapText="1"/>
    </xf>
    <xf numFmtId="0" fontId="13" fillId="0" borderId="0" xfId="543" applyFont="1" applyBorder="1" applyAlignment="1" applyProtection="1">
      <alignment horizontal="left" vertical="top" wrapText="1"/>
    </xf>
    <xf numFmtId="0" fontId="13" fillId="0" borderId="12" xfId="543" applyFont="1" applyBorder="1" applyAlignment="1" applyProtection="1">
      <alignment horizontal="left" vertical="top" wrapText="1"/>
    </xf>
    <xf numFmtId="0" fontId="21" fillId="0" borderId="3" xfId="543" applyFont="1" applyFill="1" applyBorder="1" applyAlignment="1" applyProtection="1">
      <alignment horizontal="center"/>
    </xf>
    <xf numFmtId="0" fontId="21" fillId="0" borderId="5" xfId="543" applyFont="1" applyFill="1" applyBorder="1" applyAlignment="1" applyProtection="1">
      <alignment horizontal="center"/>
    </xf>
    <xf numFmtId="1" fontId="21" fillId="0" borderId="3" xfId="543" applyNumberFormat="1" applyFont="1" applyFill="1" applyBorder="1" applyAlignment="1" applyProtection="1">
      <alignment horizontal="center"/>
    </xf>
    <xf numFmtId="1" fontId="21" fillId="0" borderId="5"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5" xfId="543" applyFont="1" applyFill="1" applyBorder="1" applyAlignment="1" applyProtection="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Font="1" applyBorder="1" applyAlignment="1" applyProtection="1">
      <alignment horizontal="left" vertical="top" wrapText="1"/>
    </xf>
    <xf numFmtId="0" fontId="13" fillId="0" borderId="6" xfId="543" applyFont="1" applyBorder="1" applyAlignment="1" applyProtection="1">
      <alignment horizontal="left" vertical="top" wrapText="1"/>
    </xf>
    <xf numFmtId="0" fontId="13" fillId="0" borderId="10" xfId="543" applyFont="1" applyBorder="1" applyAlignment="1" applyProtection="1">
      <alignment horizontal="left" vertical="top" wrapText="1"/>
    </xf>
    <xf numFmtId="168" fontId="13" fillId="0" borderId="1" xfId="543" applyNumberFormat="1" applyFont="1" applyBorder="1" applyAlignment="1" applyProtection="1">
      <alignment horizontal="center" vertical="center"/>
    </xf>
    <xf numFmtId="168" fontId="13" fillId="0" borderId="2" xfId="543" applyNumberFormat="1" applyFont="1" applyBorder="1" applyAlignment="1" applyProtection="1">
      <alignment horizontal="center" vertical="center"/>
    </xf>
    <xf numFmtId="168" fontId="13" fillId="0" borderId="7" xfId="543" applyNumberFormat="1" applyFont="1" applyBorder="1" applyAlignment="1" applyProtection="1">
      <alignment horizontal="center" vertical="center"/>
    </xf>
    <xf numFmtId="168" fontId="13" fillId="0" borderId="8" xfId="543" applyNumberFormat="1" applyFont="1" applyBorder="1" applyAlignment="1" applyProtection="1">
      <alignment horizontal="center" vertical="center"/>
    </xf>
    <xf numFmtId="168" fontId="13" fillId="0" borderId="0" xfId="543" applyNumberFormat="1" applyFont="1" applyBorder="1" applyAlignment="1" applyProtection="1">
      <alignment horizontal="center" vertical="center"/>
    </xf>
    <xf numFmtId="168" fontId="13" fillId="0" borderId="12" xfId="543" applyNumberFormat="1" applyFont="1" applyBorder="1" applyAlignment="1" applyProtection="1">
      <alignment horizontal="center" vertical="center"/>
    </xf>
    <xf numFmtId="168" fontId="13" fillId="0" borderId="9" xfId="543" applyNumberFormat="1" applyFont="1" applyBorder="1" applyAlignment="1" applyProtection="1">
      <alignment horizontal="center" vertical="center"/>
    </xf>
    <xf numFmtId="168" fontId="13" fillId="0" borderId="6" xfId="543" applyNumberFormat="1" applyFont="1" applyBorder="1" applyAlignment="1" applyProtection="1">
      <alignment horizontal="center" vertical="center"/>
    </xf>
    <xf numFmtId="168" fontId="13" fillId="0" borderId="10" xfId="543" applyNumberFormat="1" applyFont="1" applyBorder="1" applyAlignment="1" applyProtection="1">
      <alignment horizontal="center" vertical="center"/>
    </xf>
    <xf numFmtId="168" fontId="20" fillId="0" borderId="3" xfId="543" applyNumberFormat="1" applyFont="1" applyFill="1" applyBorder="1" applyAlignment="1" applyProtection="1">
      <alignment horizontal="center" vertical="center"/>
    </xf>
    <xf numFmtId="168" fontId="20" fillId="0" borderId="4" xfId="543" applyNumberFormat="1" applyFont="1" applyFill="1" applyBorder="1" applyAlignment="1" applyProtection="1">
      <alignment horizontal="center" vertical="center"/>
    </xf>
    <xf numFmtId="168" fontId="20" fillId="0" borderId="5" xfId="543" applyNumberFormat="1" applyFont="1" applyFill="1" applyBorder="1" applyAlignment="1" applyProtection="1">
      <alignment horizontal="center" vertical="center"/>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Font="1" applyFill="1" applyBorder="1" applyAlignment="1" applyProtection="1">
      <alignment horizontal="center" vertical="center"/>
    </xf>
    <xf numFmtId="168" fontId="13" fillId="0" borderId="2" xfId="543" applyNumberFormat="1" applyFont="1" applyFill="1" applyBorder="1" applyAlignment="1" applyProtection="1">
      <alignment horizontal="center" vertical="center"/>
    </xf>
    <xf numFmtId="168" fontId="13" fillId="0" borderId="7" xfId="543" applyNumberFormat="1" applyFont="1" applyFill="1" applyBorder="1" applyAlignment="1" applyProtection="1">
      <alignment horizontal="center" vertical="center"/>
    </xf>
    <xf numFmtId="168" fontId="13" fillId="0" borderId="8" xfId="543" applyNumberFormat="1" applyFont="1" applyFill="1" applyBorder="1" applyAlignment="1" applyProtection="1">
      <alignment horizontal="center" vertical="center"/>
    </xf>
    <xf numFmtId="168" fontId="13" fillId="0" borderId="0" xfId="543" applyNumberFormat="1" applyFont="1" applyFill="1" applyBorder="1" applyAlignment="1" applyProtection="1">
      <alignment horizontal="center" vertical="center"/>
    </xf>
    <xf numFmtId="168" fontId="13" fillId="0" borderId="12" xfId="543" applyNumberFormat="1" applyFont="1" applyFill="1" applyBorder="1" applyAlignment="1" applyProtection="1">
      <alignment horizontal="center" vertical="center"/>
    </xf>
    <xf numFmtId="168" fontId="13" fillId="0" borderId="9" xfId="543" applyNumberFormat="1" applyFont="1" applyFill="1" applyBorder="1" applyAlignment="1" applyProtection="1">
      <alignment horizontal="center" vertical="center"/>
    </xf>
    <xf numFmtId="168" fontId="13" fillId="0" borderId="6" xfId="543" applyNumberFormat="1" applyFont="1" applyFill="1" applyBorder="1" applyAlignment="1" applyProtection="1">
      <alignment horizontal="center" vertical="center"/>
    </xf>
    <xf numFmtId="168" fontId="13" fillId="0" borderId="10" xfId="543" applyNumberFormat="1" applyFont="1" applyFill="1" applyBorder="1" applyAlignment="1" applyProtection="1">
      <alignment horizontal="center" vertical="center"/>
    </xf>
    <xf numFmtId="0" fontId="13" fillId="2" borderId="3" xfId="543" applyFont="1" applyFill="1" applyBorder="1" applyAlignment="1" applyProtection="1">
      <alignment horizontal="center"/>
    </xf>
    <xf numFmtId="0" fontId="13" fillId="2" borderId="4" xfId="543" applyFont="1" applyFill="1" applyBorder="1" applyAlignment="1" applyProtection="1">
      <alignment horizontal="center"/>
    </xf>
    <xf numFmtId="0" fontId="13" fillId="2" borderId="5" xfId="543" applyFont="1" applyFill="1" applyBorder="1" applyAlignment="1" applyProtection="1">
      <alignment horizontal="center"/>
    </xf>
    <xf numFmtId="0" fontId="20" fillId="0" borderId="1" xfId="543" applyFont="1" applyBorder="1" applyAlignment="1" applyProtection="1">
      <alignment horizontal="left" vertical="center" wrapText="1"/>
    </xf>
    <xf numFmtId="0" fontId="20" fillId="0" borderId="2" xfId="543" applyFont="1" applyBorder="1" applyAlignment="1" applyProtection="1">
      <alignment horizontal="left" vertical="center" wrapText="1"/>
    </xf>
    <xf numFmtId="0" fontId="20" fillId="0" borderId="7" xfId="543" applyFont="1" applyBorder="1" applyAlignment="1" applyProtection="1">
      <alignment horizontal="left" vertical="center" wrapText="1"/>
    </xf>
    <xf numFmtId="9" fontId="13" fillId="5" borderId="3" xfId="0" applyNumberFormat="1" applyFont="1" applyFill="1" applyBorder="1" applyAlignment="1" applyProtection="1">
      <alignment horizontal="right"/>
      <protection locked="0"/>
    </xf>
    <xf numFmtId="0" fontId="34" fillId="0" borderId="3" xfId="543" applyFont="1" applyFill="1" applyBorder="1" applyAlignment="1" applyProtection="1">
      <alignment horizontal="center"/>
    </xf>
    <xf numFmtId="0" fontId="34" fillId="0" borderId="4" xfId="543" applyFont="1" applyFill="1" applyBorder="1" applyAlignment="1" applyProtection="1">
      <alignment horizontal="center"/>
    </xf>
    <xf numFmtId="0" fontId="34" fillId="0" borderId="5" xfId="543" applyFont="1" applyFill="1" applyBorder="1" applyAlignment="1" applyProtection="1">
      <alignment horizontal="center"/>
    </xf>
    <xf numFmtId="1" fontId="13" fillId="0" borderId="3" xfId="543" applyNumberFormat="1" applyFont="1" applyFill="1" applyBorder="1" applyAlignment="1" applyProtection="1">
      <alignment horizontal="center"/>
    </xf>
    <xf numFmtId="1" fontId="13" fillId="0" borderId="4" xfId="543" applyNumberFormat="1" applyFont="1" applyFill="1" applyBorder="1" applyAlignment="1" applyProtection="1">
      <alignment horizontal="center"/>
    </xf>
    <xf numFmtId="1" fontId="13" fillId="0" borderId="5" xfId="543" applyNumberFormat="1" applyFont="1" applyFill="1" applyBorder="1" applyAlignment="1" applyProtection="1">
      <alignment horizontal="center"/>
    </xf>
    <xf numFmtId="0" fontId="20" fillId="0" borderId="1" xfId="0" applyFont="1" applyBorder="1" applyAlignment="1" applyProtection="1">
      <alignment horizontal="center" wrapText="1"/>
    </xf>
    <xf numFmtId="0" fontId="20" fillId="0" borderId="2" xfId="0" applyFont="1" applyBorder="1" applyAlignment="1" applyProtection="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0" applyFont="1" applyBorder="1" applyAlignment="1" applyProtection="1">
      <alignment horizontal="center"/>
    </xf>
    <xf numFmtId="0" fontId="20" fillId="0" borderId="2" xfId="0" applyFont="1" applyBorder="1" applyAlignment="1" applyProtection="1">
      <alignment horizontal="center"/>
    </xf>
    <xf numFmtId="0" fontId="20" fillId="0" borderId="7" xfId="0" applyFont="1" applyBorder="1" applyAlignment="1" applyProtection="1">
      <alignment horizontal="center"/>
    </xf>
    <xf numFmtId="0" fontId="50" fillId="5" borderId="3" xfId="0" applyNumberFormat="1" applyFont="1" applyFill="1" applyBorder="1" applyAlignment="1" applyProtection="1">
      <alignment horizontal="center"/>
      <protection locked="0"/>
    </xf>
    <xf numFmtId="0" fontId="50" fillId="5" borderId="4" xfId="0" applyNumberFormat="1" applyFont="1" applyFill="1" applyBorder="1" applyAlignment="1" applyProtection="1">
      <alignment horizontal="center"/>
      <protection locked="0"/>
    </xf>
    <xf numFmtId="0" fontId="50" fillId="5" borderId="5" xfId="0" applyNumberFormat="1" applyFont="1" applyFill="1" applyBorder="1" applyAlignment="1" applyProtection="1">
      <alignment horizontal="center"/>
      <protection locked="0"/>
    </xf>
    <xf numFmtId="0" fontId="20" fillId="0" borderId="3" xfId="543" applyFont="1" applyFill="1" applyBorder="1" applyAlignment="1" applyProtection="1">
      <alignment horizontal="right"/>
    </xf>
    <xf numFmtId="0" fontId="20" fillId="0" borderId="4" xfId="543" applyFont="1" applyFill="1" applyBorder="1" applyAlignment="1" applyProtection="1">
      <alignment horizontal="right"/>
    </xf>
    <xf numFmtId="0" fontId="20" fillId="0" borderId="5" xfId="543" applyFont="1" applyFill="1" applyBorder="1" applyAlignment="1" applyProtection="1">
      <alignment horizontal="right"/>
    </xf>
    <xf numFmtId="0" fontId="13" fillId="0" borderId="8" xfId="543" applyFont="1" applyBorder="1" applyAlignment="1" applyProtection="1">
      <alignment horizontal="left" vertical="center" wrapText="1"/>
    </xf>
    <xf numFmtId="0" fontId="13" fillId="0" borderId="0" xfId="543" applyFont="1" applyBorder="1" applyAlignment="1" applyProtection="1">
      <alignment horizontal="left" vertical="center" wrapText="1"/>
    </xf>
    <xf numFmtId="0" fontId="13" fillId="0" borderId="12" xfId="543" applyFont="1" applyBorder="1" applyAlignment="1" applyProtection="1">
      <alignment horizontal="left" vertical="center" wrapText="1"/>
    </xf>
    <xf numFmtId="0" fontId="13"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Font="1" applyBorder="1" applyAlignment="1" applyProtection="1">
      <alignment horizontal="left" vertical="center" wrapText="1"/>
    </xf>
    <xf numFmtId="0" fontId="13" fillId="0" borderId="6" xfId="543" applyFont="1" applyBorder="1" applyAlignment="1" applyProtection="1">
      <alignment horizontal="left" vertical="center" wrapText="1"/>
    </xf>
    <xf numFmtId="0" fontId="13" fillId="0" borderId="10" xfId="543" applyFont="1" applyBorder="1" applyAlignment="1" applyProtection="1">
      <alignment horizontal="left" vertical="center" wrapText="1"/>
    </xf>
    <xf numFmtId="0" fontId="20" fillId="0" borderId="1" xfId="543" applyFont="1" applyBorder="1" applyAlignment="1" applyProtection="1">
      <alignment horizontal="left" vertical="top" wrapText="1"/>
    </xf>
    <xf numFmtId="0" fontId="20" fillId="0" borderId="2" xfId="543" applyFont="1" applyBorder="1" applyAlignment="1" applyProtection="1">
      <alignment horizontal="left" vertical="top" wrapText="1"/>
    </xf>
    <xf numFmtId="0" fontId="20" fillId="0" borderId="7" xfId="543" applyFont="1" applyBorder="1" applyAlignment="1" applyProtection="1">
      <alignment horizontal="left" vertical="top" wrapText="1"/>
    </xf>
    <xf numFmtId="0" fontId="20" fillId="0" borderId="8" xfId="543" applyFont="1" applyBorder="1" applyAlignment="1" applyProtection="1">
      <alignment horizontal="left" vertical="top" wrapText="1"/>
    </xf>
    <xf numFmtId="0" fontId="20" fillId="0" borderId="0" xfId="543" applyFont="1" applyBorder="1" applyAlignment="1" applyProtection="1">
      <alignment horizontal="left" vertical="top" wrapText="1"/>
    </xf>
    <xf numFmtId="0" fontId="20" fillId="0" borderId="12" xfId="543" applyFont="1" applyBorder="1" applyAlignment="1" applyProtection="1">
      <alignment horizontal="left" vertical="top" wrapText="1"/>
    </xf>
    <xf numFmtId="0" fontId="33" fillId="0" borderId="1" xfId="543" applyFont="1" applyFill="1" applyBorder="1" applyAlignment="1" applyProtection="1">
      <alignment horizontal="right"/>
    </xf>
    <xf numFmtId="0" fontId="33" fillId="0" borderId="2" xfId="543" applyFont="1" applyFill="1" applyBorder="1" applyAlignment="1" applyProtection="1">
      <alignment horizontal="right"/>
    </xf>
    <xf numFmtId="0" fontId="33" fillId="0" borderId="7" xfId="543" applyFont="1" applyFill="1" applyBorder="1" applyAlignment="1" applyProtection="1">
      <alignment horizontal="right"/>
    </xf>
    <xf numFmtId="0" fontId="20" fillId="10" borderId="3" xfId="543" applyFont="1" applyFill="1" applyBorder="1" applyAlignment="1" applyProtection="1">
      <alignment horizontal="center"/>
    </xf>
    <xf numFmtId="0" fontId="20" fillId="10" borderId="4" xfId="543" applyFont="1" applyFill="1" applyBorder="1" applyAlignment="1" applyProtection="1">
      <alignment horizontal="center"/>
    </xf>
    <xf numFmtId="0" fontId="20" fillId="10" borderId="5" xfId="543" applyFont="1" applyFill="1" applyBorder="1" applyAlignment="1" applyProtection="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166" fillId="0" borderId="8" xfId="543" applyFont="1" applyBorder="1" applyAlignment="1" applyProtection="1">
      <alignment horizontal="center" vertical="center" wrapText="1"/>
    </xf>
    <xf numFmtId="0" fontId="166" fillId="0" borderId="0" xfId="543" applyFont="1" applyBorder="1" applyAlignment="1" applyProtection="1">
      <alignment horizontal="center" vertical="center" wrapText="1"/>
    </xf>
    <xf numFmtId="0" fontId="166" fillId="0" borderId="12" xfId="543" applyFont="1" applyBorder="1" applyAlignment="1" applyProtection="1">
      <alignment horizontal="center" vertical="center" wrapText="1"/>
    </xf>
    <xf numFmtId="0" fontId="13" fillId="0" borderId="4" xfId="0" applyFont="1" applyBorder="1" applyAlignment="1" applyProtection="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0" fillId="0" borderId="11" xfId="0" applyBorder="1" applyAlignment="1" applyProtection="1">
      <alignment horizontal="center"/>
    </xf>
    <xf numFmtId="0" fontId="22" fillId="0" borderId="11" xfId="0" applyFont="1" applyBorder="1" applyAlignment="1" applyProtection="1">
      <alignment horizontal="center"/>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pplyProtection="1">
      <alignment horizontal="center" vertical="center" wrapText="1"/>
    </xf>
    <xf numFmtId="0" fontId="20" fillId="0" borderId="11" xfId="0" applyFont="1" applyBorder="1" applyAlignment="1" applyProtection="1">
      <alignment horizontal="center" vertic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0" borderId="2" xfId="0" applyFont="1" applyBorder="1" applyAlignment="1" applyProtection="1">
      <alignment horizontal="left" vertical="top" wrapText="1"/>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Border="1" applyAlignment="1" applyProtection="1">
      <alignment vertical="top" wrapText="1"/>
    </xf>
    <xf numFmtId="0" fontId="0" fillId="0" borderId="0" xfId="0" applyAlignment="1">
      <alignment vertical="top" wrapText="1"/>
    </xf>
    <xf numFmtId="0" fontId="22" fillId="0" borderId="0" xfId="0" applyFont="1" applyBorder="1" applyAlignment="1" applyProtection="1">
      <alignment vertical="top" wrapText="1"/>
    </xf>
    <xf numFmtId="0" fontId="22" fillId="0" borderId="6" xfId="0" applyFont="1" applyFill="1" applyBorder="1" applyAlignment="1" applyProtection="1">
      <alignment horizontal="right" vertical="top" wrapText="1"/>
    </xf>
    <xf numFmtId="0" fontId="22" fillId="0" borderId="6" xfId="0" applyFont="1" applyFill="1" applyBorder="1" applyAlignment="1">
      <alignment vertical="top" wrapText="1"/>
    </xf>
    <xf numFmtId="0" fontId="55" fillId="2" borderId="3" xfId="0" applyFont="1" applyFill="1" applyBorder="1" applyAlignment="1" applyProtection="1">
      <alignment horizontal="center" vertical="top"/>
    </xf>
    <xf numFmtId="0" fontId="55" fillId="2" borderId="4" xfId="0" applyFont="1" applyFill="1" applyBorder="1" applyAlignment="1" applyProtection="1">
      <alignment horizontal="center" vertical="top"/>
    </xf>
    <xf numFmtId="0" fontId="55" fillId="2" borderId="5" xfId="0" applyFont="1" applyFill="1" applyBorder="1" applyAlignment="1" applyProtection="1">
      <alignment horizontal="center" vertical="top"/>
    </xf>
    <xf numFmtId="0" fontId="22" fillId="0" borderId="6" xfId="0" applyFont="1" applyBorder="1" applyAlignment="1" applyProtection="1">
      <alignment vertical="top" wrapText="1"/>
    </xf>
    <xf numFmtId="0" fontId="22" fillId="0" borderId="2" xfId="0" applyFont="1" applyBorder="1" applyAlignment="1" applyProtection="1">
      <alignment vertical="top" wrapText="1"/>
    </xf>
    <xf numFmtId="0" fontId="50" fillId="0" borderId="0" xfId="0" applyFont="1" applyBorder="1" applyAlignment="1" applyProtection="1">
      <alignment vertical="top" wrapText="1"/>
    </xf>
    <xf numFmtId="0" fontId="51" fillId="0" borderId="0" xfId="569" applyFont="1" applyFill="1" applyBorder="1" applyAlignment="1" applyProtection="1">
      <alignment vertical="top" wrapText="1"/>
    </xf>
    <xf numFmtId="0" fontId="13" fillId="0" borderId="0" xfId="569" applyFill="1" applyBorder="1" applyAlignment="1">
      <alignment vertical="top" wrapText="1"/>
    </xf>
    <xf numFmtId="0" fontId="13" fillId="0" borderId="0" xfId="569" applyFont="1" applyFill="1" applyBorder="1" applyAlignment="1" applyProtection="1">
      <alignment horizontal="right" vertical="top" wrapText="1"/>
    </xf>
    <xf numFmtId="0" fontId="13" fillId="0" borderId="0" xfId="569" applyFont="1" applyFill="1" applyBorder="1" applyAlignment="1">
      <alignment vertical="top" wrapText="1"/>
    </xf>
    <xf numFmtId="0" fontId="13" fillId="0" borderId="0" xfId="569" applyFont="1" applyFill="1" applyBorder="1" applyAlignment="1" applyProtection="1">
      <alignment horizontal="left" vertical="top" wrapText="1"/>
    </xf>
    <xf numFmtId="0" fontId="13" fillId="0" borderId="0" xfId="569" applyFont="1" applyFill="1" applyBorder="1" applyAlignment="1">
      <alignment horizontal="left" vertical="top" wrapText="1"/>
    </xf>
    <xf numFmtId="0" fontId="19" fillId="3" borderId="3" xfId="0" applyFont="1" applyFill="1" applyBorder="1" applyAlignment="1" applyProtection="1">
      <alignment horizontal="left" vertical="top"/>
    </xf>
    <xf numFmtId="0" fontId="19" fillId="3" borderId="4" xfId="0" applyFont="1" applyFill="1" applyBorder="1" applyAlignment="1" applyProtection="1">
      <alignment horizontal="left" vertical="top"/>
    </xf>
    <xf numFmtId="0" fontId="19" fillId="3" borderId="5" xfId="0" applyFont="1" applyFill="1" applyBorder="1" applyAlignment="1" applyProtection="1">
      <alignment horizontal="left" vertical="top"/>
    </xf>
    <xf numFmtId="164" fontId="13" fillId="0" borderId="50" xfId="4495" applyNumberFormat="1" applyFont="1" applyFill="1" applyBorder="1" applyAlignment="1" applyProtection="1">
      <alignment horizontal="left" vertical="top" wrapText="1"/>
    </xf>
    <xf numFmtId="164" fontId="13" fillId="0" borderId="51" xfId="4495" applyNumberFormat="1" applyFont="1" applyFill="1" applyBorder="1" applyAlignment="1" applyProtection="1">
      <alignment horizontal="left" vertical="top" wrapText="1"/>
    </xf>
    <xf numFmtId="164" fontId="13" fillId="0" borderId="52" xfId="4495" applyNumberFormat="1" applyFont="1" applyFill="1" applyBorder="1" applyAlignment="1" applyProtection="1">
      <alignment horizontal="left" vertical="top" wrapText="1"/>
    </xf>
    <xf numFmtId="164" fontId="13" fillId="0" borderId="53" xfId="4495" applyNumberFormat="1" applyFont="1" applyFill="1" applyBorder="1" applyAlignment="1" applyProtection="1">
      <alignment horizontal="left" vertical="top" wrapText="1"/>
    </xf>
    <xf numFmtId="164" fontId="13" fillId="0" borderId="0" xfId="4495" applyNumberFormat="1" applyFont="1" applyFill="1" applyBorder="1" applyAlignment="1" applyProtection="1">
      <alignment horizontal="left" vertical="top" wrapText="1"/>
    </xf>
    <xf numFmtId="164" fontId="13" fillId="0" borderId="54" xfId="4495" applyNumberFormat="1" applyFont="1" applyFill="1" applyBorder="1" applyAlignment="1" applyProtection="1">
      <alignment horizontal="left" vertical="top" wrapText="1"/>
    </xf>
    <xf numFmtId="164" fontId="13" fillId="0" borderId="57" xfId="4495" applyNumberFormat="1" applyFont="1" applyFill="1" applyBorder="1" applyAlignment="1" applyProtection="1">
      <alignment horizontal="left" vertical="top" wrapText="1"/>
    </xf>
    <xf numFmtId="164" fontId="13" fillId="0" borderId="58" xfId="4495" applyNumberFormat="1" applyFont="1" applyFill="1" applyBorder="1" applyAlignment="1" applyProtection="1">
      <alignment horizontal="left" vertical="top" wrapText="1"/>
    </xf>
    <xf numFmtId="164" fontId="13" fillId="0" borderId="59" xfId="4495" applyNumberFormat="1" applyFont="1" applyFill="1" applyBorder="1" applyAlignment="1" applyProtection="1">
      <alignment horizontal="left" vertical="top" wrapText="1"/>
    </xf>
    <xf numFmtId="0" fontId="13" fillId="45" borderId="11" xfId="4495" applyFont="1" applyFill="1" applyBorder="1" applyAlignment="1" applyProtection="1">
      <alignment horizontal="center"/>
    </xf>
    <xf numFmtId="4" fontId="21" fillId="0" borderId="3" xfId="4495" applyNumberFormat="1" applyFont="1" applyBorder="1" applyAlignment="1" applyProtection="1">
      <alignment horizontal="center"/>
    </xf>
    <xf numFmtId="4" fontId="21" fillId="0" borderId="4" xfId="4495" applyNumberFormat="1" applyFont="1" applyBorder="1" applyAlignment="1" applyProtection="1">
      <alignment horizontal="center"/>
    </xf>
    <xf numFmtId="4" fontId="21" fillId="0" borderId="5" xfId="4495" applyNumberFormat="1" applyFont="1" applyBorder="1" applyAlignment="1" applyProtection="1">
      <alignment horizontal="center"/>
    </xf>
    <xf numFmtId="165" fontId="119" fillId="0" borderId="3" xfId="4496" applyNumberFormat="1" applyFont="1" applyFill="1" applyBorder="1" applyAlignment="1">
      <alignment horizontal="center" vertical="top" wrapText="1"/>
    </xf>
    <xf numFmtId="165" fontId="119" fillId="0" borderId="4" xfId="4496" applyNumberFormat="1" applyFont="1" applyFill="1" applyBorder="1" applyAlignment="1">
      <alignment horizontal="center" vertical="top" wrapText="1"/>
    </xf>
    <xf numFmtId="165" fontId="119" fillId="0" borderId="5" xfId="4496" applyNumberFormat="1" applyFont="1" applyFill="1" applyBorder="1" applyAlignment="1">
      <alignment horizontal="center" vertical="top" wrapText="1"/>
    </xf>
    <xf numFmtId="3" fontId="13" fillId="43" borderId="6" xfId="1192" applyNumberFormat="1" applyFont="1" applyFill="1" applyBorder="1" applyAlignment="1" applyProtection="1">
      <alignment horizontal="right"/>
      <protection locked="0"/>
    </xf>
    <xf numFmtId="168" fontId="13" fillId="0" borderId="0" xfId="1192" applyNumberFormat="1" applyFont="1" applyBorder="1" applyAlignment="1" applyProtection="1">
      <alignment horizontal="right"/>
    </xf>
    <xf numFmtId="0" fontId="139" fillId="0" borderId="0" xfId="1192" applyFont="1" applyBorder="1" applyAlignment="1" applyProtection="1">
      <alignment horizontal="center"/>
    </xf>
    <xf numFmtId="168" fontId="13" fillId="43" borderId="6" xfId="543" applyNumberFormat="1" applyFont="1" applyFill="1" applyBorder="1" applyAlignment="1" applyProtection="1">
      <alignment horizontal="center"/>
      <protection locked="0"/>
    </xf>
    <xf numFmtId="168" fontId="13" fillId="5" borderId="4" xfId="1192" applyNumberFormat="1" applyFont="1" applyFill="1" applyBorder="1" applyAlignment="1" applyProtection="1">
      <alignment horizontal="center"/>
      <protection locked="0"/>
    </xf>
    <xf numFmtId="4" fontId="21" fillId="0" borderId="0" xfId="4495" applyNumberFormat="1" applyFont="1" applyAlignment="1" applyProtection="1">
      <alignment horizontal="center"/>
    </xf>
    <xf numFmtId="4" fontId="21" fillId="0" borderId="6" xfId="4495" applyNumberFormat="1" applyFont="1" applyBorder="1" applyAlignment="1" applyProtection="1">
      <alignment horizontal="center"/>
    </xf>
    <xf numFmtId="1" fontId="13" fillId="5" borderId="2" xfId="1192" applyNumberFormat="1" applyFont="1" applyFill="1" applyBorder="1" applyAlignment="1" applyProtection="1">
      <alignment horizontal="center"/>
      <protection locked="0"/>
    </xf>
    <xf numFmtId="168" fontId="13" fillId="0" borderId="0" xfId="1192" applyNumberFormat="1" applyFont="1" applyAlignment="1" applyProtection="1">
      <alignment horizontal="right"/>
    </xf>
    <xf numFmtId="168" fontId="13" fillId="0" borderId="6" xfId="1192" applyNumberFormat="1" applyFont="1" applyBorder="1" applyAlignment="1" applyProtection="1">
      <alignment horizontal="right"/>
    </xf>
    <xf numFmtId="168" fontId="13" fillId="0" borderId="4" xfId="1192" applyNumberFormat="1" applyFont="1" applyFill="1" applyBorder="1" applyAlignment="1" applyProtection="1">
      <alignment horizontal="right"/>
    </xf>
    <xf numFmtId="0" fontId="13" fillId="0" borderId="53" xfId="4495" applyNumberFormat="1" applyFont="1" applyBorder="1" applyAlignment="1">
      <alignment horizontal="left" vertical="top" wrapText="1"/>
    </xf>
    <xf numFmtId="0" fontId="13" fillId="0" borderId="0" xfId="4495" applyNumberFormat="1" applyFont="1" applyBorder="1" applyAlignment="1">
      <alignment horizontal="left" vertical="top" wrapText="1"/>
    </xf>
    <xf numFmtId="0" fontId="13" fillId="0" borderId="54" xfId="4495" applyNumberFormat="1" applyFont="1" applyBorder="1" applyAlignment="1">
      <alignment horizontal="left" vertical="top" wrapText="1"/>
    </xf>
    <xf numFmtId="0" fontId="13" fillId="0" borderId="57" xfId="4495" applyNumberFormat="1" applyFont="1" applyBorder="1" applyAlignment="1">
      <alignment horizontal="left" vertical="top" wrapText="1"/>
    </xf>
    <xf numFmtId="0" fontId="13" fillId="0" borderId="58" xfId="4495" applyNumberFormat="1" applyFont="1" applyBorder="1" applyAlignment="1">
      <alignment horizontal="left" vertical="top" wrapText="1"/>
    </xf>
    <xf numFmtId="168" fontId="13" fillId="0" borderId="6" xfId="4496" applyNumberFormat="1" applyFont="1" applyFill="1" applyBorder="1" applyAlignment="1" applyProtection="1">
      <alignment horizontal="center"/>
    </xf>
    <xf numFmtId="168" fontId="13" fillId="0" borderId="4" xfId="4496" applyNumberFormat="1" applyFont="1" applyFill="1" applyBorder="1" applyAlignment="1" applyProtection="1">
      <alignment horizontal="center"/>
    </xf>
    <xf numFmtId="9" fontId="13" fillId="0" borderId="4" xfId="4496" applyNumberFormat="1" applyFont="1" applyFill="1" applyBorder="1" applyAlignment="1" applyProtection="1">
      <alignment horizontal="center"/>
    </xf>
    <xf numFmtId="0" fontId="13" fillId="0" borderId="3" xfId="4495" applyFont="1" applyFill="1" applyBorder="1" applyAlignment="1" applyProtection="1">
      <alignment horizontal="center"/>
    </xf>
    <xf numFmtId="0" fontId="13" fillId="0" borderId="4" xfId="4495" applyFont="1" applyFill="1" applyBorder="1" applyAlignment="1" applyProtection="1">
      <alignment horizontal="center"/>
    </xf>
    <xf numFmtId="0" fontId="13" fillId="0" borderId="5" xfId="4495" applyFont="1" applyFill="1" applyBorder="1" applyAlignment="1" applyProtection="1">
      <alignment horizontal="center"/>
    </xf>
    <xf numFmtId="0" fontId="20" fillId="0" borderId="0" xfId="4495" applyFont="1" applyFill="1" applyBorder="1" applyAlignment="1" applyProtection="1">
      <alignment horizontal="center"/>
    </xf>
    <xf numFmtId="0" fontId="21" fillId="0" borderId="51" xfId="4495" applyFont="1" applyBorder="1" applyAlignment="1">
      <alignment horizontal="left" vertical="top" wrapText="1"/>
    </xf>
    <xf numFmtId="0" fontId="21" fillId="0" borderId="0" xfId="4495" applyFont="1" applyBorder="1" applyAlignment="1">
      <alignment horizontal="left" vertical="top" wrapText="1"/>
    </xf>
    <xf numFmtId="0" fontId="20" fillId="0" borderId="0" xfId="4495" applyFont="1" applyFill="1" applyBorder="1" applyAlignment="1" applyProtection="1">
      <alignment horizontal="right"/>
    </xf>
    <xf numFmtId="10" fontId="21" fillId="0" borderId="2" xfId="4495" applyNumberFormat="1" applyFont="1" applyBorder="1" applyAlignment="1" applyProtection="1">
      <alignment horizontal="center"/>
    </xf>
    <xf numFmtId="0" fontId="21" fillId="0" borderId="0" xfId="4495" applyFont="1" applyAlignment="1" applyProtection="1">
      <alignment horizontal="center"/>
    </xf>
    <xf numFmtId="9" fontId="21" fillId="5" borderId="6" xfId="4495" applyNumberFormat="1" applyFont="1" applyFill="1" applyBorder="1" applyAlignment="1" applyProtection="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pplyProtection="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0" xfId="4495" applyFont="1" applyBorder="1" applyAlignment="1" applyProtection="1">
      <alignment horizontal="center"/>
    </xf>
    <xf numFmtId="0" fontId="20" fillId="0" borderId="54" xfId="4495" applyFont="1" applyBorder="1" applyAlignment="1" applyProtection="1">
      <alignment horizontal="center"/>
    </xf>
    <xf numFmtId="0" fontId="13" fillId="5" borderId="6" xfId="4495" applyFont="1" applyFill="1" applyBorder="1" applyAlignment="1" applyProtection="1">
      <alignment horizontal="center" vertical="center" wrapText="1" shrinkToFit="1"/>
      <protection locked="0"/>
    </xf>
    <xf numFmtId="0" fontId="13" fillId="0" borderId="0" xfId="4495" applyFont="1" applyFill="1" applyBorder="1" applyAlignment="1" applyProtection="1">
      <alignment horizontal="left" vertical="top" wrapText="1"/>
    </xf>
    <xf numFmtId="168" fontId="13" fillId="0" borderId="6" xfId="1192" applyNumberFormat="1" applyFont="1" applyFill="1" applyBorder="1" applyAlignment="1" applyProtection="1">
      <alignment horizontal="right"/>
    </xf>
    <xf numFmtId="0" fontId="115" fillId="0" borderId="4" xfId="1192" applyFont="1" applyFill="1" applyBorder="1" applyAlignment="1" applyProtection="1">
      <alignment horizontal="left"/>
    </xf>
    <xf numFmtId="0" fontId="139" fillId="0" borderId="6" xfId="1192" applyFont="1" applyBorder="1" applyAlignment="1" applyProtection="1">
      <alignment horizontal="center"/>
    </xf>
    <xf numFmtId="0" fontId="13" fillId="0" borderId="6" xfId="1192" applyFont="1" applyFill="1" applyBorder="1" applyAlignment="1" applyProtection="1">
      <alignment horizontal="left"/>
    </xf>
    <xf numFmtId="9" fontId="13" fillId="5" borderId="4" xfId="1192" applyNumberFormat="1" applyFont="1" applyFill="1" applyBorder="1" applyAlignment="1" applyProtection="1">
      <alignment horizontal="left"/>
      <protection locked="0"/>
    </xf>
    <xf numFmtId="0" fontId="13" fillId="0" borderId="6" xfId="1192" applyFont="1" applyBorder="1" applyAlignment="1" applyProtection="1">
      <alignment horizontal="right"/>
    </xf>
    <xf numFmtId="168" fontId="13" fillId="43" borderId="6" xfId="1192" applyNumberFormat="1" applyFont="1" applyFill="1" applyBorder="1" applyAlignment="1" applyProtection="1">
      <alignment horizontal="right"/>
      <protection locked="0"/>
    </xf>
    <xf numFmtId="0" fontId="20" fillId="0" borderId="4" xfId="4495" applyFont="1" applyFill="1" applyBorder="1" applyAlignment="1" applyProtection="1">
      <alignment horizontal="left"/>
    </xf>
    <xf numFmtId="0" fontId="20" fillId="0" borderId="5" xfId="4495" applyFont="1" applyFill="1" applyBorder="1" applyAlignment="1" applyProtection="1">
      <alignment horizontal="left"/>
    </xf>
    <xf numFmtId="1" fontId="20" fillId="0" borderId="11" xfId="4495" applyNumberFormat="1" applyFont="1" applyFill="1" applyBorder="1" applyAlignment="1" applyProtection="1">
      <alignment horizontal="center"/>
    </xf>
    <xf numFmtId="0" fontId="20" fillId="0" borderId="3" xfId="4495" applyFont="1" applyFill="1" applyBorder="1" applyAlignment="1" applyProtection="1">
      <alignment horizontal="center" wrapText="1"/>
    </xf>
    <xf numFmtId="0" fontId="20" fillId="0" borderId="4" xfId="4495" applyFont="1" applyFill="1" applyBorder="1" applyAlignment="1" applyProtection="1">
      <alignment horizontal="center" wrapText="1"/>
    </xf>
    <xf numFmtId="0" fontId="20" fillId="0" borderId="5" xfId="4495" applyFont="1" applyFill="1" applyBorder="1" applyAlignment="1" applyProtection="1">
      <alignment horizontal="center" wrapText="1"/>
    </xf>
    <xf numFmtId="0" fontId="20" fillId="0" borderId="11" xfId="4495" applyFont="1" applyFill="1" applyBorder="1" applyAlignment="1" applyProtection="1">
      <alignment horizontal="center"/>
    </xf>
    <xf numFmtId="0" fontId="13" fillId="0" borderId="4" xfId="4495" applyFont="1" applyFill="1" applyBorder="1" applyAlignment="1" applyProtection="1">
      <alignment horizontal="left"/>
    </xf>
    <xf numFmtId="0" fontId="13" fillId="0" borderId="5" xfId="4495" applyFont="1" applyFill="1" applyBorder="1" applyAlignment="1" applyProtection="1">
      <alignment horizontal="left"/>
    </xf>
    <xf numFmtId="1" fontId="13" fillId="0" borderId="11" xfId="4495" applyNumberFormat="1" applyFont="1" applyFill="1" applyBorder="1" applyAlignment="1" applyProtection="1">
      <alignment horizontal="center"/>
    </xf>
    <xf numFmtId="0" fontId="13" fillId="0" borderId="11" xfId="4495" applyFont="1" applyFill="1" applyBorder="1" applyAlignment="1" applyProtection="1">
      <alignment horizontal="center"/>
    </xf>
    <xf numFmtId="1" fontId="13" fillId="46" borderId="11" xfId="4495" applyNumberFormat="1" applyFont="1" applyFill="1" applyBorder="1" applyAlignment="1" applyProtection="1">
      <alignment horizontal="center"/>
    </xf>
    <xf numFmtId="0" fontId="20" fillId="0" borderId="3" xfId="4495" applyFont="1" applyFill="1" applyBorder="1" applyAlignment="1" applyProtection="1">
      <alignment horizontal="center"/>
    </xf>
    <xf numFmtId="0" fontId="20" fillId="0" borderId="4" xfId="4495" applyFont="1" applyFill="1" applyBorder="1" applyAlignment="1" applyProtection="1">
      <alignment horizontal="center"/>
    </xf>
    <xf numFmtId="0" fontId="20" fillId="0" borderId="5" xfId="4495" applyFont="1" applyFill="1" applyBorder="1" applyAlignment="1" applyProtection="1">
      <alignment horizontal="center"/>
    </xf>
    <xf numFmtId="0" fontId="20" fillId="0" borderId="3" xfId="4495" applyFont="1" applyFill="1" applyBorder="1" applyAlignment="1" applyProtection="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Fill="1" applyBorder="1" applyAlignment="1" applyProtection="1">
      <alignment horizontal="right" vertical="center"/>
    </xf>
    <xf numFmtId="164" fontId="61" fillId="0" borderId="2" xfId="4495" applyNumberFormat="1" applyFont="1" applyFill="1" applyBorder="1" applyAlignment="1" applyProtection="1">
      <alignment horizontal="right" vertical="center"/>
    </xf>
    <xf numFmtId="164" fontId="61" fillId="0" borderId="7" xfId="4495" applyNumberFormat="1" applyFont="1" applyFill="1" applyBorder="1" applyAlignment="1" applyProtection="1">
      <alignment horizontal="right" vertical="center"/>
    </xf>
    <xf numFmtId="164" fontId="61" fillId="0" borderId="9" xfId="4495" applyNumberFormat="1" applyFont="1" applyFill="1" applyBorder="1" applyAlignment="1" applyProtection="1">
      <alignment horizontal="right" vertical="center"/>
    </xf>
    <xf numFmtId="164" fontId="61" fillId="0" borderId="6" xfId="4495" applyNumberFormat="1" applyFont="1" applyFill="1" applyBorder="1" applyAlignment="1" applyProtection="1">
      <alignment horizontal="right" vertical="center"/>
    </xf>
    <xf numFmtId="164" fontId="61" fillId="0" borderId="10" xfId="4495" applyNumberFormat="1" applyFont="1" applyFill="1" applyBorder="1" applyAlignment="1" applyProtection="1">
      <alignment horizontal="right" vertical="center"/>
    </xf>
    <xf numFmtId="180" fontId="61" fillId="0" borderId="1" xfId="4495" applyNumberFormat="1" applyFont="1" applyFill="1" applyBorder="1" applyAlignment="1" applyProtection="1">
      <alignment horizontal="center" vertical="center"/>
    </xf>
    <xf numFmtId="180" fontId="61" fillId="0" borderId="2" xfId="4495" applyNumberFormat="1" applyFont="1" applyFill="1" applyBorder="1" applyAlignment="1" applyProtection="1">
      <alignment horizontal="center" vertical="center"/>
    </xf>
    <xf numFmtId="180" fontId="61" fillId="0" borderId="7" xfId="4495" applyNumberFormat="1" applyFont="1" applyFill="1" applyBorder="1" applyAlignment="1" applyProtection="1">
      <alignment horizontal="center" vertical="center"/>
    </xf>
    <xf numFmtId="180" fontId="61" fillId="0" borderId="9" xfId="4495" applyNumberFormat="1" applyFont="1" applyFill="1" applyBorder="1" applyAlignment="1" applyProtection="1">
      <alignment horizontal="center" vertical="center"/>
    </xf>
    <xf numFmtId="180" fontId="61" fillId="0" borderId="6" xfId="4495" applyNumberFormat="1" applyFont="1" applyFill="1" applyBorder="1" applyAlignment="1" applyProtection="1">
      <alignment horizontal="center" vertical="center"/>
    </xf>
    <xf numFmtId="180" fontId="61" fillId="0" borderId="10" xfId="4495" applyNumberFormat="1" applyFont="1" applyFill="1" applyBorder="1" applyAlignment="1" applyProtection="1">
      <alignment horizontal="center" vertical="center"/>
    </xf>
    <xf numFmtId="1" fontId="20" fillId="0" borderId="4" xfId="4495" applyNumberFormat="1" applyFont="1" applyFill="1" applyBorder="1" applyAlignment="1" applyProtection="1">
      <alignment horizontal="center" wrapText="1"/>
    </xf>
    <xf numFmtId="0" fontId="13" fillId="0" borderId="50" xfId="4496" applyFont="1" applyBorder="1" applyAlignment="1" applyProtection="1">
      <alignment horizontal="left" wrapText="1"/>
    </xf>
    <xf numFmtId="0" fontId="13" fillId="0" borderId="51" xfId="4496" applyFont="1" applyBorder="1" applyAlignment="1" applyProtection="1">
      <alignment horizontal="left" wrapText="1"/>
    </xf>
    <xf numFmtId="0" fontId="13" fillId="0" borderId="52" xfId="4496" applyFont="1" applyBorder="1" applyAlignment="1" applyProtection="1">
      <alignment horizontal="left" wrapText="1"/>
    </xf>
    <xf numFmtId="0" fontId="13" fillId="0" borderId="53" xfId="4496" applyFont="1" applyBorder="1" applyAlignment="1" applyProtection="1">
      <alignment horizontal="left" wrapText="1"/>
    </xf>
    <xf numFmtId="0" fontId="13" fillId="0" borderId="0" xfId="4496" applyFont="1" applyBorder="1" applyAlignment="1" applyProtection="1">
      <alignment horizontal="left" wrapText="1"/>
    </xf>
    <xf numFmtId="0" fontId="13" fillId="0" borderId="54" xfId="4496" applyFont="1" applyBorder="1" applyAlignment="1" applyProtection="1">
      <alignment horizontal="left" wrapText="1"/>
    </xf>
    <xf numFmtId="0" fontId="13" fillId="0" borderId="57" xfId="4496" applyFont="1" applyBorder="1" applyAlignment="1" applyProtection="1">
      <alignment horizontal="left" wrapText="1"/>
    </xf>
    <xf numFmtId="0" fontId="13" fillId="0" borderId="58" xfId="4496" applyFont="1" applyBorder="1" applyAlignment="1" applyProtection="1">
      <alignment horizontal="left" wrapText="1"/>
    </xf>
    <xf numFmtId="0" fontId="13" fillId="0" borderId="59" xfId="4496" applyFont="1" applyBorder="1" applyAlignment="1" applyProtection="1">
      <alignment horizontal="left" wrapText="1"/>
    </xf>
    <xf numFmtId="1" fontId="13" fillId="0" borderId="4" xfId="4496" applyNumberFormat="1" applyFont="1" applyFill="1" applyBorder="1" applyAlignment="1" applyProtection="1">
      <alignment horizontal="center"/>
    </xf>
    <xf numFmtId="1" fontId="13" fillId="0" borderId="5" xfId="4496" applyNumberFormat="1" applyFont="1" applyFill="1" applyBorder="1" applyAlignment="1" applyProtection="1">
      <alignment horizontal="center"/>
    </xf>
    <xf numFmtId="49" fontId="19" fillId="3" borderId="2" xfId="4495" applyNumberFormat="1" applyFont="1" applyFill="1" applyBorder="1" applyAlignment="1" applyProtection="1">
      <alignment horizontal="center" vertical="center" wrapText="1"/>
    </xf>
    <xf numFmtId="49" fontId="19" fillId="3" borderId="2" xfId="4495" applyNumberFormat="1" applyFont="1" applyFill="1" applyBorder="1" applyAlignment="1" applyProtection="1">
      <alignment horizontal="center" vertical="center"/>
    </xf>
    <xf numFmtId="49" fontId="19" fillId="3" borderId="0" xfId="4495" applyNumberFormat="1" applyFont="1" applyFill="1" applyBorder="1" applyAlignment="1" applyProtection="1">
      <alignment horizontal="center" vertical="center"/>
    </xf>
    <xf numFmtId="0" fontId="20" fillId="0" borderId="1" xfId="4495" applyFont="1" applyFill="1" applyBorder="1" applyAlignment="1" applyProtection="1">
      <alignment horizontal="center" wrapText="1"/>
    </xf>
    <xf numFmtId="0" fontId="20" fillId="0" borderId="2" xfId="4495" applyFont="1" applyFill="1" applyBorder="1" applyAlignment="1" applyProtection="1">
      <alignment horizontal="center" wrapText="1"/>
    </xf>
    <xf numFmtId="0" fontId="20" fillId="0" borderId="7" xfId="4495" applyFont="1" applyFill="1" applyBorder="1" applyAlignment="1" applyProtection="1">
      <alignment horizontal="center" wrapText="1"/>
    </xf>
    <xf numFmtId="0" fontId="20" fillId="0" borderId="9" xfId="4495" applyFont="1" applyFill="1" applyBorder="1" applyAlignment="1" applyProtection="1">
      <alignment horizontal="center" wrapText="1"/>
    </xf>
    <xf numFmtId="0" fontId="20" fillId="0" borderId="6" xfId="4495" applyFont="1" applyFill="1" applyBorder="1" applyAlignment="1" applyProtection="1">
      <alignment horizontal="center" wrapText="1"/>
    </xf>
    <xf numFmtId="0" fontId="20" fillId="0" borderId="10" xfId="4495" applyFont="1" applyFill="1" applyBorder="1" applyAlignment="1" applyProtection="1">
      <alignment horizontal="center" wrapText="1"/>
    </xf>
    <xf numFmtId="0" fontId="20" fillId="0" borderId="0" xfId="4495" applyFont="1" applyFill="1" applyBorder="1" applyAlignment="1" applyProtection="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pplyProtection="1">
      <alignment horizontal="center"/>
    </xf>
    <xf numFmtId="0" fontId="117" fillId="5" borderId="51" xfId="4495" applyFill="1" applyBorder="1" applyAlignment="1" applyProtection="1">
      <alignment horizontal="center"/>
    </xf>
    <xf numFmtId="0" fontId="117" fillId="0" borderId="53" xfId="4495" applyFill="1" applyBorder="1" applyAlignment="1" applyProtection="1">
      <alignment horizontal="center"/>
    </xf>
    <xf numFmtId="0" fontId="117" fillId="0" borderId="0" xfId="4495" applyFill="1" applyBorder="1" applyAlignment="1" applyProtection="1">
      <alignment horizontal="center"/>
    </xf>
    <xf numFmtId="0" fontId="21" fillId="5" borderId="0" xfId="4495" applyFont="1" applyFill="1" applyBorder="1" applyAlignment="1" applyProtection="1">
      <alignment horizontal="left" vertical="top"/>
    </xf>
    <xf numFmtId="0" fontId="117" fillId="5" borderId="53" xfId="4495" applyFill="1" applyBorder="1" applyAlignment="1" applyProtection="1">
      <alignment horizontal="center"/>
    </xf>
    <xf numFmtId="0" fontId="117" fillId="5" borderId="0" xfId="4495" applyFill="1" applyBorder="1" applyAlignment="1" applyProtection="1">
      <alignment horizontal="center"/>
    </xf>
    <xf numFmtId="0" fontId="21" fillId="0" borderId="0" xfId="4495" applyFont="1" applyFill="1" applyBorder="1" applyAlignment="1" applyProtection="1">
      <alignment horizontal="left" vertical="top" wrapText="1"/>
    </xf>
    <xf numFmtId="0" fontId="21" fillId="0" borderId="58" xfId="4495" applyFont="1" applyFill="1" applyBorder="1" applyAlignment="1" applyProtection="1">
      <alignment horizontal="left" vertical="top" wrapText="1"/>
    </xf>
    <xf numFmtId="0" fontId="21" fillId="5" borderId="58" xfId="4495" applyFont="1" applyFill="1" applyBorder="1" applyAlignment="1" applyProtection="1">
      <alignment horizontal="left"/>
    </xf>
    <xf numFmtId="0" fontId="50" fillId="0" borderId="51" xfId="4495" applyFont="1" applyFill="1" applyBorder="1" applyAlignment="1" applyProtection="1">
      <alignment horizontal="left" vertical="top" wrapText="1"/>
    </xf>
    <xf numFmtId="0" fontId="50" fillId="0" borderId="0" xfId="4495" applyFont="1" applyFill="1" applyBorder="1" applyAlignment="1" applyProtection="1">
      <alignment horizontal="left" vertical="top" wrapText="1"/>
    </xf>
    <xf numFmtId="9" fontId="21" fillId="5" borderId="58" xfId="4495" applyNumberFormat="1" applyFont="1" applyFill="1" applyBorder="1" applyAlignment="1" applyProtection="1">
      <alignment horizontal="left"/>
    </xf>
    <xf numFmtId="0" fontId="117" fillId="5" borderId="55" xfId="4495" applyFill="1" applyBorder="1" applyAlignment="1" applyProtection="1">
      <alignment horizontal="center"/>
    </xf>
    <xf numFmtId="0" fontId="117" fillId="5" borderId="6" xfId="4495" applyFill="1" applyBorder="1" applyAlignment="1" applyProtection="1">
      <alignment horizontal="center"/>
    </xf>
    <xf numFmtId="0" fontId="21" fillId="5" borderId="0" xfId="4495" applyFont="1" applyFill="1" applyBorder="1" applyAlignment="1" applyProtection="1">
      <alignment horizontal="left" vertical="top" wrapText="1"/>
    </xf>
    <xf numFmtId="0" fontId="21" fillId="5" borderId="58" xfId="4495" applyFont="1" applyFill="1" applyBorder="1" applyAlignment="1" applyProtection="1">
      <alignment horizontal="left" vertical="top" wrapText="1"/>
    </xf>
    <xf numFmtId="0" fontId="21" fillId="5" borderId="6" xfId="4495" applyFont="1" applyFill="1" applyBorder="1" applyAlignment="1" applyProtection="1">
      <alignment horizontal="left"/>
    </xf>
    <xf numFmtId="0" fontId="117" fillId="5" borderId="63" xfId="4495" applyFill="1" applyBorder="1" applyAlignment="1" applyProtection="1">
      <alignment horizontal="center"/>
    </xf>
    <xf numFmtId="0" fontId="117" fillId="5" borderId="64" xfId="4495" applyFill="1" applyBorder="1" applyAlignment="1" applyProtection="1">
      <alignment horizontal="center"/>
    </xf>
    <xf numFmtId="0" fontId="21" fillId="0" borderId="58" xfId="4495" applyFont="1" applyBorder="1" applyAlignment="1">
      <alignment horizontal="left" vertical="top" wrapText="1"/>
    </xf>
    <xf numFmtId="0" fontId="20" fillId="0" borderId="51" xfId="4495" applyFont="1" applyBorder="1" applyAlignment="1" applyProtection="1">
      <alignment horizontal="center" vertical="top"/>
    </xf>
    <xf numFmtId="0" fontId="20" fillId="0" borderId="52" xfId="4495" applyFont="1" applyBorder="1" applyAlignment="1" applyProtection="1">
      <alignment horizontal="center" vertical="top"/>
    </xf>
    <xf numFmtId="0" fontId="21" fillId="0" borderId="51" xfId="4495" applyNumberFormat="1" applyFont="1" applyBorder="1" applyAlignment="1">
      <alignment horizontal="left" vertical="top" wrapText="1"/>
    </xf>
    <xf numFmtId="0" fontId="21" fillId="0" borderId="0" xfId="4495" applyNumberFormat="1" applyFont="1" applyBorder="1" applyAlignment="1">
      <alignment horizontal="left" vertical="top" wrapText="1"/>
    </xf>
    <xf numFmtId="0" fontId="50" fillId="0" borderId="51" xfId="4495" applyFont="1" applyBorder="1" applyAlignment="1" applyProtection="1">
      <alignment horizontal="left" wrapText="1"/>
    </xf>
    <xf numFmtId="0" fontId="50" fillId="0" borderId="0" xfId="4495" applyFont="1" applyBorder="1" applyAlignment="1" applyProtection="1">
      <alignment horizontal="left" wrapText="1"/>
    </xf>
    <xf numFmtId="0" fontId="20" fillId="0" borderId="0" xfId="4495" applyFont="1" applyBorder="1" applyAlignment="1" applyProtection="1">
      <alignment horizontal="center" vertical="top"/>
    </xf>
    <xf numFmtId="0" fontId="20" fillId="0" borderId="54" xfId="4495" applyFont="1" applyBorder="1" applyAlignment="1" applyProtection="1">
      <alignment horizontal="center" vertical="top"/>
    </xf>
    <xf numFmtId="0" fontId="127" fillId="0" borderId="0" xfId="4495" applyFont="1" applyAlignment="1">
      <alignment horizontal="left" vertical="center" wrapText="1"/>
    </xf>
    <xf numFmtId="0" fontId="20" fillId="0" borderId="0" xfId="4495" applyFont="1" applyFill="1" applyBorder="1" applyAlignment="1" applyProtection="1">
      <alignment horizontal="left" vertical="top" wrapText="1"/>
    </xf>
    <xf numFmtId="0" fontId="13" fillId="0" borderId="0" xfId="4495" applyFont="1" applyFill="1" applyBorder="1" applyAlignment="1" applyProtection="1">
      <alignment horizontal="left" vertical="top" wrapText="1" shrinkToFit="1"/>
    </xf>
    <xf numFmtId="44" fontId="13" fillId="0" borderId="0" xfId="707" applyFont="1" applyFill="1" applyBorder="1" applyAlignment="1" applyProtection="1">
      <alignment horizontal="left" vertical="top" wrapText="1"/>
    </xf>
    <xf numFmtId="0" fontId="21" fillId="0" borderId="0" xfId="4495" applyFont="1" applyFill="1" applyBorder="1" applyAlignment="1" applyProtection="1">
      <alignment horizontal="center"/>
    </xf>
    <xf numFmtId="0" fontId="13" fillId="5" borderId="6" xfId="4495" applyFont="1" applyFill="1" applyBorder="1" applyAlignment="1" applyProtection="1">
      <alignment horizontal="center"/>
      <protection locked="0"/>
    </xf>
    <xf numFmtId="0" fontId="13" fillId="0" borderId="0" xfId="4495" applyFont="1" applyFill="1" applyBorder="1" applyAlignment="1" applyProtection="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ont="1" applyFill="1" applyBorder="1" applyAlignment="1" applyProtection="1">
      <alignment horizontal="left" vertical="top"/>
      <protection locked="0"/>
    </xf>
    <xf numFmtId="0" fontId="13" fillId="0" borderId="0" xfId="543" applyFont="1" applyAlignment="1" applyProtection="1">
      <alignment horizontal="center"/>
    </xf>
    <xf numFmtId="0" fontId="13" fillId="0" borderId="50" xfId="4495" applyFont="1" applyFill="1" applyBorder="1" applyAlignment="1" applyProtection="1">
      <alignment horizontal="left" vertical="center" wrapText="1"/>
    </xf>
    <xf numFmtId="0" fontId="13" fillId="0" borderId="51" xfId="4495" applyFont="1" applyFill="1" applyBorder="1" applyAlignment="1" applyProtection="1">
      <alignment horizontal="left" vertical="center" wrapText="1"/>
    </xf>
    <xf numFmtId="0" fontId="13" fillId="0" borderId="52" xfId="4495" applyFont="1" applyFill="1" applyBorder="1" applyAlignment="1" applyProtection="1">
      <alignment horizontal="left" vertical="center" wrapText="1"/>
    </xf>
    <xf numFmtId="0" fontId="13" fillId="0" borderId="53" xfId="4495" applyFont="1" applyFill="1" applyBorder="1" applyAlignment="1" applyProtection="1">
      <alignment horizontal="left" vertical="center" wrapText="1"/>
    </xf>
    <xf numFmtId="0" fontId="13" fillId="0" borderId="0" xfId="4495" applyFont="1" applyFill="1" applyBorder="1" applyAlignment="1" applyProtection="1">
      <alignment horizontal="left" vertical="center" wrapText="1"/>
    </xf>
    <xf numFmtId="0" fontId="13" fillId="0" borderId="54" xfId="4495" applyFont="1" applyFill="1" applyBorder="1" applyAlignment="1" applyProtection="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Border="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Border="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3" fillId="0" borderId="53" xfId="4495" applyFont="1" applyFill="1" applyBorder="1" applyAlignment="1" applyProtection="1">
      <alignment horizontal="left" vertical="top" wrapText="1"/>
    </xf>
    <xf numFmtId="0" fontId="13" fillId="0" borderId="54" xfId="4495" applyFont="1" applyFill="1" applyBorder="1" applyAlignment="1" applyProtection="1">
      <alignment horizontal="left" vertical="top" wrapText="1"/>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57" xfId="4495" applyFont="1" applyFill="1" applyBorder="1" applyAlignment="1" applyProtection="1">
      <alignment horizontal="left" vertical="top" wrapText="1"/>
    </xf>
    <xf numFmtId="0" fontId="13" fillId="0" borderId="58" xfId="4495" applyFont="1" applyFill="1" applyBorder="1" applyAlignment="1" applyProtection="1">
      <alignment horizontal="left" vertical="top" wrapText="1"/>
    </xf>
    <xf numFmtId="0" fontId="13" fillId="0" borderId="59" xfId="4495" applyFont="1" applyFill="1" applyBorder="1" applyAlignment="1" applyProtection="1">
      <alignment horizontal="left" vertical="top" wrapText="1"/>
    </xf>
    <xf numFmtId="0" fontId="13" fillId="0" borderId="4" xfId="4496" applyFont="1" applyFill="1" applyBorder="1" applyAlignment="1" applyProtection="1">
      <alignment horizontal="center"/>
    </xf>
    <xf numFmtId="0" fontId="13" fillId="0" borderId="5" xfId="4496" applyFont="1" applyFill="1" applyBorder="1" applyAlignment="1" applyProtection="1">
      <alignment horizontal="center"/>
    </xf>
    <xf numFmtId="0" fontId="13" fillId="0" borderId="50" xfId="4495" applyFont="1" applyFill="1" applyBorder="1" applyAlignment="1" applyProtection="1">
      <alignment horizontal="left" vertical="top" wrapText="1"/>
    </xf>
    <xf numFmtId="0" fontId="13" fillId="0" borderId="51" xfId="4495" applyFont="1" applyFill="1" applyBorder="1" applyAlignment="1" applyProtection="1">
      <alignment horizontal="left" vertical="top" wrapText="1"/>
    </xf>
    <xf numFmtId="0" fontId="13" fillId="0" borderId="52" xfId="4495" applyFont="1" applyFill="1" applyBorder="1" applyAlignment="1" applyProtection="1">
      <alignment horizontal="left" vertical="top" wrapText="1"/>
    </xf>
    <xf numFmtId="0" fontId="20" fillId="0" borderId="0" xfId="4495" applyFont="1" applyFill="1" applyBorder="1" applyProtection="1"/>
    <xf numFmtId="0" fontId="13" fillId="0" borderId="57" xfId="4495" applyFont="1" applyFill="1" applyBorder="1" applyAlignment="1" applyProtection="1">
      <alignment horizontal="left" vertical="center" wrapText="1"/>
    </xf>
    <xf numFmtId="0" fontId="13" fillId="0" borderId="58" xfId="4495" applyFont="1" applyFill="1" applyBorder="1" applyAlignment="1" applyProtection="1">
      <alignment horizontal="left" vertical="center" wrapText="1"/>
    </xf>
    <xf numFmtId="0" fontId="13" fillId="0" borderId="59" xfId="4495" applyFont="1" applyFill="1" applyBorder="1" applyAlignment="1" applyProtection="1">
      <alignment horizontal="left" vertical="center" wrapText="1"/>
    </xf>
    <xf numFmtId="0" fontId="20" fillId="0" borderId="0" xfId="4495" applyFont="1" applyFill="1" applyBorder="1" applyAlignment="1" applyProtection="1">
      <alignment horizontal="left" vertical="top"/>
    </xf>
    <xf numFmtId="0" fontId="117" fillId="0" borderId="0" xfId="4495" applyFill="1" applyBorder="1" applyAlignment="1" applyProtection="1">
      <alignment horizontal="center"/>
      <protection locked="0"/>
    </xf>
    <xf numFmtId="9" fontId="13" fillId="0" borderId="4" xfId="543" applyNumberFormat="1" applyFont="1" applyBorder="1" applyAlignment="1" applyProtection="1">
      <alignment horizontal="center"/>
    </xf>
    <xf numFmtId="168" fontId="13" fillId="0" borderId="6" xfId="4495" applyNumberFormat="1" applyFont="1" applyFill="1" applyBorder="1" applyAlignment="1" applyProtection="1">
      <alignment horizontal="right"/>
    </xf>
    <xf numFmtId="168" fontId="115" fillId="0" borderId="6" xfId="4495" applyNumberFormat="1" applyFont="1" applyFill="1" applyBorder="1" applyAlignment="1" applyProtection="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Font="1" applyBorder="1" applyAlignment="1" applyProtection="1">
      <alignment horizontal="right"/>
    </xf>
    <xf numFmtId="6" fontId="13" fillId="0" borderId="4" xfId="1192" applyNumberFormat="1" applyFont="1" applyBorder="1" applyAlignment="1" applyProtection="1">
      <alignment horizontal="right"/>
    </xf>
    <xf numFmtId="6" fontId="13" fillId="0" borderId="5" xfId="1192" applyNumberFormat="1" applyFont="1" applyBorder="1" applyAlignment="1" applyProtection="1">
      <alignment horizontal="right"/>
    </xf>
    <xf numFmtId="168" fontId="13" fillId="0" borderId="4" xfId="4495" applyNumberFormat="1" applyFont="1" applyFill="1" applyBorder="1" applyAlignment="1" applyProtection="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Font="1" applyBorder="1" applyAlignment="1" applyProtection="1">
      <alignment horizontal="right"/>
    </xf>
    <xf numFmtId="168" fontId="13" fillId="0" borderId="2" xfId="1192" applyNumberFormat="1" applyFont="1" applyBorder="1" applyAlignment="1" applyProtection="1">
      <alignment horizontal="right"/>
    </xf>
    <xf numFmtId="0" fontId="13" fillId="5" borderId="6" xfId="1192" applyFont="1" applyFill="1" applyBorder="1" applyAlignment="1" applyProtection="1">
      <alignment horizontal="left"/>
      <protection locked="0"/>
    </xf>
    <xf numFmtId="165" fontId="13" fillId="0" borderId="0" xfId="1192" applyNumberFormat="1" applyFont="1" applyFill="1" applyAlignment="1" applyProtection="1">
      <alignment horizontal="right"/>
    </xf>
    <xf numFmtId="2" fontId="13" fillId="0" borderId="0" xfId="1192" applyNumberFormat="1" applyFont="1" applyAlignment="1" applyProtection="1">
      <alignment horizontal="right"/>
    </xf>
    <xf numFmtId="1" fontId="13" fillId="0" borderId="3" xfId="4495" applyNumberFormat="1" applyFont="1" applyFill="1" applyBorder="1" applyAlignment="1" applyProtection="1">
      <alignment horizontal="center"/>
    </xf>
    <xf numFmtId="1" fontId="13" fillId="0" borderId="4" xfId="4495" applyNumberFormat="1" applyFont="1" applyFill="1" applyBorder="1" applyAlignment="1" applyProtection="1">
      <alignment horizontal="center"/>
    </xf>
    <xf numFmtId="1" fontId="13" fillId="0" borderId="5" xfId="4495" applyNumberFormat="1" applyFont="1" applyFill="1" applyBorder="1" applyAlignment="1" applyProtection="1">
      <alignment horizontal="center"/>
    </xf>
    <xf numFmtId="0" fontId="21" fillId="5" borderId="6" xfId="4495" applyFont="1" applyFill="1" applyBorder="1" applyAlignment="1" applyProtection="1">
      <alignment horizontal="left"/>
      <protection locked="0"/>
    </xf>
    <xf numFmtId="0" fontId="13" fillId="0" borderId="0" xfId="4495" applyFont="1" applyBorder="1" applyAlignment="1" applyProtection="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11" xfId="4495" applyNumberFormat="1" applyFont="1" applyFill="1" applyBorder="1" applyAlignment="1" applyProtection="1">
      <alignment horizontal="center"/>
    </xf>
    <xf numFmtId="0" fontId="13" fillId="0" borderId="0" xfId="1192" applyFont="1" applyBorder="1" applyAlignment="1" applyProtection="1">
      <alignment horizontal="right"/>
    </xf>
    <xf numFmtId="0" fontId="13" fillId="0" borderId="0" xfId="1192" applyFont="1" applyAlignment="1" applyProtection="1">
      <alignment horizontal="right"/>
    </xf>
    <xf numFmtId="9" fontId="13" fillId="0" borderId="6" xfId="1192" applyNumberFormat="1" applyFont="1" applyFill="1" applyBorder="1" applyAlignment="1" applyProtection="1">
      <alignment horizontal="center"/>
    </xf>
    <xf numFmtId="9" fontId="13" fillId="0" borderId="6" xfId="1192" quotePrefix="1" applyNumberFormat="1" applyFont="1" applyFill="1" applyBorder="1" applyAlignment="1" applyProtection="1">
      <alignment horizontal="center"/>
    </xf>
    <xf numFmtId="9" fontId="13" fillId="0" borderId="0" xfId="1192" quotePrefix="1" applyNumberFormat="1" applyFont="1" applyFill="1" applyBorder="1" applyAlignment="1" applyProtection="1">
      <alignment horizontal="center"/>
    </xf>
    <xf numFmtId="1" fontId="13" fillId="5" borderId="4" xfId="1192" applyNumberFormat="1" applyFon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Fill="1" applyBorder="1" applyAlignment="1">
      <alignment horizontal="center" vertical="top" wrapText="1"/>
    </xf>
    <xf numFmtId="165" fontId="119" fillId="0" borderId="6" xfId="4496" applyNumberFormat="1" applyFont="1" applyFill="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Fill="1" applyBorder="1" applyAlignment="1">
      <alignment horizontal="left" vertical="top" wrapText="1"/>
    </xf>
    <xf numFmtId="0" fontId="119" fillId="0" borderId="51" xfId="4496" applyFont="1" applyFill="1" applyBorder="1" applyAlignment="1">
      <alignment horizontal="left" vertical="top" wrapText="1"/>
    </xf>
    <xf numFmtId="0" fontId="119" fillId="0" borderId="52" xfId="4496" applyFont="1" applyFill="1" applyBorder="1" applyAlignment="1">
      <alignment horizontal="left" vertical="top" wrapText="1"/>
    </xf>
    <xf numFmtId="0" fontId="119" fillId="0" borderId="53" xfId="4496" applyFont="1" applyFill="1" applyBorder="1" applyAlignment="1">
      <alignment horizontal="left" vertical="top" wrapText="1"/>
    </xf>
    <xf numFmtId="0" fontId="119" fillId="0" borderId="0" xfId="4496" applyFont="1" applyFill="1" applyBorder="1" applyAlignment="1">
      <alignment horizontal="left" vertical="top" wrapText="1"/>
    </xf>
    <xf numFmtId="0" fontId="119" fillId="0" borderId="54" xfId="4496" applyFont="1" applyFill="1" applyBorder="1" applyAlignment="1">
      <alignment horizontal="left" vertical="top" wrapText="1"/>
    </xf>
    <xf numFmtId="0" fontId="20" fillId="0" borderId="0" xfId="4495" applyFont="1" applyAlignment="1" applyProtection="1">
      <alignment horizontal="right"/>
    </xf>
    <xf numFmtId="168" fontId="119" fillId="0" borderId="55" xfId="4496" applyNumberFormat="1" applyFont="1" applyFill="1" applyBorder="1" applyAlignment="1">
      <alignment horizontal="center" vertical="top"/>
    </xf>
    <xf numFmtId="168" fontId="119" fillId="0" borderId="6" xfId="4496" applyNumberFormat="1" applyFont="1" applyFill="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Fill="1" applyBorder="1" applyAlignment="1">
      <alignment horizontal="center" vertical="top" wrapText="1"/>
    </xf>
    <xf numFmtId="10" fontId="119" fillId="0" borderId="4" xfId="4496" applyNumberFormat="1" applyFont="1" applyFill="1" applyBorder="1" applyAlignment="1">
      <alignment horizontal="center" vertical="top" wrapText="1"/>
    </xf>
    <xf numFmtId="10" fontId="119" fillId="0" borderId="5" xfId="4496" applyNumberFormat="1" applyFont="1" applyFill="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pplyProtection="1">
      <alignment horizontal="center" vertical="center"/>
    </xf>
    <xf numFmtId="0" fontId="19" fillId="3" borderId="16" xfId="4495" applyFont="1" applyFill="1" applyBorder="1" applyAlignment="1" applyProtection="1">
      <alignment horizontal="center" vertical="center"/>
    </xf>
    <xf numFmtId="0" fontId="20" fillId="0" borderId="48" xfId="4495" applyFont="1" applyFill="1" applyBorder="1" applyAlignment="1" applyProtection="1">
      <alignment horizontal="left" vertical="top"/>
    </xf>
    <xf numFmtId="0" fontId="20" fillId="0" borderId="49" xfId="4495" applyFont="1" applyFill="1" applyBorder="1" applyAlignment="1" applyProtection="1">
      <alignment horizontal="left" vertical="top"/>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Border="1" applyAlignment="1">
      <alignment horizontal="left" vertical="top" wrapText="1"/>
    </xf>
    <xf numFmtId="0" fontId="119" fillId="0" borderId="54" xfId="4496" applyFont="1" applyBorder="1" applyAlignment="1">
      <alignment horizontal="left" vertical="top" wrapText="1"/>
    </xf>
    <xf numFmtId="0" fontId="13" fillId="0" borderId="50" xfId="4495" applyFont="1" applyFill="1" applyBorder="1" applyAlignment="1" applyProtection="1">
      <alignment vertical="center" wrapText="1"/>
    </xf>
    <xf numFmtId="0" fontId="13" fillId="0" borderId="51" xfId="4495" applyFont="1" applyFill="1" applyBorder="1" applyAlignment="1" applyProtection="1">
      <alignment vertical="center" wrapText="1"/>
    </xf>
    <xf numFmtId="0" fontId="13" fillId="0" borderId="52" xfId="4495" applyFont="1" applyFill="1" applyBorder="1" applyAlignment="1" applyProtection="1">
      <alignment vertical="center" wrapText="1"/>
    </xf>
    <xf numFmtId="0" fontId="13" fillId="0" borderId="57" xfId="4495" applyFont="1" applyFill="1" applyBorder="1" applyAlignment="1" applyProtection="1">
      <alignment vertical="center" wrapText="1"/>
    </xf>
    <xf numFmtId="0" fontId="13" fillId="0" borderId="58" xfId="4495" applyFont="1" applyFill="1" applyBorder="1" applyAlignment="1" applyProtection="1">
      <alignment vertical="center" wrapText="1"/>
    </xf>
    <xf numFmtId="0" fontId="13" fillId="0" borderId="59" xfId="4495" applyFont="1" applyFill="1" applyBorder="1" applyAlignment="1" applyProtection="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applyAlignment="1"/>
    <xf numFmtId="0" fontId="119" fillId="0" borderId="48" xfId="4496" applyFont="1" applyBorder="1" applyAlignment="1"/>
    <xf numFmtId="0" fontId="119" fillId="0" borderId="49" xfId="4496" applyFont="1" applyBorder="1" applyAlignment="1"/>
    <xf numFmtId="49" fontId="95" fillId="45" borderId="15" xfId="4496" applyNumberFormat="1" applyFont="1" applyFill="1" applyBorder="1" applyAlignment="1" applyProtection="1">
      <alignment horizontal="center" vertical="center" wrapText="1"/>
    </xf>
    <xf numFmtId="49" fontId="95" fillId="45" borderId="13" xfId="4496" applyNumberFormat="1" applyFont="1" applyFill="1" applyBorder="1" applyAlignment="1" applyProtection="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5" fillId="0" borderId="11" xfId="4496" applyFont="1" applyBorder="1" applyAlignment="1" applyProtection="1">
      <alignment horizontal="left" indent="1"/>
    </xf>
    <xf numFmtId="0" fontId="95" fillId="0" borderId="15" xfId="4496" applyFont="1" applyBorder="1" applyAlignment="1" applyProtection="1">
      <alignment horizontal="left" indent="1"/>
    </xf>
    <xf numFmtId="0" fontId="134" fillId="0" borderId="72" xfId="4496" applyFont="1" applyBorder="1" applyAlignment="1" applyProtection="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Border="1" applyAlignment="1" applyProtection="1">
      <alignment horizontal="center" vertical="center"/>
    </xf>
    <xf numFmtId="0" fontId="134" fillId="45" borderId="3" xfId="4496" applyFont="1" applyFill="1" applyBorder="1" applyAlignment="1" applyProtection="1">
      <alignment horizontal="center" vertical="center"/>
    </xf>
    <xf numFmtId="0" fontId="134" fillId="45" borderId="4" xfId="4496" applyFont="1" applyFill="1" applyBorder="1" applyAlignment="1" applyProtection="1">
      <alignment horizontal="center" vertical="center"/>
    </xf>
    <xf numFmtId="0" fontId="134" fillId="45" borderId="5" xfId="4496" applyFont="1" applyFill="1" applyBorder="1" applyAlignment="1" applyProtection="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1" xfId="4496" applyFont="1" applyFill="1" applyBorder="1" applyAlignment="1" applyProtection="1">
      <alignment horizontal="center" vertical="top" wrapText="1"/>
    </xf>
    <xf numFmtId="0" fontId="134" fillId="0" borderId="90" xfId="4496" applyFont="1" applyFill="1" applyBorder="1" applyAlignment="1" applyProtection="1">
      <alignment horizontal="center" vertical="top" wrapText="1"/>
    </xf>
    <xf numFmtId="0" fontId="95" fillId="0" borderId="72" xfId="4496" applyFont="1" applyBorder="1" applyProtection="1"/>
    <xf numFmtId="0" fontId="95" fillId="0" borderId="75" xfId="4496" applyFont="1" applyBorder="1" applyProtection="1"/>
    <xf numFmtId="0" fontId="95" fillId="0" borderId="11" xfId="4496" applyFont="1" applyBorder="1" applyProtection="1"/>
    <xf numFmtId="0" fontId="95" fillId="0" borderId="92" xfId="4496" applyFont="1" applyBorder="1" applyProtection="1"/>
    <xf numFmtId="0" fontId="95" fillId="0" borderId="81" xfId="4496" applyFont="1" applyBorder="1" applyAlignment="1" applyProtection="1">
      <alignment horizontal="right"/>
    </xf>
    <xf numFmtId="0" fontId="95" fillId="0" borderId="11" xfId="4496" applyFont="1" applyBorder="1" applyAlignment="1" applyProtection="1">
      <alignment horizontal="right"/>
    </xf>
    <xf numFmtId="0" fontId="95" fillId="0" borderId="73" xfId="4496" applyFont="1" applyBorder="1" applyAlignment="1" applyProtection="1">
      <alignment horizontal="right"/>
    </xf>
    <xf numFmtId="0" fontId="95" fillId="0" borderId="74" xfId="4496" applyFont="1" applyBorder="1" applyAlignment="1" applyProtection="1">
      <alignment horizontal="right"/>
    </xf>
    <xf numFmtId="0" fontId="95" fillId="0" borderId="74" xfId="4496" applyFont="1" applyBorder="1" applyProtection="1"/>
    <xf numFmtId="0" fontId="95" fillId="0" borderId="94" xfId="4496" applyFont="1" applyBorder="1" applyProtection="1"/>
    <xf numFmtId="0" fontId="95" fillId="0" borderId="71" xfId="4496" applyFont="1" applyBorder="1" applyAlignment="1" applyProtection="1">
      <alignment horizontal="right"/>
    </xf>
    <xf numFmtId="0" fontId="95" fillId="0" borderId="72" xfId="4496" applyFont="1" applyBorder="1" applyAlignment="1" applyProtection="1">
      <alignment horizontal="right"/>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3" fillId="45" borderId="71"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8" fillId="45" borderId="11" xfId="8723" applyFont="1" applyFill="1" applyBorder="1" applyAlignment="1">
      <alignment horizontal="center"/>
    </xf>
    <xf numFmtId="0" fontId="148" fillId="45" borderId="92" xfId="8723" applyFont="1" applyFill="1" applyBorder="1" applyAlignment="1">
      <alignment horizontal="center"/>
    </xf>
    <xf numFmtId="0" fontId="148"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3" fillId="49" borderId="93" xfId="8723" applyFont="1" applyFill="1" applyBorder="1" applyAlignment="1" applyProtection="1">
      <alignment horizontal="right"/>
      <protection locked="0"/>
    </xf>
    <xf numFmtId="0" fontId="163" fillId="49" borderId="4" xfId="8723" applyFont="1" applyFill="1" applyBorder="1" applyAlignment="1" applyProtection="1">
      <alignment horizontal="right"/>
      <protection locked="0"/>
    </xf>
    <xf numFmtId="0" fontId="163" fillId="49" borderId="5" xfId="8723" applyFont="1" applyFill="1" applyBorder="1" applyAlignment="1" applyProtection="1">
      <alignment horizontal="right"/>
      <protection locked="0"/>
    </xf>
    <xf numFmtId="0" fontId="162" fillId="49" borderId="11" xfId="8723" applyFont="1" applyFill="1" applyBorder="1" applyAlignment="1" applyProtection="1">
      <alignment horizontal="center"/>
      <protection locked="0"/>
    </xf>
    <xf numFmtId="1" fontId="162" fillId="49" borderId="11" xfId="8723" applyNumberFormat="1" applyFont="1" applyFill="1" applyBorder="1" applyAlignment="1" applyProtection="1">
      <alignment horizontal="center"/>
      <protection locked="0"/>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1" fontId="162" fillId="49" borderId="74" xfId="8723" applyNumberFormat="1" applyFont="1" applyFill="1" applyBorder="1" applyAlignment="1" applyProtection="1">
      <alignment horizontal="center"/>
      <protection locked="0"/>
    </xf>
    <xf numFmtId="0" fontId="147" fillId="45" borderId="81" xfId="8723" applyFont="1" applyFill="1" applyBorder="1" applyAlignment="1">
      <alignment horizontal="center"/>
    </xf>
    <xf numFmtId="0" fontId="147" fillId="45" borderId="11" xfId="8723" applyFont="1" applyFill="1" applyBorder="1" applyAlignment="1">
      <alignment horizontal="center"/>
    </xf>
    <xf numFmtId="0" fontId="148" fillId="45" borderId="92" xfId="8723" applyFont="1" applyFill="1" applyBorder="1" applyAlignment="1">
      <alignment horizontal="center" vertical="center" wrapText="1"/>
    </xf>
    <xf numFmtId="1" fontId="148" fillId="44" borderId="74" xfId="8723" applyNumberFormat="1" applyFont="1" applyFill="1" applyBorder="1" applyAlignment="1">
      <alignment horizontal="center"/>
    </xf>
    <xf numFmtId="0" fontId="161" fillId="49" borderId="93" xfId="8723" applyFont="1" applyFill="1" applyBorder="1" applyAlignment="1" applyProtection="1">
      <alignment horizontal="right"/>
      <protection locked="0"/>
    </xf>
    <xf numFmtId="0" fontId="161" fillId="49" borderId="4" xfId="8723" applyFont="1" applyFill="1" applyBorder="1" applyAlignment="1" applyProtection="1">
      <alignment horizontal="right"/>
      <protection locked="0"/>
    </xf>
    <xf numFmtId="0" fontId="161" fillId="49" borderId="5"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6" fillId="49" borderId="90" xfId="8723" applyFont="1" applyFill="1" applyBorder="1" applyAlignment="1" applyProtection="1">
      <alignment horizontal="left"/>
      <protection locked="0"/>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168" fontId="163" fillId="49" borderId="11" xfId="700" applyNumberFormat="1" applyFont="1" applyFill="1" applyBorder="1" applyAlignment="1" applyProtection="1">
      <alignment horizontal="left"/>
      <protection locked="0"/>
    </xf>
    <xf numFmtId="168" fontId="163" fillId="49" borderId="92" xfId="700" applyNumberFormat="1" applyFont="1" applyFill="1" applyBorder="1" applyAlignment="1" applyProtection="1">
      <alignment horizontal="left"/>
      <protection locked="0"/>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61" fillId="49" borderId="81" xfId="8723" applyFont="1" applyFill="1" applyBorder="1" applyAlignment="1" applyProtection="1">
      <alignment horizontal="center"/>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2" fillId="49" borderId="11" xfId="8723" applyFill="1" applyBorder="1" applyAlignment="1" applyProtection="1">
      <alignment horizontal="center"/>
      <protection locked="0"/>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99" fillId="45" borderId="75" xfId="8723" applyFont="1" applyFill="1" applyBorder="1" applyAlignment="1">
      <alignment horizontal="center"/>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99" fillId="45" borderId="75"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61" fillId="49" borderId="81" xfId="8723" applyFont="1" applyFill="1" applyBorder="1" applyAlignment="1" applyProtection="1">
      <alignment horizontal="left" vertical="top" wrapText="1"/>
      <protection locked="0"/>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63" fillId="49" borderId="11" xfId="8723" applyFont="1" applyFill="1" applyBorder="1" applyAlignment="1" applyProtection="1">
      <alignment horizontal="center"/>
      <protection locked="0"/>
    </xf>
    <xf numFmtId="14" fontId="161" fillId="49" borderId="11" xfId="8723" applyNumberFormat="1" applyFont="1" applyFill="1" applyBorder="1" applyAlignment="1" applyProtection="1">
      <alignment horizontal="center"/>
      <protection locked="0"/>
    </xf>
    <xf numFmtId="14" fontId="163" fillId="49" borderId="11" xfId="8723" applyNumberFormat="1" applyFont="1" applyFill="1" applyBorder="1" applyAlignment="1" applyProtection="1">
      <alignment horizontal="center"/>
      <protection locked="0"/>
    </xf>
    <xf numFmtId="0" fontId="99" fillId="45" borderId="92" xfId="8723" applyFont="1" applyFill="1" applyBorder="1" applyAlignment="1">
      <alignment horizontal="center"/>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57" fillId="49" borderId="11" xfId="8723" applyFont="1" applyFill="1" applyBorder="1" applyAlignment="1" applyProtection="1">
      <alignment horizontal="left"/>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143" fillId="45" borderId="75" xfId="8723" applyFont="1" applyFill="1" applyBorder="1" applyAlignment="1">
      <alignment horizontal="left"/>
    </xf>
    <xf numFmtId="0" fontId="161" fillId="45" borderId="81" xfId="8723" applyFont="1" applyFill="1" applyBorder="1" applyAlignment="1">
      <alignment horizontal="right"/>
    </xf>
    <xf numFmtId="0" fontId="161" fillId="45" borderId="11" xfId="8723" applyFont="1" applyFill="1" applyBorder="1" applyAlignment="1">
      <alignment horizontal="right"/>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9"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168" fontId="161" fillId="49" borderId="11" xfId="700" applyNumberFormat="1" applyFont="1" applyFill="1" applyBorder="1" applyAlignment="1" applyProtection="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63" fillId="49" borderId="11"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99" fillId="44" borderId="0" xfId="8723" applyFont="1" applyFill="1" applyAlignment="1">
      <alignment horizontal="left"/>
    </xf>
    <xf numFmtId="0" fontId="1" fillId="49" borderId="68" xfId="8723" applyFont="1"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168" fontId="13" fillId="2" borderId="3" xfId="569" applyNumberFormat="1" applyFill="1" applyBorder="1" applyAlignment="1" applyProtection="1">
      <alignment horizontal="center"/>
    </xf>
    <xf numFmtId="168" fontId="13" fillId="2" borderId="4" xfId="569" applyNumberFormat="1" applyFill="1" applyBorder="1" applyAlignment="1" applyProtection="1">
      <alignment horizontal="center"/>
    </xf>
    <xf numFmtId="168" fontId="13" fillId="2" borderId="5" xfId="569" applyNumberFormat="1" applyFill="1" applyBorder="1" applyAlignment="1" applyProtection="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Fill="1" applyBorder="1" applyAlignment="1">
      <alignment horizontal="center"/>
    </xf>
    <xf numFmtId="168" fontId="13" fillId="0" borderId="11" xfId="569" applyNumberFormat="1" applyFill="1" applyBorder="1" applyAlignment="1">
      <alignment horizontal="center"/>
    </xf>
    <xf numFmtId="168" fontId="13" fillId="0" borderId="3" xfId="569" applyNumberFormat="1" applyFill="1" applyBorder="1" applyAlignment="1">
      <alignment horizontal="center"/>
    </xf>
    <xf numFmtId="168" fontId="13" fillId="0" borderId="4" xfId="569" applyNumberFormat="1" applyFill="1" applyBorder="1" applyAlignment="1">
      <alignment horizontal="center"/>
    </xf>
    <xf numFmtId="179" fontId="20" fillId="0" borderId="0" xfId="569" applyNumberFormat="1" applyFont="1" applyFill="1" applyBorder="1" applyAlignment="1" applyProtection="1">
      <alignment horizontal="center" wrapText="1"/>
    </xf>
    <xf numFmtId="0" fontId="20" fillId="0" borderId="16" xfId="271" applyFont="1" applyFill="1" applyBorder="1" applyAlignment="1" applyProtection="1">
      <alignment horizontal="center"/>
    </xf>
    <xf numFmtId="164" fontId="20" fillId="0" borderId="0" xfId="569" applyNumberFormat="1" applyFont="1" applyFill="1" applyBorder="1" applyAlignment="1" applyProtection="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3" xfId="569" applyFont="1" applyFill="1" applyBorder="1" applyAlignment="1">
      <alignment horizontal="right"/>
    </xf>
    <xf numFmtId="0" fontId="20" fillId="0" borderId="4" xfId="569" applyFont="1" applyFill="1" applyBorder="1" applyAlignment="1">
      <alignment horizontal="right"/>
    </xf>
    <xf numFmtId="0" fontId="20" fillId="0" borderId="5" xfId="569" applyFont="1" applyFill="1" applyBorder="1" applyAlignment="1">
      <alignment horizontal="right"/>
    </xf>
    <xf numFmtId="0" fontId="50" fillId="0" borderId="0" xfId="569" applyFont="1" applyBorder="1" applyAlignment="1">
      <alignment horizontal="left"/>
    </xf>
    <xf numFmtId="0" fontId="13" fillId="0" borderId="3" xfId="569" applyFont="1" applyBorder="1" applyAlignment="1">
      <alignment horizontal="right"/>
    </xf>
    <xf numFmtId="0" fontId="13" fillId="0" borderId="4" xfId="569" applyFont="1" applyBorder="1" applyAlignment="1">
      <alignment horizontal="right"/>
    </xf>
    <xf numFmtId="0" fontId="13" fillId="0" borderId="5" xfId="569" applyFont="1"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5" xfId="569" applyNumberFormat="1" applyFont="1" applyFill="1" applyBorder="1" applyAlignment="1" applyProtection="1">
      <alignment horizontal="center"/>
    </xf>
    <xf numFmtId="168" fontId="13" fillId="0" borderId="11" xfId="569" applyNumberFormat="1" applyFont="1" applyFill="1" applyBorder="1" applyAlignment="1" applyProtection="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168" fontId="13" fillId="0" borderId="3" xfId="569" applyNumberFormat="1" applyFill="1" applyBorder="1" applyAlignment="1">
      <alignment horizontal="right"/>
    </xf>
    <xf numFmtId="168" fontId="13" fillId="0" borderId="4" xfId="569" applyNumberFormat="1" applyFill="1" applyBorder="1" applyAlignment="1">
      <alignment horizontal="right"/>
    </xf>
    <xf numFmtId="168" fontId="13" fillId="0" borderId="5" xfId="569" applyNumberFormat="1" applyFill="1" applyBorder="1" applyAlignment="1">
      <alignment horizontal="right"/>
    </xf>
    <xf numFmtId="9" fontId="13" fillId="0" borderId="5" xfId="569" applyNumberFormat="1" applyFill="1" applyBorder="1" applyAlignment="1" applyProtection="1">
      <alignment horizontal="center"/>
    </xf>
    <xf numFmtId="9" fontId="13" fillId="0" borderId="11" xfId="569" applyNumberFormat="1" applyFill="1" applyBorder="1" applyAlignment="1" applyProtection="1">
      <alignment horizontal="center"/>
    </xf>
    <xf numFmtId="0" fontId="20" fillId="0" borderId="3" xfId="569" applyFont="1" applyFill="1" applyBorder="1" applyAlignment="1">
      <alignment horizontal="left"/>
    </xf>
    <xf numFmtId="0" fontId="20" fillId="0" borderId="4" xfId="569" applyFont="1" applyFill="1" applyBorder="1" applyAlignment="1">
      <alignment horizontal="left"/>
    </xf>
    <xf numFmtId="0" fontId="20" fillId="0" borderId="5" xfId="569" applyFont="1" applyFill="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Fill="1" applyBorder="1" applyAlignment="1">
      <alignment horizontal="center"/>
    </xf>
    <xf numFmtId="168" fontId="13" fillId="0" borderId="1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Fill="1" applyBorder="1" applyAlignment="1">
      <alignment horizontal="center"/>
    </xf>
    <xf numFmtId="5" fontId="13" fillId="0" borderId="11" xfId="569" applyNumberFormat="1" applyFill="1" applyBorder="1" applyAlignment="1">
      <alignment horizontal="center"/>
    </xf>
    <xf numFmtId="5" fontId="13" fillId="0" borderId="3" xfId="569" applyNumberFormat="1" applyFill="1" applyBorder="1" applyAlignment="1">
      <alignment horizontal="center"/>
    </xf>
    <xf numFmtId="5" fontId="13" fillId="0" borderId="4" xfId="569" applyNumberFormat="1" applyFill="1" applyBorder="1" applyAlignment="1">
      <alignment horizontal="center"/>
    </xf>
    <xf numFmtId="9" fontId="13" fillId="0" borderId="9" xfId="569" applyNumberFormat="1" applyFill="1" applyBorder="1" applyAlignment="1">
      <alignment horizontal="center" vertical="center"/>
    </xf>
    <xf numFmtId="9" fontId="13" fillId="0" borderId="6" xfId="569" applyNumberFormat="1" applyFill="1" applyBorder="1" applyAlignment="1">
      <alignment horizontal="center" vertical="center"/>
    </xf>
    <xf numFmtId="9" fontId="13" fillId="0" borderId="10" xfId="569" applyNumberFormat="1" applyFill="1" applyBorder="1" applyAlignment="1">
      <alignment horizontal="center" vertical="center"/>
    </xf>
    <xf numFmtId="168" fontId="13" fillId="0" borderId="5" xfId="569" applyNumberFormat="1" applyFont="1" applyFill="1" applyBorder="1" applyAlignment="1">
      <alignment horizontal="center"/>
    </xf>
    <xf numFmtId="168" fontId="13" fillId="0" borderId="11" xfId="569" applyNumberFormat="1" applyFont="1" applyFill="1" applyBorder="1" applyAlignment="1">
      <alignment horizontal="center"/>
    </xf>
    <xf numFmtId="168" fontId="13" fillId="0" borderId="11" xfId="569" applyNumberFormat="1" applyFill="1" applyBorder="1" applyAlignment="1">
      <alignment horizontal="right"/>
    </xf>
    <xf numFmtId="0" fontId="20" fillId="0" borderId="6" xfId="569" applyFont="1" applyBorder="1" applyAlignment="1">
      <alignment horizontal="center"/>
    </xf>
    <xf numFmtId="168" fontId="13" fillId="0" borderId="3" xfId="569" applyNumberFormat="1" applyFill="1" applyBorder="1" applyAlignment="1" applyProtection="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Border="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Fill="1" applyBorder="1" applyAlignment="1" applyProtection="1">
      <alignment horizontal="center"/>
      <protection locked="0"/>
    </xf>
    <xf numFmtId="168" fontId="13" fillId="0" borderId="11" xfId="569" applyNumberFormat="1" applyFill="1" applyBorder="1" applyAlignment="1"/>
    <xf numFmtId="168" fontId="13" fillId="0" borderId="3" xfId="569" applyNumberFormat="1" applyFill="1" applyBorder="1" applyAlignment="1"/>
    <xf numFmtId="168" fontId="13" fillId="0" borderId="4" xfId="569" applyNumberFormat="1" applyFill="1" applyBorder="1" applyAlignment="1"/>
    <xf numFmtId="168" fontId="13" fillId="0" borderId="5" xfId="569" applyNumberFormat="1" applyFill="1" applyBorder="1" applyAlignment="1"/>
    <xf numFmtId="168" fontId="13" fillId="0" borderId="11" xfId="569" applyNumberFormat="1" applyFill="1" applyBorder="1" applyAlignment="1">
      <alignment wrapText="1"/>
    </xf>
    <xf numFmtId="9" fontId="13" fillId="0" borderId="15" xfId="569" applyNumberFormat="1" applyFill="1" applyBorder="1" applyAlignment="1" applyProtection="1">
      <alignment horizontal="center"/>
    </xf>
    <xf numFmtId="168" fontId="13" fillId="0" borderId="11" xfId="569" applyNumberFormat="1" applyFill="1" applyBorder="1" applyAlignment="1" applyProtection="1">
      <alignment horizontal="center"/>
    </xf>
    <xf numFmtId="0" fontId="13" fillId="0" borderId="11" xfId="569" applyBorder="1" applyAlignment="1">
      <alignment horizontal="center"/>
    </xf>
    <xf numFmtId="0" fontId="104" fillId="0" borderId="0" xfId="0" applyFont="1" applyFill="1" applyBorder="1" applyAlignment="1">
      <alignment horizontal="left" vertical="top" wrapText="1"/>
    </xf>
    <xf numFmtId="0" fontId="18" fillId="0" borderId="6" xfId="271" applyFont="1" applyBorder="1" applyAlignment="1" applyProtection="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7">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2" xfId="171" xr:uid="{00000000-0005-0000-0000-00009C0A0000}"/>
    <cellStyle name="Currency 2 2" xfId="172" xr:uid="{00000000-0005-0000-0000-00009D0A0000}"/>
    <cellStyle name="Currency 2 3" xfId="173" xr:uid="{00000000-0005-0000-0000-00009E0A0000}"/>
    <cellStyle name="Currency 2 3 2" xfId="174" xr:uid="{00000000-0005-0000-0000-00009F0A0000}"/>
    <cellStyle name="Currency 2 3 2 2" xfId="707" xr:uid="{00000000-0005-0000-0000-0000A00A0000}"/>
    <cellStyle name="Currency 2 3 3" xfId="175" xr:uid="{00000000-0005-0000-0000-0000A10A0000}"/>
    <cellStyle name="Currency 2 4" xfId="706" xr:uid="{00000000-0005-0000-0000-0000A20A0000}"/>
    <cellStyle name="Currency 3" xfId="176" xr:uid="{00000000-0005-0000-0000-0000A30A0000}"/>
    <cellStyle name="Currency 3 2" xfId="177" xr:uid="{00000000-0005-0000-0000-0000A40A0000}"/>
    <cellStyle name="Currency 3 2 2" xfId="178" xr:uid="{00000000-0005-0000-0000-0000A50A0000}"/>
    <cellStyle name="Currency 3 2 2 10" xfId="2792" xr:uid="{00000000-0005-0000-0000-0000A60A0000}"/>
    <cellStyle name="Currency 3 2 2 10 2" xfId="7016" xr:uid="{00000000-0005-0000-0000-0000A70A0000}"/>
    <cellStyle name="Currency 3 2 2 11" xfId="4633" xr:uid="{00000000-0005-0000-0000-0000A80A0000}"/>
    <cellStyle name="Currency 3 2 2 2" xfId="179" xr:uid="{00000000-0005-0000-0000-0000A90A0000}"/>
    <cellStyle name="Currency 3 2 2 2 10" xfId="4634" xr:uid="{00000000-0005-0000-0000-0000AA0A0000}"/>
    <cellStyle name="Currency 3 2 2 2 2" xfId="180" xr:uid="{00000000-0005-0000-0000-0000AB0A0000}"/>
    <cellStyle name="Currency 3 2 2 2 2 2" xfId="710" xr:uid="{00000000-0005-0000-0000-0000AC0A0000}"/>
    <cellStyle name="Currency 3 2 2 2 2 2 2" xfId="2971" xr:uid="{00000000-0005-0000-0000-0000AD0A0000}"/>
    <cellStyle name="Currency 3 2 2 2 2 2 2 2" xfId="7194" xr:uid="{00000000-0005-0000-0000-0000AE0A0000}"/>
    <cellStyle name="Currency 3 2 2 2 2 2 3" xfId="5049" xr:uid="{00000000-0005-0000-0000-0000AF0A0000}"/>
    <cellStyle name="Currency 3 2 2 2 2 3" xfId="1153" xr:uid="{00000000-0005-0000-0000-0000B00A0000}"/>
    <cellStyle name="Currency 3 2 2 2 2 3 2" xfId="3384" xr:uid="{00000000-0005-0000-0000-0000B10A0000}"/>
    <cellStyle name="Currency 3 2 2 2 2 3 2 2" xfId="7607" xr:uid="{00000000-0005-0000-0000-0000B20A0000}"/>
    <cellStyle name="Currency 3 2 2 2 2 3 3" xfId="5462" xr:uid="{00000000-0005-0000-0000-0000B30A0000}"/>
    <cellStyle name="Currency 3 2 2 2 2 4" xfId="1567" xr:uid="{00000000-0005-0000-0000-0000B40A0000}"/>
    <cellStyle name="Currency 3 2 2 2 2 4 2" xfId="3797" xr:uid="{00000000-0005-0000-0000-0000B50A0000}"/>
    <cellStyle name="Currency 3 2 2 2 2 4 2 2" xfId="8020" xr:uid="{00000000-0005-0000-0000-0000B60A0000}"/>
    <cellStyle name="Currency 3 2 2 2 2 4 3" xfId="5875" xr:uid="{00000000-0005-0000-0000-0000B70A0000}"/>
    <cellStyle name="Currency 3 2 2 2 2 5" xfId="1981" xr:uid="{00000000-0005-0000-0000-0000B80A0000}"/>
    <cellStyle name="Currency 3 2 2 2 2 5 2" xfId="4210" xr:uid="{00000000-0005-0000-0000-0000B90A0000}"/>
    <cellStyle name="Currency 3 2 2 2 2 5 2 2" xfId="8433" xr:uid="{00000000-0005-0000-0000-0000BA0A0000}"/>
    <cellStyle name="Currency 3 2 2 2 2 5 3" xfId="6288" xr:uid="{00000000-0005-0000-0000-0000BB0A0000}"/>
    <cellStyle name="Currency 3 2 2 2 2 6" xfId="2416" xr:uid="{00000000-0005-0000-0000-0000BC0A0000}"/>
    <cellStyle name="Currency 3 2 2 2 2 6 2" xfId="6701" xr:uid="{00000000-0005-0000-0000-0000BD0A0000}"/>
    <cellStyle name="Currency 3 2 2 2 2 7" xfId="2713" xr:uid="{00000000-0005-0000-0000-0000BE0A0000}"/>
    <cellStyle name="Currency 3 2 2 2 2 8" xfId="2794" xr:uid="{00000000-0005-0000-0000-0000BF0A0000}"/>
    <cellStyle name="Currency 3 2 2 2 2 8 2" xfId="7018" xr:uid="{00000000-0005-0000-0000-0000C00A0000}"/>
    <cellStyle name="Currency 3 2 2 2 2 9" xfId="4635" xr:uid="{00000000-0005-0000-0000-0000C10A0000}"/>
    <cellStyle name="Currency 3 2 2 2 3" xfId="709" xr:uid="{00000000-0005-0000-0000-0000C20A0000}"/>
    <cellStyle name="Currency 3 2 2 2 3 2" xfId="2970" xr:uid="{00000000-0005-0000-0000-0000C30A0000}"/>
    <cellStyle name="Currency 3 2 2 2 3 2 2" xfId="7193" xr:uid="{00000000-0005-0000-0000-0000C40A0000}"/>
    <cellStyle name="Currency 3 2 2 2 3 3" xfId="5048" xr:uid="{00000000-0005-0000-0000-0000C50A0000}"/>
    <cellStyle name="Currency 3 2 2 2 4" xfId="1152" xr:uid="{00000000-0005-0000-0000-0000C60A0000}"/>
    <cellStyle name="Currency 3 2 2 2 4 2" xfId="3383" xr:uid="{00000000-0005-0000-0000-0000C70A0000}"/>
    <cellStyle name="Currency 3 2 2 2 4 2 2" xfId="7606" xr:uid="{00000000-0005-0000-0000-0000C80A0000}"/>
    <cellStyle name="Currency 3 2 2 2 4 3" xfId="5461" xr:uid="{00000000-0005-0000-0000-0000C90A0000}"/>
    <cellStyle name="Currency 3 2 2 2 5" xfId="1566" xr:uid="{00000000-0005-0000-0000-0000CA0A0000}"/>
    <cellStyle name="Currency 3 2 2 2 5 2" xfId="3796" xr:uid="{00000000-0005-0000-0000-0000CB0A0000}"/>
    <cellStyle name="Currency 3 2 2 2 5 2 2" xfId="8019" xr:uid="{00000000-0005-0000-0000-0000CC0A0000}"/>
    <cellStyle name="Currency 3 2 2 2 5 3" xfId="5874" xr:uid="{00000000-0005-0000-0000-0000CD0A0000}"/>
    <cellStyle name="Currency 3 2 2 2 6" xfId="1980" xr:uid="{00000000-0005-0000-0000-0000CE0A0000}"/>
    <cellStyle name="Currency 3 2 2 2 6 2" xfId="4209" xr:uid="{00000000-0005-0000-0000-0000CF0A0000}"/>
    <cellStyle name="Currency 3 2 2 2 6 2 2" xfId="8432" xr:uid="{00000000-0005-0000-0000-0000D00A0000}"/>
    <cellStyle name="Currency 3 2 2 2 6 3" xfId="6287" xr:uid="{00000000-0005-0000-0000-0000D10A0000}"/>
    <cellStyle name="Currency 3 2 2 2 7" xfId="2415" xr:uid="{00000000-0005-0000-0000-0000D20A0000}"/>
    <cellStyle name="Currency 3 2 2 2 7 2" xfId="6700" xr:uid="{00000000-0005-0000-0000-0000D30A0000}"/>
    <cellStyle name="Currency 3 2 2 2 8" xfId="2712" xr:uid="{00000000-0005-0000-0000-0000D40A0000}"/>
    <cellStyle name="Currency 3 2 2 2 9" xfId="2793" xr:uid="{00000000-0005-0000-0000-0000D50A0000}"/>
    <cellStyle name="Currency 3 2 2 2 9 2" xfId="7017" xr:uid="{00000000-0005-0000-0000-0000D60A0000}"/>
    <cellStyle name="Currency 3 2 2 3" xfId="181" xr:uid="{00000000-0005-0000-0000-0000D70A0000}"/>
    <cellStyle name="Currency 3 2 2 3 2" xfId="711" xr:uid="{00000000-0005-0000-0000-0000D80A0000}"/>
    <cellStyle name="Currency 3 2 2 3 2 2" xfId="2972" xr:uid="{00000000-0005-0000-0000-0000D90A0000}"/>
    <cellStyle name="Currency 3 2 2 3 2 2 2" xfId="7195" xr:uid="{00000000-0005-0000-0000-0000DA0A0000}"/>
    <cellStyle name="Currency 3 2 2 3 2 3" xfId="5050" xr:uid="{00000000-0005-0000-0000-0000DB0A0000}"/>
    <cellStyle name="Currency 3 2 2 3 3" xfId="1154" xr:uid="{00000000-0005-0000-0000-0000DC0A0000}"/>
    <cellStyle name="Currency 3 2 2 3 3 2" xfId="3385" xr:uid="{00000000-0005-0000-0000-0000DD0A0000}"/>
    <cellStyle name="Currency 3 2 2 3 3 2 2" xfId="7608" xr:uid="{00000000-0005-0000-0000-0000DE0A0000}"/>
    <cellStyle name="Currency 3 2 2 3 3 3" xfId="5463" xr:uid="{00000000-0005-0000-0000-0000DF0A0000}"/>
    <cellStyle name="Currency 3 2 2 3 4" xfId="1568" xr:uid="{00000000-0005-0000-0000-0000E00A0000}"/>
    <cellStyle name="Currency 3 2 2 3 4 2" xfId="3798" xr:uid="{00000000-0005-0000-0000-0000E10A0000}"/>
    <cellStyle name="Currency 3 2 2 3 4 2 2" xfId="8021" xr:uid="{00000000-0005-0000-0000-0000E20A0000}"/>
    <cellStyle name="Currency 3 2 2 3 4 3" xfId="5876" xr:uid="{00000000-0005-0000-0000-0000E30A0000}"/>
    <cellStyle name="Currency 3 2 2 3 5" xfId="1982" xr:uid="{00000000-0005-0000-0000-0000E40A0000}"/>
    <cellStyle name="Currency 3 2 2 3 5 2" xfId="4211" xr:uid="{00000000-0005-0000-0000-0000E50A0000}"/>
    <cellStyle name="Currency 3 2 2 3 5 2 2" xfId="8434" xr:uid="{00000000-0005-0000-0000-0000E60A0000}"/>
    <cellStyle name="Currency 3 2 2 3 5 3" xfId="6289" xr:uid="{00000000-0005-0000-0000-0000E70A0000}"/>
    <cellStyle name="Currency 3 2 2 3 6" xfId="2417" xr:uid="{00000000-0005-0000-0000-0000E80A0000}"/>
    <cellStyle name="Currency 3 2 2 3 6 2" xfId="6702" xr:uid="{00000000-0005-0000-0000-0000E90A0000}"/>
    <cellStyle name="Currency 3 2 2 3 7" xfId="2714" xr:uid="{00000000-0005-0000-0000-0000EA0A0000}"/>
    <cellStyle name="Currency 3 2 2 3 8" xfId="2795" xr:uid="{00000000-0005-0000-0000-0000EB0A0000}"/>
    <cellStyle name="Currency 3 2 2 3 8 2" xfId="7019" xr:uid="{00000000-0005-0000-0000-0000EC0A0000}"/>
    <cellStyle name="Currency 3 2 2 3 9" xfId="4636" xr:uid="{00000000-0005-0000-0000-0000ED0A0000}"/>
    <cellStyle name="Currency 3 2 2 4" xfId="708" xr:uid="{00000000-0005-0000-0000-0000EE0A0000}"/>
    <cellStyle name="Currency 3 2 2 4 2" xfId="2969" xr:uid="{00000000-0005-0000-0000-0000EF0A0000}"/>
    <cellStyle name="Currency 3 2 2 4 2 2" xfId="7192" xr:uid="{00000000-0005-0000-0000-0000F00A0000}"/>
    <cellStyle name="Currency 3 2 2 4 3" xfId="5047" xr:uid="{00000000-0005-0000-0000-0000F10A0000}"/>
    <cellStyle name="Currency 3 2 2 5" xfId="1151" xr:uid="{00000000-0005-0000-0000-0000F20A0000}"/>
    <cellStyle name="Currency 3 2 2 5 2" xfId="3382" xr:uid="{00000000-0005-0000-0000-0000F30A0000}"/>
    <cellStyle name="Currency 3 2 2 5 2 2" xfId="7605" xr:uid="{00000000-0005-0000-0000-0000F40A0000}"/>
    <cellStyle name="Currency 3 2 2 5 3" xfId="5460" xr:uid="{00000000-0005-0000-0000-0000F50A0000}"/>
    <cellStyle name="Currency 3 2 2 6" xfId="1565" xr:uid="{00000000-0005-0000-0000-0000F60A0000}"/>
    <cellStyle name="Currency 3 2 2 6 2" xfId="3795" xr:uid="{00000000-0005-0000-0000-0000F70A0000}"/>
    <cellStyle name="Currency 3 2 2 6 2 2" xfId="8018" xr:uid="{00000000-0005-0000-0000-0000F80A0000}"/>
    <cellStyle name="Currency 3 2 2 6 3" xfId="5873" xr:uid="{00000000-0005-0000-0000-0000F90A0000}"/>
    <cellStyle name="Currency 3 2 2 7" xfId="1979" xr:uid="{00000000-0005-0000-0000-0000FA0A0000}"/>
    <cellStyle name="Currency 3 2 2 7 2" xfId="4208" xr:uid="{00000000-0005-0000-0000-0000FB0A0000}"/>
    <cellStyle name="Currency 3 2 2 7 2 2" xfId="8431" xr:uid="{00000000-0005-0000-0000-0000FC0A0000}"/>
    <cellStyle name="Currency 3 2 2 7 3" xfId="6286" xr:uid="{00000000-0005-0000-0000-0000FD0A0000}"/>
    <cellStyle name="Currency 3 2 2 8" xfId="2414" xr:uid="{00000000-0005-0000-0000-0000FE0A0000}"/>
    <cellStyle name="Currency 3 2 2 8 2" xfId="6699" xr:uid="{00000000-0005-0000-0000-0000FF0A0000}"/>
    <cellStyle name="Currency 3 2 2 9" xfId="2711" xr:uid="{00000000-0005-0000-0000-0000000B0000}"/>
    <cellStyle name="Currency 3 2 3" xfId="182" xr:uid="{00000000-0005-0000-0000-0000010B0000}"/>
    <cellStyle name="Currency 3 2 3 10" xfId="4637" xr:uid="{00000000-0005-0000-0000-0000020B0000}"/>
    <cellStyle name="Currency 3 2 3 2" xfId="183" xr:uid="{00000000-0005-0000-0000-0000030B0000}"/>
    <cellStyle name="Currency 3 2 3 2 2" xfId="713" xr:uid="{00000000-0005-0000-0000-0000040B0000}"/>
    <cellStyle name="Currency 3 2 3 2 2 2" xfId="2974" xr:uid="{00000000-0005-0000-0000-0000050B0000}"/>
    <cellStyle name="Currency 3 2 3 2 2 2 2" xfId="7197" xr:uid="{00000000-0005-0000-0000-0000060B0000}"/>
    <cellStyle name="Currency 3 2 3 2 2 3" xfId="5052" xr:uid="{00000000-0005-0000-0000-0000070B0000}"/>
    <cellStyle name="Currency 3 2 3 2 3" xfId="1156" xr:uid="{00000000-0005-0000-0000-0000080B0000}"/>
    <cellStyle name="Currency 3 2 3 2 3 2" xfId="3387" xr:uid="{00000000-0005-0000-0000-0000090B0000}"/>
    <cellStyle name="Currency 3 2 3 2 3 2 2" xfId="7610" xr:uid="{00000000-0005-0000-0000-00000A0B0000}"/>
    <cellStyle name="Currency 3 2 3 2 3 3" xfId="5465" xr:uid="{00000000-0005-0000-0000-00000B0B0000}"/>
    <cellStyle name="Currency 3 2 3 2 4" xfId="1570" xr:uid="{00000000-0005-0000-0000-00000C0B0000}"/>
    <cellStyle name="Currency 3 2 3 2 4 2" xfId="3800" xr:uid="{00000000-0005-0000-0000-00000D0B0000}"/>
    <cellStyle name="Currency 3 2 3 2 4 2 2" xfId="8023" xr:uid="{00000000-0005-0000-0000-00000E0B0000}"/>
    <cellStyle name="Currency 3 2 3 2 4 3" xfId="5878" xr:uid="{00000000-0005-0000-0000-00000F0B0000}"/>
    <cellStyle name="Currency 3 2 3 2 5" xfId="1984" xr:uid="{00000000-0005-0000-0000-0000100B0000}"/>
    <cellStyle name="Currency 3 2 3 2 5 2" xfId="4213" xr:uid="{00000000-0005-0000-0000-0000110B0000}"/>
    <cellStyle name="Currency 3 2 3 2 5 2 2" xfId="8436" xr:uid="{00000000-0005-0000-0000-0000120B0000}"/>
    <cellStyle name="Currency 3 2 3 2 5 3" xfId="6291" xr:uid="{00000000-0005-0000-0000-0000130B0000}"/>
    <cellStyle name="Currency 3 2 3 2 6" xfId="2419" xr:uid="{00000000-0005-0000-0000-0000140B0000}"/>
    <cellStyle name="Currency 3 2 3 2 6 2" xfId="6704" xr:uid="{00000000-0005-0000-0000-0000150B0000}"/>
    <cellStyle name="Currency 3 2 3 2 7" xfId="2716" xr:uid="{00000000-0005-0000-0000-0000160B0000}"/>
    <cellStyle name="Currency 3 2 3 2 8" xfId="2797" xr:uid="{00000000-0005-0000-0000-0000170B0000}"/>
    <cellStyle name="Currency 3 2 3 2 8 2" xfId="7021" xr:uid="{00000000-0005-0000-0000-0000180B0000}"/>
    <cellStyle name="Currency 3 2 3 2 9" xfId="4638" xr:uid="{00000000-0005-0000-0000-0000190B0000}"/>
    <cellStyle name="Currency 3 2 3 3" xfId="712" xr:uid="{00000000-0005-0000-0000-00001A0B0000}"/>
    <cellStyle name="Currency 3 2 3 3 2" xfId="2973" xr:uid="{00000000-0005-0000-0000-00001B0B0000}"/>
    <cellStyle name="Currency 3 2 3 3 2 2" xfId="7196" xr:uid="{00000000-0005-0000-0000-00001C0B0000}"/>
    <cellStyle name="Currency 3 2 3 3 3" xfId="5051" xr:uid="{00000000-0005-0000-0000-00001D0B0000}"/>
    <cellStyle name="Currency 3 2 3 4" xfId="1155" xr:uid="{00000000-0005-0000-0000-00001E0B0000}"/>
    <cellStyle name="Currency 3 2 3 4 2" xfId="3386" xr:uid="{00000000-0005-0000-0000-00001F0B0000}"/>
    <cellStyle name="Currency 3 2 3 4 2 2" xfId="7609" xr:uid="{00000000-0005-0000-0000-0000200B0000}"/>
    <cellStyle name="Currency 3 2 3 4 3" xfId="5464" xr:uid="{00000000-0005-0000-0000-0000210B0000}"/>
    <cellStyle name="Currency 3 2 3 5" xfId="1569" xr:uid="{00000000-0005-0000-0000-0000220B0000}"/>
    <cellStyle name="Currency 3 2 3 5 2" xfId="3799" xr:uid="{00000000-0005-0000-0000-0000230B0000}"/>
    <cellStyle name="Currency 3 2 3 5 2 2" xfId="8022" xr:uid="{00000000-0005-0000-0000-0000240B0000}"/>
    <cellStyle name="Currency 3 2 3 5 3" xfId="5877" xr:uid="{00000000-0005-0000-0000-0000250B0000}"/>
    <cellStyle name="Currency 3 2 3 6" xfId="1983" xr:uid="{00000000-0005-0000-0000-0000260B0000}"/>
    <cellStyle name="Currency 3 2 3 6 2" xfId="4212" xr:uid="{00000000-0005-0000-0000-0000270B0000}"/>
    <cellStyle name="Currency 3 2 3 6 2 2" xfId="8435" xr:uid="{00000000-0005-0000-0000-0000280B0000}"/>
    <cellStyle name="Currency 3 2 3 6 3" xfId="6290" xr:uid="{00000000-0005-0000-0000-0000290B0000}"/>
    <cellStyle name="Currency 3 2 3 7" xfId="2418" xr:uid="{00000000-0005-0000-0000-00002A0B0000}"/>
    <cellStyle name="Currency 3 2 3 7 2" xfId="6703" xr:uid="{00000000-0005-0000-0000-00002B0B0000}"/>
    <cellStyle name="Currency 3 2 3 8" xfId="2715" xr:uid="{00000000-0005-0000-0000-00002C0B0000}"/>
    <cellStyle name="Currency 3 2 3 9" xfId="2796" xr:uid="{00000000-0005-0000-0000-00002D0B0000}"/>
    <cellStyle name="Currency 3 2 3 9 2" xfId="7020" xr:uid="{00000000-0005-0000-0000-00002E0B0000}"/>
    <cellStyle name="Currency 3 2 4" xfId="184" xr:uid="{00000000-0005-0000-0000-00002F0B0000}"/>
    <cellStyle name="Currency 3 2 4 2" xfId="714" xr:uid="{00000000-0005-0000-0000-0000300B0000}"/>
    <cellStyle name="Currency 3 2 4 2 2" xfId="2975" xr:uid="{00000000-0005-0000-0000-0000310B0000}"/>
    <cellStyle name="Currency 3 2 4 2 2 2" xfId="7198" xr:uid="{00000000-0005-0000-0000-0000320B0000}"/>
    <cellStyle name="Currency 3 2 4 2 3" xfId="5053" xr:uid="{00000000-0005-0000-0000-0000330B0000}"/>
    <cellStyle name="Currency 3 2 4 3" xfId="1157" xr:uid="{00000000-0005-0000-0000-0000340B0000}"/>
    <cellStyle name="Currency 3 2 4 3 2" xfId="3388" xr:uid="{00000000-0005-0000-0000-0000350B0000}"/>
    <cellStyle name="Currency 3 2 4 3 2 2" xfId="7611" xr:uid="{00000000-0005-0000-0000-0000360B0000}"/>
    <cellStyle name="Currency 3 2 4 3 3" xfId="5466" xr:uid="{00000000-0005-0000-0000-0000370B0000}"/>
    <cellStyle name="Currency 3 2 4 4" xfId="1571" xr:uid="{00000000-0005-0000-0000-0000380B0000}"/>
    <cellStyle name="Currency 3 2 4 4 2" xfId="3801" xr:uid="{00000000-0005-0000-0000-0000390B0000}"/>
    <cellStyle name="Currency 3 2 4 4 2 2" xfId="8024" xr:uid="{00000000-0005-0000-0000-00003A0B0000}"/>
    <cellStyle name="Currency 3 2 4 4 3" xfId="5879" xr:uid="{00000000-0005-0000-0000-00003B0B0000}"/>
    <cellStyle name="Currency 3 2 4 5" xfId="1985" xr:uid="{00000000-0005-0000-0000-00003C0B0000}"/>
    <cellStyle name="Currency 3 2 4 5 2" xfId="4214" xr:uid="{00000000-0005-0000-0000-00003D0B0000}"/>
    <cellStyle name="Currency 3 2 4 5 2 2" xfId="8437" xr:uid="{00000000-0005-0000-0000-00003E0B0000}"/>
    <cellStyle name="Currency 3 2 4 5 3" xfId="6292" xr:uid="{00000000-0005-0000-0000-00003F0B0000}"/>
    <cellStyle name="Currency 3 2 4 6" xfId="2420" xr:uid="{00000000-0005-0000-0000-0000400B0000}"/>
    <cellStyle name="Currency 3 2 4 6 2" xfId="6705" xr:uid="{00000000-0005-0000-0000-0000410B0000}"/>
    <cellStyle name="Currency 3 2 4 7" xfId="2717" xr:uid="{00000000-0005-0000-0000-0000420B0000}"/>
    <cellStyle name="Currency 3 2 4 8" xfId="2798" xr:uid="{00000000-0005-0000-0000-0000430B0000}"/>
    <cellStyle name="Currency 3 2 4 8 2" xfId="7022" xr:uid="{00000000-0005-0000-0000-0000440B0000}"/>
    <cellStyle name="Currency 3 2 4 9" xfId="4639" xr:uid="{00000000-0005-0000-0000-0000450B0000}"/>
    <cellStyle name="Currency 3 2 5" xfId="185" xr:uid="{00000000-0005-0000-0000-0000460B0000}"/>
    <cellStyle name="Currency 3 2 5 2" xfId="715" xr:uid="{00000000-0005-0000-0000-0000470B0000}"/>
    <cellStyle name="Currency 3 2 5 2 2" xfId="2976" xr:uid="{00000000-0005-0000-0000-0000480B0000}"/>
    <cellStyle name="Currency 3 2 5 2 2 2" xfId="7199" xr:uid="{00000000-0005-0000-0000-0000490B0000}"/>
    <cellStyle name="Currency 3 2 5 2 3" xfId="5054" xr:uid="{00000000-0005-0000-0000-00004A0B0000}"/>
    <cellStyle name="Currency 3 2 5 3" xfId="1158" xr:uid="{00000000-0005-0000-0000-00004B0B0000}"/>
    <cellStyle name="Currency 3 2 5 3 2" xfId="3389" xr:uid="{00000000-0005-0000-0000-00004C0B0000}"/>
    <cellStyle name="Currency 3 2 5 3 2 2" xfId="7612" xr:uid="{00000000-0005-0000-0000-00004D0B0000}"/>
    <cellStyle name="Currency 3 2 5 3 3" xfId="5467" xr:uid="{00000000-0005-0000-0000-00004E0B0000}"/>
    <cellStyle name="Currency 3 2 5 4" xfId="1572" xr:uid="{00000000-0005-0000-0000-00004F0B0000}"/>
    <cellStyle name="Currency 3 2 5 4 2" xfId="3802" xr:uid="{00000000-0005-0000-0000-0000500B0000}"/>
    <cellStyle name="Currency 3 2 5 4 2 2" xfId="8025" xr:uid="{00000000-0005-0000-0000-0000510B0000}"/>
    <cellStyle name="Currency 3 2 5 4 3" xfId="5880" xr:uid="{00000000-0005-0000-0000-0000520B0000}"/>
    <cellStyle name="Currency 3 2 5 5" xfId="1986" xr:uid="{00000000-0005-0000-0000-0000530B0000}"/>
    <cellStyle name="Currency 3 2 5 5 2" xfId="4215" xr:uid="{00000000-0005-0000-0000-0000540B0000}"/>
    <cellStyle name="Currency 3 2 5 5 2 2" xfId="8438" xr:uid="{00000000-0005-0000-0000-0000550B0000}"/>
    <cellStyle name="Currency 3 2 5 5 3" xfId="6293" xr:uid="{00000000-0005-0000-0000-0000560B0000}"/>
    <cellStyle name="Currency 3 2 5 6" xfId="2421" xr:uid="{00000000-0005-0000-0000-0000570B0000}"/>
    <cellStyle name="Currency 3 2 5 6 2" xfId="6706" xr:uid="{00000000-0005-0000-0000-0000580B0000}"/>
    <cellStyle name="Currency 3 2 5 7" xfId="2718" xr:uid="{00000000-0005-0000-0000-0000590B0000}"/>
    <cellStyle name="Currency 3 2 5 8" xfId="2799" xr:uid="{00000000-0005-0000-0000-00005A0B0000}"/>
    <cellStyle name="Currency 3 2 5 8 2" xfId="7023" xr:uid="{00000000-0005-0000-0000-00005B0B0000}"/>
    <cellStyle name="Currency 3 2 5 9" xfId="4640" xr:uid="{00000000-0005-0000-0000-00005C0B0000}"/>
    <cellStyle name="Currency 3 3" xfId="186" xr:uid="{00000000-0005-0000-0000-00005D0B0000}"/>
    <cellStyle name="Currency 4" xfId="187" xr:uid="{00000000-0005-0000-0000-00005E0B0000}"/>
    <cellStyle name="Currency 4 2" xfId="188" xr:uid="{00000000-0005-0000-0000-00005F0B0000}"/>
    <cellStyle name="Currency 4 2 2" xfId="717" xr:uid="{00000000-0005-0000-0000-0000600B0000}"/>
    <cellStyle name="Currency 4 3" xfId="189" xr:uid="{00000000-0005-0000-0000-0000610B0000}"/>
    <cellStyle name="Currency 4 3 2" xfId="190" xr:uid="{00000000-0005-0000-0000-0000620B0000}"/>
    <cellStyle name="Currency 4 3 2 2" xfId="719" xr:uid="{00000000-0005-0000-0000-0000630B0000}"/>
    <cellStyle name="Currency 4 3 3" xfId="718" xr:uid="{00000000-0005-0000-0000-0000640B0000}"/>
    <cellStyle name="Currency 4 4" xfId="191" xr:uid="{00000000-0005-0000-0000-0000650B0000}"/>
    <cellStyle name="Currency 4 5" xfId="192" xr:uid="{00000000-0005-0000-0000-0000660B0000}"/>
    <cellStyle name="Currency 4 5 2" xfId="720" xr:uid="{00000000-0005-0000-0000-0000670B0000}"/>
    <cellStyle name="Currency 4 6" xfId="716" xr:uid="{00000000-0005-0000-0000-0000680B0000}"/>
    <cellStyle name="Currency 5" xfId="193" xr:uid="{00000000-0005-0000-0000-0000690B0000}"/>
    <cellStyle name="Currency 5 2" xfId="194" xr:uid="{00000000-0005-0000-0000-00006A0B0000}"/>
    <cellStyle name="Currency 5 2 2" xfId="195" xr:uid="{00000000-0005-0000-0000-00006B0B0000}"/>
    <cellStyle name="Currency 5 2 2 2" xfId="196" xr:uid="{00000000-0005-0000-0000-00006C0B0000}"/>
    <cellStyle name="Currency 5 2 2 2 10" xfId="2800" xr:uid="{00000000-0005-0000-0000-00006D0B0000}"/>
    <cellStyle name="Currency 5 2 2 2 10 2" xfId="7024" xr:uid="{00000000-0005-0000-0000-00006E0B0000}"/>
    <cellStyle name="Currency 5 2 2 2 11" xfId="4641" xr:uid="{00000000-0005-0000-0000-00006F0B0000}"/>
    <cellStyle name="Currency 5 2 2 2 2" xfId="197" xr:uid="{00000000-0005-0000-0000-0000700B0000}"/>
    <cellStyle name="Currency 5 2 2 2 2 10" xfId="4642" xr:uid="{00000000-0005-0000-0000-0000710B0000}"/>
    <cellStyle name="Currency 5 2 2 2 2 2" xfId="198" xr:uid="{00000000-0005-0000-0000-0000720B0000}"/>
    <cellStyle name="Currency 5 2 2 2 2 2 2" xfId="725" xr:uid="{00000000-0005-0000-0000-0000730B0000}"/>
    <cellStyle name="Currency 5 2 2 2 2 2 2 2" xfId="2979" xr:uid="{00000000-0005-0000-0000-0000740B0000}"/>
    <cellStyle name="Currency 5 2 2 2 2 2 2 2 2" xfId="7202" xr:uid="{00000000-0005-0000-0000-0000750B0000}"/>
    <cellStyle name="Currency 5 2 2 2 2 2 2 3" xfId="5057" xr:uid="{00000000-0005-0000-0000-0000760B0000}"/>
    <cellStyle name="Currency 5 2 2 2 2 2 3" xfId="1161" xr:uid="{00000000-0005-0000-0000-0000770B0000}"/>
    <cellStyle name="Currency 5 2 2 2 2 2 3 2" xfId="3392" xr:uid="{00000000-0005-0000-0000-0000780B0000}"/>
    <cellStyle name="Currency 5 2 2 2 2 2 3 2 2" xfId="7615" xr:uid="{00000000-0005-0000-0000-0000790B0000}"/>
    <cellStyle name="Currency 5 2 2 2 2 2 3 3" xfId="5470" xr:uid="{00000000-0005-0000-0000-00007A0B0000}"/>
    <cellStyle name="Currency 5 2 2 2 2 2 4" xfId="1575" xr:uid="{00000000-0005-0000-0000-00007B0B0000}"/>
    <cellStyle name="Currency 5 2 2 2 2 2 4 2" xfId="3805" xr:uid="{00000000-0005-0000-0000-00007C0B0000}"/>
    <cellStyle name="Currency 5 2 2 2 2 2 4 2 2" xfId="8028" xr:uid="{00000000-0005-0000-0000-00007D0B0000}"/>
    <cellStyle name="Currency 5 2 2 2 2 2 4 3" xfId="5883" xr:uid="{00000000-0005-0000-0000-00007E0B0000}"/>
    <cellStyle name="Currency 5 2 2 2 2 2 5" xfId="1989" xr:uid="{00000000-0005-0000-0000-00007F0B0000}"/>
    <cellStyle name="Currency 5 2 2 2 2 2 5 2" xfId="4218" xr:uid="{00000000-0005-0000-0000-0000800B0000}"/>
    <cellStyle name="Currency 5 2 2 2 2 2 5 2 2" xfId="8441" xr:uid="{00000000-0005-0000-0000-0000810B0000}"/>
    <cellStyle name="Currency 5 2 2 2 2 2 5 3" xfId="6296" xr:uid="{00000000-0005-0000-0000-0000820B0000}"/>
    <cellStyle name="Currency 5 2 2 2 2 2 6" xfId="2424" xr:uid="{00000000-0005-0000-0000-0000830B0000}"/>
    <cellStyle name="Currency 5 2 2 2 2 2 6 2" xfId="6709" xr:uid="{00000000-0005-0000-0000-0000840B0000}"/>
    <cellStyle name="Currency 5 2 2 2 2 2 7" xfId="2721" xr:uid="{00000000-0005-0000-0000-0000850B0000}"/>
    <cellStyle name="Currency 5 2 2 2 2 2 8" xfId="2802" xr:uid="{00000000-0005-0000-0000-0000860B0000}"/>
    <cellStyle name="Currency 5 2 2 2 2 2 8 2" xfId="7026" xr:uid="{00000000-0005-0000-0000-0000870B0000}"/>
    <cellStyle name="Currency 5 2 2 2 2 2 9" xfId="4643" xr:uid="{00000000-0005-0000-0000-0000880B0000}"/>
    <cellStyle name="Currency 5 2 2 2 2 3" xfId="724" xr:uid="{00000000-0005-0000-0000-0000890B0000}"/>
    <cellStyle name="Currency 5 2 2 2 2 3 2" xfId="2978" xr:uid="{00000000-0005-0000-0000-00008A0B0000}"/>
    <cellStyle name="Currency 5 2 2 2 2 3 2 2" xfId="7201" xr:uid="{00000000-0005-0000-0000-00008B0B0000}"/>
    <cellStyle name="Currency 5 2 2 2 2 3 3" xfId="5056" xr:uid="{00000000-0005-0000-0000-00008C0B0000}"/>
    <cellStyle name="Currency 5 2 2 2 2 4" xfId="1160" xr:uid="{00000000-0005-0000-0000-00008D0B0000}"/>
    <cellStyle name="Currency 5 2 2 2 2 4 2" xfId="3391" xr:uid="{00000000-0005-0000-0000-00008E0B0000}"/>
    <cellStyle name="Currency 5 2 2 2 2 4 2 2" xfId="7614" xr:uid="{00000000-0005-0000-0000-00008F0B0000}"/>
    <cellStyle name="Currency 5 2 2 2 2 4 3" xfId="5469" xr:uid="{00000000-0005-0000-0000-0000900B0000}"/>
    <cellStyle name="Currency 5 2 2 2 2 5" xfId="1574" xr:uid="{00000000-0005-0000-0000-0000910B0000}"/>
    <cellStyle name="Currency 5 2 2 2 2 5 2" xfId="3804" xr:uid="{00000000-0005-0000-0000-0000920B0000}"/>
    <cellStyle name="Currency 5 2 2 2 2 5 2 2" xfId="8027" xr:uid="{00000000-0005-0000-0000-0000930B0000}"/>
    <cellStyle name="Currency 5 2 2 2 2 5 3" xfId="5882" xr:uid="{00000000-0005-0000-0000-0000940B0000}"/>
    <cellStyle name="Currency 5 2 2 2 2 6" xfId="1988" xr:uid="{00000000-0005-0000-0000-0000950B0000}"/>
    <cellStyle name="Currency 5 2 2 2 2 6 2" xfId="4217" xr:uid="{00000000-0005-0000-0000-0000960B0000}"/>
    <cellStyle name="Currency 5 2 2 2 2 6 2 2" xfId="8440" xr:uid="{00000000-0005-0000-0000-0000970B0000}"/>
    <cellStyle name="Currency 5 2 2 2 2 6 3" xfId="6295" xr:uid="{00000000-0005-0000-0000-0000980B0000}"/>
    <cellStyle name="Currency 5 2 2 2 2 7" xfId="2423" xr:uid="{00000000-0005-0000-0000-0000990B0000}"/>
    <cellStyle name="Currency 5 2 2 2 2 7 2" xfId="6708" xr:uid="{00000000-0005-0000-0000-00009A0B0000}"/>
    <cellStyle name="Currency 5 2 2 2 2 8" xfId="2720" xr:uid="{00000000-0005-0000-0000-00009B0B0000}"/>
    <cellStyle name="Currency 5 2 2 2 2 9" xfId="2801" xr:uid="{00000000-0005-0000-0000-00009C0B0000}"/>
    <cellStyle name="Currency 5 2 2 2 2 9 2" xfId="7025" xr:uid="{00000000-0005-0000-0000-00009D0B0000}"/>
    <cellStyle name="Currency 5 2 2 2 3" xfId="199" xr:uid="{00000000-0005-0000-0000-00009E0B0000}"/>
    <cellStyle name="Currency 5 2 2 2 3 2" xfId="726" xr:uid="{00000000-0005-0000-0000-00009F0B0000}"/>
    <cellStyle name="Currency 5 2 2 2 3 2 2" xfId="2980" xr:uid="{00000000-0005-0000-0000-0000A00B0000}"/>
    <cellStyle name="Currency 5 2 2 2 3 2 2 2" xfId="7203" xr:uid="{00000000-0005-0000-0000-0000A10B0000}"/>
    <cellStyle name="Currency 5 2 2 2 3 2 3" xfId="5058" xr:uid="{00000000-0005-0000-0000-0000A20B0000}"/>
    <cellStyle name="Currency 5 2 2 2 3 3" xfId="1162" xr:uid="{00000000-0005-0000-0000-0000A30B0000}"/>
    <cellStyle name="Currency 5 2 2 2 3 3 2" xfId="3393" xr:uid="{00000000-0005-0000-0000-0000A40B0000}"/>
    <cellStyle name="Currency 5 2 2 2 3 3 2 2" xfId="7616" xr:uid="{00000000-0005-0000-0000-0000A50B0000}"/>
    <cellStyle name="Currency 5 2 2 2 3 3 3" xfId="5471" xr:uid="{00000000-0005-0000-0000-0000A60B0000}"/>
    <cellStyle name="Currency 5 2 2 2 3 4" xfId="1576" xr:uid="{00000000-0005-0000-0000-0000A70B0000}"/>
    <cellStyle name="Currency 5 2 2 2 3 4 2" xfId="3806" xr:uid="{00000000-0005-0000-0000-0000A80B0000}"/>
    <cellStyle name="Currency 5 2 2 2 3 4 2 2" xfId="8029" xr:uid="{00000000-0005-0000-0000-0000A90B0000}"/>
    <cellStyle name="Currency 5 2 2 2 3 4 3" xfId="5884" xr:uid="{00000000-0005-0000-0000-0000AA0B0000}"/>
    <cellStyle name="Currency 5 2 2 2 3 5" xfId="1990" xr:uid="{00000000-0005-0000-0000-0000AB0B0000}"/>
    <cellStyle name="Currency 5 2 2 2 3 5 2" xfId="4219" xr:uid="{00000000-0005-0000-0000-0000AC0B0000}"/>
    <cellStyle name="Currency 5 2 2 2 3 5 2 2" xfId="8442" xr:uid="{00000000-0005-0000-0000-0000AD0B0000}"/>
    <cellStyle name="Currency 5 2 2 2 3 5 3" xfId="6297" xr:uid="{00000000-0005-0000-0000-0000AE0B0000}"/>
    <cellStyle name="Currency 5 2 2 2 3 6" xfId="2425" xr:uid="{00000000-0005-0000-0000-0000AF0B0000}"/>
    <cellStyle name="Currency 5 2 2 2 3 6 2" xfId="6710" xr:uid="{00000000-0005-0000-0000-0000B00B0000}"/>
    <cellStyle name="Currency 5 2 2 2 3 7" xfId="2722" xr:uid="{00000000-0005-0000-0000-0000B10B0000}"/>
    <cellStyle name="Currency 5 2 2 2 3 8" xfId="2803" xr:uid="{00000000-0005-0000-0000-0000B20B0000}"/>
    <cellStyle name="Currency 5 2 2 2 3 8 2" xfId="7027" xr:uid="{00000000-0005-0000-0000-0000B30B0000}"/>
    <cellStyle name="Currency 5 2 2 2 3 9" xfId="4644" xr:uid="{00000000-0005-0000-0000-0000B40B0000}"/>
    <cellStyle name="Currency 5 2 2 2 4" xfId="723" xr:uid="{00000000-0005-0000-0000-0000B50B0000}"/>
    <cellStyle name="Currency 5 2 2 2 4 2" xfId="2977" xr:uid="{00000000-0005-0000-0000-0000B60B0000}"/>
    <cellStyle name="Currency 5 2 2 2 4 2 2" xfId="7200" xr:uid="{00000000-0005-0000-0000-0000B70B0000}"/>
    <cellStyle name="Currency 5 2 2 2 4 3" xfId="5055" xr:uid="{00000000-0005-0000-0000-0000B80B0000}"/>
    <cellStyle name="Currency 5 2 2 2 5" xfId="1159" xr:uid="{00000000-0005-0000-0000-0000B90B0000}"/>
    <cellStyle name="Currency 5 2 2 2 5 2" xfId="3390" xr:uid="{00000000-0005-0000-0000-0000BA0B0000}"/>
    <cellStyle name="Currency 5 2 2 2 5 2 2" xfId="7613" xr:uid="{00000000-0005-0000-0000-0000BB0B0000}"/>
    <cellStyle name="Currency 5 2 2 2 5 3" xfId="5468" xr:uid="{00000000-0005-0000-0000-0000BC0B0000}"/>
    <cellStyle name="Currency 5 2 2 2 6" xfId="1573" xr:uid="{00000000-0005-0000-0000-0000BD0B0000}"/>
    <cellStyle name="Currency 5 2 2 2 6 2" xfId="3803" xr:uid="{00000000-0005-0000-0000-0000BE0B0000}"/>
    <cellStyle name="Currency 5 2 2 2 6 2 2" xfId="8026" xr:uid="{00000000-0005-0000-0000-0000BF0B0000}"/>
    <cellStyle name="Currency 5 2 2 2 6 3" xfId="5881" xr:uid="{00000000-0005-0000-0000-0000C00B0000}"/>
    <cellStyle name="Currency 5 2 2 2 7" xfId="1987" xr:uid="{00000000-0005-0000-0000-0000C10B0000}"/>
    <cellStyle name="Currency 5 2 2 2 7 2" xfId="4216" xr:uid="{00000000-0005-0000-0000-0000C20B0000}"/>
    <cellStyle name="Currency 5 2 2 2 7 2 2" xfId="8439" xr:uid="{00000000-0005-0000-0000-0000C30B0000}"/>
    <cellStyle name="Currency 5 2 2 2 7 3" xfId="6294" xr:uid="{00000000-0005-0000-0000-0000C40B0000}"/>
    <cellStyle name="Currency 5 2 2 2 8" xfId="2422" xr:uid="{00000000-0005-0000-0000-0000C50B0000}"/>
    <cellStyle name="Currency 5 2 2 2 8 2" xfId="6707" xr:uid="{00000000-0005-0000-0000-0000C60B0000}"/>
    <cellStyle name="Currency 5 2 2 2 9" xfId="2719" xr:uid="{00000000-0005-0000-0000-0000C70B0000}"/>
    <cellStyle name="Currency 5 2 2 3" xfId="200" xr:uid="{00000000-0005-0000-0000-0000C80B0000}"/>
    <cellStyle name="Currency 5 2 2 3 10" xfId="4645" xr:uid="{00000000-0005-0000-0000-0000C90B0000}"/>
    <cellStyle name="Currency 5 2 2 3 2" xfId="201" xr:uid="{00000000-0005-0000-0000-0000CA0B0000}"/>
    <cellStyle name="Currency 5 2 2 3 2 2" xfId="728" xr:uid="{00000000-0005-0000-0000-0000CB0B0000}"/>
    <cellStyle name="Currency 5 2 2 3 2 2 2" xfId="2982" xr:uid="{00000000-0005-0000-0000-0000CC0B0000}"/>
    <cellStyle name="Currency 5 2 2 3 2 2 2 2" xfId="7205" xr:uid="{00000000-0005-0000-0000-0000CD0B0000}"/>
    <cellStyle name="Currency 5 2 2 3 2 2 3" xfId="5060" xr:uid="{00000000-0005-0000-0000-0000CE0B0000}"/>
    <cellStyle name="Currency 5 2 2 3 2 3" xfId="1164" xr:uid="{00000000-0005-0000-0000-0000CF0B0000}"/>
    <cellStyle name="Currency 5 2 2 3 2 3 2" xfId="3395" xr:uid="{00000000-0005-0000-0000-0000D00B0000}"/>
    <cellStyle name="Currency 5 2 2 3 2 3 2 2" xfId="7618" xr:uid="{00000000-0005-0000-0000-0000D10B0000}"/>
    <cellStyle name="Currency 5 2 2 3 2 3 3" xfId="5473" xr:uid="{00000000-0005-0000-0000-0000D20B0000}"/>
    <cellStyle name="Currency 5 2 2 3 2 4" xfId="1578" xr:uid="{00000000-0005-0000-0000-0000D30B0000}"/>
    <cellStyle name="Currency 5 2 2 3 2 4 2" xfId="3808" xr:uid="{00000000-0005-0000-0000-0000D40B0000}"/>
    <cellStyle name="Currency 5 2 2 3 2 4 2 2" xfId="8031" xr:uid="{00000000-0005-0000-0000-0000D50B0000}"/>
    <cellStyle name="Currency 5 2 2 3 2 4 3" xfId="5886" xr:uid="{00000000-0005-0000-0000-0000D60B0000}"/>
    <cellStyle name="Currency 5 2 2 3 2 5" xfId="1992" xr:uid="{00000000-0005-0000-0000-0000D70B0000}"/>
    <cellStyle name="Currency 5 2 2 3 2 5 2" xfId="4221" xr:uid="{00000000-0005-0000-0000-0000D80B0000}"/>
    <cellStyle name="Currency 5 2 2 3 2 5 2 2" xfId="8444" xr:uid="{00000000-0005-0000-0000-0000D90B0000}"/>
    <cellStyle name="Currency 5 2 2 3 2 5 3" xfId="6299" xr:uid="{00000000-0005-0000-0000-0000DA0B0000}"/>
    <cellStyle name="Currency 5 2 2 3 2 6" xfId="2427" xr:uid="{00000000-0005-0000-0000-0000DB0B0000}"/>
    <cellStyle name="Currency 5 2 2 3 2 6 2" xfId="6712" xr:uid="{00000000-0005-0000-0000-0000DC0B0000}"/>
    <cellStyle name="Currency 5 2 2 3 2 7" xfId="2724" xr:uid="{00000000-0005-0000-0000-0000DD0B0000}"/>
    <cellStyle name="Currency 5 2 2 3 2 8" xfId="2805" xr:uid="{00000000-0005-0000-0000-0000DE0B0000}"/>
    <cellStyle name="Currency 5 2 2 3 2 8 2" xfId="7029" xr:uid="{00000000-0005-0000-0000-0000DF0B0000}"/>
    <cellStyle name="Currency 5 2 2 3 2 9" xfId="4646" xr:uid="{00000000-0005-0000-0000-0000E00B0000}"/>
    <cellStyle name="Currency 5 2 2 3 3" xfId="727" xr:uid="{00000000-0005-0000-0000-0000E10B0000}"/>
    <cellStyle name="Currency 5 2 2 3 3 2" xfId="2981" xr:uid="{00000000-0005-0000-0000-0000E20B0000}"/>
    <cellStyle name="Currency 5 2 2 3 3 2 2" xfId="7204" xr:uid="{00000000-0005-0000-0000-0000E30B0000}"/>
    <cellStyle name="Currency 5 2 2 3 3 3" xfId="5059" xr:uid="{00000000-0005-0000-0000-0000E40B0000}"/>
    <cellStyle name="Currency 5 2 2 3 4" xfId="1163" xr:uid="{00000000-0005-0000-0000-0000E50B0000}"/>
    <cellStyle name="Currency 5 2 2 3 4 2" xfId="3394" xr:uid="{00000000-0005-0000-0000-0000E60B0000}"/>
    <cellStyle name="Currency 5 2 2 3 4 2 2" xfId="7617" xr:uid="{00000000-0005-0000-0000-0000E70B0000}"/>
    <cellStyle name="Currency 5 2 2 3 4 3" xfId="5472" xr:uid="{00000000-0005-0000-0000-0000E80B0000}"/>
    <cellStyle name="Currency 5 2 2 3 5" xfId="1577" xr:uid="{00000000-0005-0000-0000-0000E90B0000}"/>
    <cellStyle name="Currency 5 2 2 3 5 2" xfId="3807" xr:uid="{00000000-0005-0000-0000-0000EA0B0000}"/>
    <cellStyle name="Currency 5 2 2 3 5 2 2" xfId="8030" xr:uid="{00000000-0005-0000-0000-0000EB0B0000}"/>
    <cellStyle name="Currency 5 2 2 3 5 3" xfId="5885" xr:uid="{00000000-0005-0000-0000-0000EC0B0000}"/>
    <cellStyle name="Currency 5 2 2 3 6" xfId="1991" xr:uid="{00000000-0005-0000-0000-0000ED0B0000}"/>
    <cellStyle name="Currency 5 2 2 3 6 2" xfId="4220" xr:uid="{00000000-0005-0000-0000-0000EE0B0000}"/>
    <cellStyle name="Currency 5 2 2 3 6 2 2" xfId="8443" xr:uid="{00000000-0005-0000-0000-0000EF0B0000}"/>
    <cellStyle name="Currency 5 2 2 3 6 3" xfId="6298" xr:uid="{00000000-0005-0000-0000-0000F00B0000}"/>
    <cellStyle name="Currency 5 2 2 3 7" xfId="2426" xr:uid="{00000000-0005-0000-0000-0000F10B0000}"/>
    <cellStyle name="Currency 5 2 2 3 7 2" xfId="6711" xr:uid="{00000000-0005-0000-0000-0000F20B0000}"/>
    <cellStyle name="Currency 5 2 2 3 8" xfId="2723" xr:uid="{00000000-0005-0000-0000-0000F30B0000}"/>
    <cellStyle name="Currency 5 2 2 3 9" xfId="2804" xr:uid="{00000000-0005-0000-0000-0000F40B0000}"/>
    <cellStyle name="Currency 5 2 2 3 9 2" xfId="7028" xr:uid="{00000000-0005-0000-0000-0000F50B0000}"/>
    <cellStyle name="Currency 5 2 2 4" xfId="202" xr:uid="{00000000-0005-0000-0000-0000F60B0000}"/>
    <cellStyle name="Currency 5 2 2 4 2" xfId="729" xr:uid="{00000000-0005-0000-0000-0000F70B0000}"/>
    <cellStyle name="Currency 5 2 2 4 2 2" xfId="2983" xr:uid="{00000000-0005-0000-0000-0000F80B0000}"/>
    <cellStyle name="Currency 5 2 2 4 2 2 2" xfId="7206" xr:uid="{00000000-0005-0000-0000-0000F90B0000}"/>
    <cellStyle name="Currency 5 2 2 4 2 3" xfId="5061" xr:uid="{00000000-0005-0000-0000-0000FA0B0000}"/>
    <cellStyle name="Currency 5 2 2 4 3" xfId="1165" xr:uid="{00000000-0005-0000-0000-0000FB0B0000}"/>
    <cellStyle name="Currency 5 2 2 4 3 2" xfId="3396" xr:uid="{00000000-0005-0000-0000-0000FC0B0000}"/>
    <cellStyle name="Currency 5 2 2 4 3 2 2" xfId="7619" xr:uid="{00000000-0005-0000-0000-0000FD0B0000}"/>
    <cellStyle name="Currency 5 2 2 4 3 3" xfId="5474" xr:uid="{00000000-0005-0000-0000-0000FE0B0000}"/>
    <cellStyle name="Currency 5 2 2 4 4" xfId="1579" xr:uid="{00000000-0005-0000-0000-0000FF0B0000}"/>
    <cellStyle name="Currency 5 2 2 4 4 2" xfId="3809" xr:uid="{00000000-0005-0000-0000-0000000C0000}"/>
    <cellStyle name="Currency 5 2 2 4 4 2 2" xfId="8032" xr:uid="{00000000-0005-0000-0000-0000010C0000}"/>
    <cellStyle name="Currency 5 2 2 4 4 3" xfId="5887" xr:uid="{00000000-0005-0000-0000-0000020C0000}"/>
    <cellStyle name="Currency 5 2 2 4 5" xfId="1993" xr:uid="{00000000-0005-0000-0000-0000030C0000}"/>
    <cellStyle name="Currency 5 2 2 4 5 2" xfId="4222" xr:uid="{00000000-0005-0000-0000-0000040C0000}"/>
    <cellStyle name="Currency 5 2 2 4 5 2 2" xfId="8445" xr:uid="{00000000-0005-0000-0000-0000050C0000}"/>
    <cellStyle name="Currency 5 2 2 4 5 3" xfId="6300" xr:uid="{00000000-0005-0000-0000-0000060C0000}"/>
    <cellStyle name="Currency 5 2 2 4 6" xfId="2428" xr:uid="{00000000-0005-0000-0000-0000070C0000}"/>
    <cellStyle name="Currency 5 2 2 4 6 2" xfId="6713" xr:uid="{00000000-0005-0000-0000-0000080C0000}"/>
    <cellStyle name="Currency 5 2 2 4 7" xfId="2725" xr:uid="{00000000-0005-0000-0000-0000090C0000}"/>
    <cellStyle name="Currency 5 2 2 4 8" xfId="2806" xr:uid="{00000000-0005-0000-0000-00000A0C0000}"/>
    <cellStyle name="Currency 5 2 2 4 8 2" xfId="7030" xr:uid="{00000000-0005-0000-0000-00000B0C0000}"/>
    <cellStyle name="Currency 5 2 2 4 9" xfId="4647" xr:uid="{00000000-0005-0000-0000-00000C0C0000}"/>
    <cellStyle name="Currency 5 2 2 5" xfId="203" xr:uid="{00000000-0005-0000-0000-00000D0C0000}"/>
    <cellStyle name="Currency 5 2 2 5 2" xfId="730" xr:uid="{00000000-0005-0000-0000-00000E0C0000}"/>
    <cellStyle name="Currency 5 2 2 5 2 2" xfId="2984" xr:uid="{00000000-0005-0000-0000-00000F0C0000}"/>
    <cellStyle name="Currency 5 2 2 5 2 2 2" xfId="7207" xr:uid="{00000000-0005-0000-0000-0000100C0000}"/>
    <cellStyle name="Currency 5 2 2 5 2 3" xfId="5062" xr:uid="{00000000-0005-0000-0000-0000110C0000}"/>
    <cellStyle name="Currency 5 2 2 5 3" xfId="1166" xr:uid="{00000000-0005-0000-0000-0000120C0000}"/>
    <cellStyle name="Currency 5 2 2 5 3 2" xfId="3397" xr:uid="{00000000-0005-0000-0000-0000130C0000}"/>
    <cellStyle name="Currency 5 2 2 5 3 2 2" xfId="7620" xr:uid="{00000000-0005-0000-0000-0000140C0000}"/>
    <cellStyle name="Currency 5 2 2 5 3 3" xfId="5475" xr:uid="{00000000-0005-0000-0000-0000150C0000}"/>
    <cellStyle name="Currency 5 2 2 5 4" xfId="1580" xr:uid="{00000000-0005-0000-0000-0000160C0000}"/>
    <cellStyle name="Currency 5 2 2 5 4 2" xfId="3810" xr:uid="{00000000-0005-0000-0000-0000170C0000}"/>
    <cellStyle name="Currency 5 2 2 5 4 2 2" xfId="8033" xr:uid="{00000000-0005-0000-0000-0000180C0000}"/>
    <cellStyle name="Currency 5 2 2 5 4 3" xfId="5888" xr:uid="{00000000-0005-0000-0000-0000190C0000}"/>
    <cellStyle name="Currency 5 2 2 5 5" xfId="1994" xr:uid="{00000000-0005-0000-0000-00001A0C0000}"/>
    <cellStyle name="Currency 5 2 2 5 5 2" xfId="4223" xr:uid="{00000000-0005-0000-0000-00001B0C0000}"/>
    <cellStyle name="Currency 5 2 2 5 5 2 2" xfId="8446" xr:uid="{00000000-0005-0000-0000-00001C0C0000}"/>
    <cellStyle name="Currency 5 2 2 5 5 3" xfId="6301" xr:uid="{00000000-0005-0000-0000-00001D0C0000}"/>
    <cellStyle name="Currency 5 2 2 5 6" xfId="2429" xr:uid="{00000000-0005-0000-0000-00001E0C0000}"/>
    <cellStyle name="Currency 5 2 2 5 6 2" xfId="6714" xr:uid="{00000000-0005-0000-0000-00001F0C0000}"/>
    <cellStyle name="Currency 5 2 2 5 7" xfId="2726" xr:uid="{00000000-0005-0000-0000-0000200C0000}"/>
    <cellStyle name="Currency 5 2 2 5 8" xfId="2807" xr:uid="{00000000-0005-0000-0000-0000210C0000}"/>
    <cellStyle name="Currency 5 2 2 5 8 2" xfId="7031" xr:uid="{00000000-0005-0000-0000-0000220C0000}"/>
    <cellStyle name="Currency 5 2 2 5 9" xfId="4648" xr:uid="{00000000-0005-0000-0000-0000230C0000}"/>
    <cellStyle name="Currency 5 2 3" xfId="204" xr:uid="{00000000-0005-0000-0000-0000240C0000}"/>
    <cellStyle name="Currency 5 2 3 2" xfId="731" xr:uid="{00000000-0005-0000-0000-0000250C0000}"/>
    <cellStyle name="Currency 5 2 4" xfId="205" xr:uid="{00000000-0005-0000-0000-0000260C0000}"/>
    <cellStyle name="Currency 5 2 4 10" xfId="4649" xr:uid="{00000000-0005-0000-0000-0000270C0000}"/>
    <cellStyle name="Currency 5 2 4 2" xfId="206" xr:uid="{00000000-0005-0000-0000-0000280C0000}"/>
    <cellStyle name="Currency 5 2 4 2 2" xfId="733" xr:uid="{00000000-0005-0000-0000-0000290C0000}"/>
    <cellStyle name="Currency 5 2 4 2 2 2" xfId="2986" xr:uid="{00000000-0005-0000-0000-00002A0C0000}"/>
    <cellStyle name="Currency 5 2 4 2 2 2 2" xfId="7209" xr:uid="{00000000-0005-0000-0000-00002B0C0000}"/>
    <cellStyle name="Currency 5 2 4 2 2 3" xfId="5064" xr:uid="{00000000-0005-0000-0000-00002C0C0000}"/>
    <cellStyle name="Currency 5 2 4 2 3" xfId="1168" xr:uid="{00000000-0005-0000-0000-00002D0C0000}"/>
    <cellStyle name="Currency 5 2 4 2 3 2" xfId="3399" xr:uid="{00000000-0005-0000-0000-00002E0C0000}"/>
    <cellStyle name="Currency 5 2 4 2 3 2 2" xfId="7622" xr:uid="{00000000-0005-0000-0000-00002F0C0000}"/>
    <cellStyle name="Currency 5 2 4 2 3 3" xfId="5477" xr:uid="{00000000-0005-0000-0000-0000300C0000}"/>
    <cellStyle name="Currency 5 2 4 2 4" xfId="1582" xr:uid="{00000000-0005-0000-0000-0000310C0000}"/>
    <cellStyle name="Currency 5 2 4 2 4 2" xfId="3812" xr:uid="{00000000-0005-0000-0000-0000320C0000}"/>
    <cellStyle name="Currency 5 2 4 2 4 2 2" xfId="8035" xr:uid="{00000000-0005-0000-0000-0000330C0000}"/>
    <cellStyle name="Currency 5 2 4 2 4 3" xfId="5890" xr:uid="{00000000-0005-0000-0000-0000340C0000}"/>
    <cellStyle name="Currency 5 2 4 2 5" xfId="1996" xr:uid="{00000000-0005-0000-0000-0000350C0000}"/>
    <cellStyle name="Currency 5 2 4 2 5 2" xfId="4225" xr:uid="{00000000-0005-0000-0000-0000360C0000}"/>
    <cellStyle name="Currency 5 2 4 2 5 2 2" xfId="8448" xr:uid="{00000000-0005-0000-0000-0000370C0000}"/>
    <cellStyle name="Currency 5 2 4 2 5 3" xfId="6303" xr:uid="{00000000-0005-0000-0000-0000380C0000}"/>
    <cellStyle name="Currency 5 2 4 2 6" xfId="2431" xr:uid="{00000000-0005-0000-0000-0000390C0000}"/>
    <cellStyle name="Currency 5 2 4 2 6 2" xfId="6716" xr:uid="{00000000-0005-0000-0000-00003A0C0000}"/>
    <cellStyle name="Currency 5 2 4 2 7" xfId="2728" xr:uid="{00000000-0005-0000-0000-00003B0C0000}"/>
    <cellStyle name="Currency 5 2 4 2 8" xfId="2809" xr:uid="{00000000-0005-0000-0000-00003C0C0000}"/>
    <cellStyle name="Currency 5 2 4 2 8 2" xfId="7033" xr:uid="{00000000-0005-0000-0000-00003D0C0000}"/>
    <cellStyle name="Currency 5 2 4 2 9" xfId="4650" xr:uid="{00000000-0005-0000-0000-00003E0C0000}"/>
    <cellStyle name="Currency 5 2 4 3" xfId="732" xr:uid="{00000000-0005-0000-0000-00003F0C0000}"/>
    <cellStyle name="Currency 5 2 4 3 2" xfId="2985" xr:uid="{00000000-0005-0000-0000-0000400C0000}"/>
    <cellStyle name="Currency 5 2 4 3 2 2" xfId="7208" xr:uid="{00000000-0005-0000-0000-0000410C0000}"/>
    <cellStyle name="Currency 5 2 4 3 3" xfId="5063" xr:uid="{00000000-0005-0000-0000-0000420C0000}"/>
    <cellStyle name="Currency 5 2 4 4" xfId="1167" xr:uid="{00000000-0005-0000-0000-0000430C0000}"/>
    <cellStyle name="Currency 5 2 4 4 2" xfId="3398" xr:uid="{00000000-0005-0000-0000-0000440C0000}"/>
    <cellStyle name="Currency 5 2 4 4 2 2" xfId="7621" xr:uid="{00000000-0005-0000-0000-0000450C0000}"/>
    <cellStyle name="Currency 5 2 4 4 3" xfId="5476" xr:uid="{00000000-0005-0000-0000-0000460C0000}"/>
    <cellStyle name="Currency 5 2 4 5" xfId="1581" xr:uid="{00000000-0005-0000-0000-0000470C0000}"/>
    <cellStyle name="Currency 5 2 4 5 2" xfId="3811" xr:uid="{00000000-0005-0000-0000-0000480C0000}"/>
    <cellStyle name="Currency 5 2 4 5 2 2" xfId="8034" xr:uid="{00000000-0005-0000-0000-0000490C0000}"/>
    <cellStyle name="Currency 5 2 4 5 3" xfId="5889" xr:uid="{00000000-0005-0000-0000-00004A0C0000}"/>
    <cellStyle name="Currency 5 2 4 6" xfId="1995" xr:uid="{00000000-0005-0000-0000-00004B0C0000}"/>
    <cellStyle name="Currency 5 2 4 6 2" xfId="4224" xr:uid="{00000000-0005-0000-0000-00004C0C0000}"/>
    <cellStyle name="Currency 5 2 4 6 2 2" xfId="8447" xr:uid="{00000000-0005-0000-0000-00004D0C0000}"/>
    <cellStyle name="Currency 5 2 4 6 3" xfId="6302" xr:uid="{00000000-0005-0000-0000-00004E0C0000}"/>
    <cellStyle name="Currency 5 2 4 7" xfId="2430" xr:uid="{00000000-0005-0000-0000-00004F0C0000}"/>
    <cellStyle name="Currency 5 2 4 7 2" xfId="6715" xr:uid="{00000000-0005-0000-0000-0000500C0000}"/>
    <cellStyle name="Currency 5 2 4 8" xfId="2727" xr:uid="{00000000-0005-0000-0000-0000510C0000}"/>
    <cellStyle name="Currency 5 2 4 9" xfId="2808" xr:uid="{00000000-0005-0000-0000-0000520C0000}"/>
    <cellStyle name="Currency 5 2 4 9 2" xfId="7032" xr:uid="{00000000-0005-0000-0000-0000530C0000}"/>
    <cellStyle name="Currency 5 2 5" xfId="207" xr:uid="{00000000-0005-0000-0000-0000540C0000}"/>
    <cellStyle name="Currency 5 2 5 2" xfId="734" xr:uid="{00000000-0005-0000-0000-0000550C0000}"/>
    <cellStyle name="Currency 5 2 5 2 2" xfId="2987" xr:uid="{00000000-0005-0000-0000-0000560C0000}"/>
    <cellStyle name="Currency 5 2 5 2 2 2" xfId="7210" xr:uid="{00000000-0005-0000-0000-0000570C0000}"/>
    <cellStyle name="Currency 5 2 5 2 3" xfId="5065" xr:uid="{00000000-0005-0000-0000-0000580C0000}"/>
    <cellStyle name="Currency 5 2 5 3" xfId="1169" xr:uid="{00000000-0005-0000-0000-0000590C0000}"/>
    <cellStyle name="Currency 5 2 5 3 2" xfId="3400" xr:uid="{00000000-0005-0000-0000-00005A0C0000}"/>
    <cellStyle name="Currency 5 2 5 3 2 2" xfId="7623" xr:uid="{00000000-0005-0000-0000-00005B0C0000}"/>
    <cellStyle name="Currency 5 2 5 3 3" xfId="5478" xr:uid="{00000000-0005-0000-0000-00005C0C0000}"/>
    <cellStyle name="Currency 5 2 5 4" xfId="1583" xr:uid="{00000000-0005-0000-0000-00005D0C0000}"/>
    <cellStyle name="Currency 5 2 5 4 2" xfId="3813" xr:uid="{00000000-0005-0000-0000-00005E0C0000}"/>
    <cellStyle name="Currency 5 2 5 4 2 2" xfId="8036" xr:uid="{00000000-0005-0000-0000-00005F0C0000}"/>
    <cellStyle name="Currency 5 2 5 4 3" xfId="5891" xr:uid="{00000000-0005-0000-0000-0000600C0000}"/>
    <cellStyle name="Currency 5 2 5 5" xfId="1997" xr:uid="{00000000-0005-0000-0000-0000610C0000}"/>
    <cellStyle name="Currency 5 2 5 5 2" xfId="4226" xr:uid="{00000000-0005-0000-0000-0000620C0000}"/>
    <cellStyle name="Currency 5 2 5 5 2 2" xfId="8449" xr:uid="{00000000-0005-0000-0000-0000630C0000}"/>
    <cellStyle name="Currency 5 2 5 5 3" xfId="6304" xr:uid="{00000000-0005-0000-0000-0000640C0000}"/>
    <cellStyle name="Currency 5 2 5 6" xfId="2432" xr:uid="{00000000-0005-0000-0000-0000650C0000}"/>
    <cellStyle name="Currency 5 2 5 6 2" xfId="6717" xr:uid="{00000000-0005-0000-0000-0000660C0000}"/>
    <cellStyle name="Currency 5 2 5 7" xfId="2729" xr:uid="{00000000-0005-0000-0000-0000670C0000}"/>
    <cellStyle name="Currency 5 2 5 8" xfId="2810" xr:uid="{00000000-0005-0000-0000-0000680C0000}"/>
    <cellStyle name="Currency 5 2 5 8 2" xfId="7034" xr:uid="{00000000-0005-0000-0000-0000690C0000}"/>
    <cellStyle name="Currency 5 2 5 9" xfId="4651" xr:uid="{00000000-0005-0000-0000-00006A0C0000}"/>
    <cellStyle name="Currency 5 2 6" xfId="208" xr:uid="{00000000-0005-0000-0000-00006B0C0000}"/>
    <cellStyle name="Currency 5 2 6 2" xfId="735" xr:uid="{00000000-0005-0000-0000-00006C0C0000}"/>
    <cellStyle name="Currency 5 2 6 2 2" xfId="2988" xr:uid="{00000000-0005-0000-0000-00006D0C0000}"/>
    <cellStyle name="Currency 5 2 6 2 2 2" xfId="7211" xr:uid="{00000000-0005-0000-0000-00006E0C0000}"/>
    <cellStyle name="Currency 5 2 6 2 3" xfId="5066" xr:uid="{00000000-0005-0000-0000-00006F0C0000}"/>
    <cellStyle name="Currency 5 2 6 3" xfId="1170" xr:uid="{00000000-0005-0000-0000-0000700C0000}"/>
    <cellStyle name="Currency 5 2 6 3 2" xfId="3401" xr:uid="{00000000-0005-0000-0000-0000710C0000}"/>
    <cellStyle name="Currency 5 2 6 3 2 2" xfId="7624" xr:uid="{00000000-0005-0000-0000-0000720C0000}"/>
    <cellStyle name="Currency 5 2 6 3 3" xfId="5479" xr:uid="{00000000-0005-0000-0000-0000730C0000}"/>
    <cellStyle name="Currency 5 2 6 4" xfId="1584" xr:uid="{00000000-0005-0000-0000-0000740C0000}"/>
    <cellStyle name="Currency 5 2 6 4 2" xfId="3814" xr:uid="{00000000-0005-0000-0000-0000750C0000}"/>
    <cellStyle name="Currency 5 2 6 4 2 2" xfId="8037" xr:uid="{00000000-0005-0000-0000-0000760C0000}"/>
    <cellStyle name="Currency 5 2 6 4 3" xfId="5892" xr:uid="{00000000-0005-0000-0000-0000770C0000}"/>
    <cellStyle name="Currency 5 2 6 5" xfId="1998" xr:uid="{00000000-0005-0000-0000-0000780C0000}"/>
    <cellStyle name="Currency 5 2 6 5 2" xfId="4227" xr:uid="{00000000-0005-0000-0000-0000790C0000}"/>
    <cellStyle name="Currency 5 2 6 5 2 2" xfId="8450" xr:uid="{00000000-0005-0000-0000-00007A0C0000}"/>
    <cellStyle name="Currency 5 2 6 5 3" xfId="6305" xr:uid="{00000000-0005-0000-0000-00007B0C0000}"/>
    <cellStyle name="Currency 5 2 6 6" xfId="2433" xr:uid="{00000000-0005-0000-0000-00007C0C0000}"/>
    <cellStyle name="Currency 5 2 6 6 2" xfId="6718" xr:uid="{00000000-0005-0000-0000-00007D0C0000}"/>
    <cellStyle name="Currency 5 2 6 7" xfId="2730" xr:uid="{00000000-0005-0000-0000-00007E0C0000}"/>
    <cellStyle name="Currency 5 2 6 8" xfId="2811" xr:uid="{00000000-0005-0000-0000-00007F0C0000}"/>
    <cellStyle name="Currency 5 2 6 8 2" xfId="7035" xr:uid="{00000000-0005-0000-0000-0000800C0000}"/>
    <cellStyle name="Currency 5 2 6 9" xfId="4652" xr:uid="{00000000-0005-0000-0000-0000810C0000}"/>
    <cellStyle name="Currency 5 2 7" xfId="722" xr:uid="{00000000-0005-0000-0000-0000820C0000}"/>
    <cellStyle name="Currency 5 3" xfId="209" xr:uid="{00000000-0005-0000-0000-0000830C0000}"/>
    <cellStyle name="Currency 5 3 2" xfId="210" xr:uid="{00000000-0005-0000-0000-0000840C0000}"/>
    <cellStyle name="Currency 5 3 2 10" xfId="2812" xr:uid="{00000000-0005-0000-0000-0000850C0000}"/>
    <cellStyle name="Currency 5 3 2 10 2" xfId="7036" xr:uid="{00000000-0005-0000-0000-0000860C0000}"/>
    <cellStyle name="Currency 5 3 2 11" xfId="4653" xr:uid="{00000000-0005-0000-0000-0000870C0000}"/>
    <cellStyle name="Currency 5 3 2 2" xfId="211" xr:uid="{00000000-0005-0000-0000-0000880C0000}"/>
    <cellStyle name="Currency 5 3 2 2 10" xfId="4654" xr:uid="{00000000-0005-0000-0000-0000890C0000}"/>
    <cellStyle name="Currency 5 3 2 2 2" xfId="212" xr:uid="{00000000-0005-0000-0000-00008A0C0000}"/>
    <cellStyle name="Currency 5 3 2 2 2 2" xfId="738" xr:uid="{00000000-0005-0000-0000-00008B0C0000}"/>
    <cellStyle name="Currency 5 3 2 2 2 2 2" xfId="2991" xr:uid="{00000000-0005-0000-0000-00008C0C0000}"/>
    <cellStyle name="Currency 5 3 2 2 2 2 2 2" xfId="7214" xr:uid="{00000000-0005-0000-0000-00008D0C0000}"/>
    <cellStyle name="Currency 5 3 2 2 2 2 3" xfId="5069" xr:uid="{00000000-0005-0000-0000-00008E0C0000}"/>
    <cellStyle name="Currency 5 3 2 2 2 3" xfId="1173" xr:uid="{00000000-0005-0000-0000-00008F0C0000}"/>
    <cellStyle name="Currency 5 3 2 2 2 3 2" xfId="3404" xr:uid="{00000000-0005-0000-0000-0000900C0000}"/>
    <cellStyle name="Currency 5 3 2 2 2 3 2 2" xfId="7627" xr:uid="{00000000-0005-0000-0000-0000910C0000}"/>
    <cellStyle name="Currency 5 3 2 2 2 3 3" xfId="5482" xr:uid="{00000000-0005-0000-0000-0000920C0000}"/>
    <cellStyle name="Currency 5 3 2 2 2 4" xfId="1587" xr:uid="{00000000-0005-0000-0000-0000930C0000}"/>
    <cellStyle name="Currency 5 3 2 2 2 4 2" xfId="3817" xr:uid="{00000000-0005-0000-0000-0000940C0000}"/>
    <cellStyle name="Currency 5 3 2 2 2 4 2 2" xfId="8040" xr:uid="{00000000-0005-0000-0000-0000950C0000}"/>
    <cellStyle name="Currency 5 3 2 2 2 4 3" xfId="5895" xr:uid="{00000000-0005-0000-0000-0000960C0000}"/>
    <cellStyle name="Currency 5 3 2 2 2 5" xfId="2001" xr:uid="{00000000-0005-0000-0000-0000970C0000}"/>
    <cellStyle name="Currency 5 3 2 2 2 5 2" xfId="4230" xr:uid="{00000000-0005-0000-0000-0000980C0000}"/>
    <cellStyle name="Currency 5 3 2 2 2 5 2 2" xfId="8453" xr:uid="{00000000-0005-0000-0000-0000990C0000}"/>
    <cellStyle name="Currency 5 3 2 2 2 5 3" xfId="6308" xr:uid="{00000000-0005-0000-0000-00009A0C0000}"/>
    <cellStyle name="Currency 5 3 2 2 2 6" xfId="2436" xr:uid="{00000000-0005-0000-0000-00009B0C0000}"/>
    <cellStyle name="Currency 5 3 2 2 2 6 2" xfId="6721" xr:uid="{00000000-0005-0000-0000-00009C0C0000}"/>
    <cellStyle name="Currency 5 3 2 2 2 7" xfId="2733" xr:uid="{00000000-0005-0000-0000-00009D0C0000}"/>
    <cellStyle name="Currency 5 3 2 2 2 8" xfId="2814" xr:uid="{00000000-0005-0000-0000-00009E0C0000}"/>
    <cellStyle name="Currency 5 3 2 2 2 8 2" xfId="7038" xr:uid="{00000000-0005-0000-0000-00009F0C0000}"/>
    <cellStyle name="Currency 5 3 2 2 2 9" xfId="4655" xr:uid="{00000000-0005-0000-0000-0000A00C0000}"/>
    <cellStyle name="Currency 5 3 2 2 3" xfId="737" xr:uid="{00000000-0005-0000-0000-0000A10C0000}"/>
    <cellStyle name="Currency 5 3 2 2 3 2" xfId="2990" xr:uid="{00000000-0005-0000-0000-0000A20C0000}"/>
    <cellStyle name="Currency 5 3 2 2 3 2 2" xfId="7213" xr:uid="{00000000-0005-0000-0000-0000A30C0000}"/>
    <cellStyle name="Currency 5 3 2 2 3 3" xfId="5068" xr:uid="{00000000-0005-0000-0000-0000A40C0000}"/>
    <cellStyle name="Currency 5 3 2 2 4" xfId="1172" xr:uid="{00000000-0005-0000-0000-0000A50C0000}"/>
    <cellStyle name="Currency 5 3 2 2 4 2" xfId="3403" xr:uid="{00000000-0005-0000-0000-0000A60C0000}"/>
    <cellStyle name="Currency 5 3 2 2 4 2 2" xfId="7626" xr:uid="{00000000-0005-0000-0000-0000A70C0000}"/>
    <cellStyle name="Currency 5 3 2 2 4 3" xfId="5481" xr:uid="{00000000-0005-0000-0000-0000A80C0000}"/>
    <cellStyle name="Currency 5 3 2 2 5" xfId="1586" xr:uid="{00000000-0005-0000-0000-0000A90C0000}"/>
    <cellStyle name="Currency 5 3 2 2 5 2" xfId="3816" xr:uid="{00000000-0005-0000-0000-0000AA0C0000}"/>
    <cellStyle name="Currency 5 3 2 2 5 2 2" xfId="8039" xr:uid="{00000000-0005-0000-0000-0000AB0C0000}"/>
    <cellStyle name="Currency 5 3 2 2 5 3" xfId="5894" xr:uid="{00000000-0005-0000-0000-0000AC0C0000}"/>
    <cellStyle name="Currency 5 3 2 2 6" xfId="2000" xr:uid="{00000000-0005-0000-0000-0000AD0C0000}"/>
    <cellStyle name="Currency 5 3 2 2 6 2" xfId="4229" xr:uid="{00000000-0005-0000-0000-0000AE0C0000}"/>
    <cellStyle name="Currency 5 3 2 2 6 2 2" xfId="8452" xr:uid="{00000000-0005-0000-0000-0000AF0C0000}"/>
    <cellStyle name="Currency 5 3 2 2 6 3" xfId="6307" xr:uid="{00000000-0005-0000-0000-0000B00C0000}"/>
    <cellStyle name="Currency 5 3 2 2 7" xfId="2435" xr:uid="{00000000-0005-0000-0000-0000B10C0000}"/>
    <cellStyle name="Currency 5 3 2 2 7 2" xfId="6720" xr:uid="{00000000-0005-0000-0000-0000B20C0000}"/>
    <cellStyle name="Currency 5 3 2 2 8" xfId="2732" xr:uid="{00000000-0005-0000-0000-0000B30C0000}"/>
    <cellStyle name="Currency 5 3 2 2 9" xfId="2813" xr:uid="{00000000-0005-0000-0000-0000B40C0000}"/>
    <cellStyle name="Currency 5 3 2 2 9 2" xfId="7037" xr:uid="{00000000-0005-0000-0000-0000B50C0000}"/>
    <cellStyle name="Currency 5 3 2 3" xfId="213" xr:uid="{00000000-0005-0000-0000-0000B60C0000}"/>
    <cellStyle name="Currency 5 3 2 3 2" xfId="739" xr:uid="{00000000-0005-0000-0000-0000B70C0000}"/>
    <cellStyle name="Currency 5 3 2 3 2 2" xfId="2992" xr:uid="{00000000-0005-0000-0000-0000B80C0000}"/>
    <cellStyle name="Currency 5 3 2 3 2 2 2" xfId="7215" xr:uid="{00000000-0005-0000-0000-0000B90C0000}"/>
    <cellStyle name="Currency 5 3 2 3 2 3" xfId="5070" xr:uid="{00000000-0005-0000-0000-0000BA0C0000}"/>
    <cellStyle name="Currency 5 3 2 3 3" xfId="1174" xr:uid="{00000000-0005-0000-0000-0000BB0C0000}"/>
    <cellStyle name="Currency 5 3 2 3 3 2" xfId="3405" xr:uid="{00000000-0005-0000-0000-0000BC0C0000}"/>
    <cellStyle name="Currency 5 3 2 3 3 2 2" xfId="7628" xr:uid="{00000000-0005-0000-0000-0000BD0C0000}"/>
    <cellStyle name="Currency 5 3 2 3 3 3" xfId="5483" xr:uid="{00000000-0005-0000-0000-0000BE0C0000}"/>
    <cellStyle name="Currency 5 3 2 3 4" xfId="1588" xr:uid="{00000000-0005-0000-0000-0000BF0C0000}"/>
    <cellStyle name="Currency 5 3 2 3 4 2" xfId="3818" xr:uid="{00000000-0005-0000-0000-0000C00C0000}"/>
    <cellStyle name="Currency 5 3 2 3 4 2 2" xfId="8041" xr:uid="{00000000-0005-0000-0000-0000C10C0000}"/>
    <cellStyle name="Currency 5 3 2 3 4 3" xfId="5896" xr:uid="{00000000-0005-0000-0000-0000C20C0000}"/>
    <cellStyle name="Currency 5 3 2 3 5" xfId="2002" xr:uid="{00000000-0005-0000-0000-0000C30C0000}"/>
    <cellStyle name="Currency 5 3 2 3 5 2" xfId="4231" xr:uid="{00000000-0005-0000-0000-0000C40C0000}"/>
    <cellStyle name="Currency 5 3 2 3 5 2 2" xfId="8454" xr:uid="{00000000-0005-0000-0000-0000C50C0000}"/>
    <cellStyle name="Currency 5 3 2 3 5 3" xfId="6309" xr:uid="{00000000-0005-0000-0000-0000C60C0000}"/>
    <cellStyle name="Currency 5 3 2 3 6" xfId="2437" xr:uid="{00000000-0005-0000-0000-0000C70C0000}"/>
    <cellStyle name="Currency 5 3 2 3 6 2" xfId="6722" xr:uid="{00000000-0005-0000-0000-0000C80C0000}"/>
    <cellStyle name="Currency 5 3 2 3 7" xfId="2734" xr:uid="{00000000-0005-0000-0000-0000C90C0000}"/>
    <cellStyle name="Currency 5 3 2 3 8" xfId="2815" xr:uid="{00000000-0005-0000-0000-0000CA0C0000}"/>
    <cellStyle name="Currency 5 3 2 3 8 2" xfId="7039" xr:uid="{00000000-0005-0000-0000-0000CB0C0000}"/>
    <cellStyle name="Currency 5 3 2 3 9" xfId="4656" xr:uid="{00000000-0005-0000-0000-0000CC0C0000}"/>
    <cellStyle name="Currency 5 3 2 4" xfId="736" xr:uid="{00000000-0005-0000-0000-0000CD0C0000}"/>
    <cellStyle name="Currency 5 3 2 4 2" xfId="2989" xr:uid="{00000000-0005-0000-0000-0000CE0C0000}"/>
    <cellStyle name="Currency 5 3 2 4 2 2" xfId="7212" xr:uid="{00000000-0005-0000-0000-0000CF0C0000}"/>
    <cellStyle name="Currency 5 3 2 4 3" xfId="5067" xr:uid="{00000000-0005-0000-0000-0000D00C0000}"/>
    <cellStyle name="Currency 5 3 2 5" xfId="1171" xr:uid="{00000000-0005-0000-0000-0000D10C0000}"/>
    <cellStyle name="Currency 5 3 2 5 2" xfId="3402" xr:uid="{00000000-0005-0000-0000-0000D20C0000}"/>
    <cellStyle name="Currency 5 3 2 5 2 2" xfId="7625" xr:uid="{00000000-0005-0000-0000-0000D30C0000}"/>
    <cellStyle name="Currency 5 3 2 5 3" xfId="5480" xr:uid="{00000000-0005-0000-0000-0000D40C0000}"/>
    <cellStyle name="Currency 5 3 2 6" xfId="1585" xr:uid="{00000000-0005-0000-0000-0000D50C0000}"/>
    <cellStyle name="Currency 5 3 2 6 2" xfId="3815" xr:uid="{00000000-0005-0000-0000-0000D60C0000}"/>
    <cellStyle name="Currency 5 3 2 6 2 2" xfId="8038" xr:uid="{00000000-0005-0000-0000-0000D70C0000}"/>
    <cellStyle name="Currency 5 3 2 6 3" xfId="5893" xr:uid="{00000000-0005-0000-0000-0000D80C0000}"/>
    <cellStyle name="Currency 5 3 2 7" xfId="1999" xr:uid="{00000000-0005-0000-0000-0000D90C0000}"/>
    <cellStyle name="Currency 5 3 2 7 2" xfId="4228" xr:uid="{00000000-0005-0000-0000-0000DA0C0000}"/>
    <cellStyle name="Currency 5 3 2 7 2 2" xfId="8451" xr:uid="{00000000-0005-0000-0000-0000DB0C0000}"/>
    <cellStyle name="Currency 5 3 2 7 3" xfId="6306" xr:uid="{00000000-0005-0000-0000-0000DC0C0000}"/>
    <cellStyle name="Currency 5 3 2 8" xfId="2434" xr:uid="{00000000-0005-0000-0000-0000DD0C0000}"/>
    <cellStyle name="Currency 5 3 2 8 2" xfId="6719" xr:uid="{00000000-0005-0000-0000-0000DE0C0000}"/>
    <cellStyle name="Currency 5 3 2 9" xfId="2731" xr:uid="{00000000-0005-0000-0000-0000DF0C0000}"/>
    <cellStyle name="Currency 5 3 3" xfId="214" xr:uid="{00000000-0005-0000-0000-0000E00C0000}"/>
    <cellStyle name="Currency 5 3 3 10" xfId="4657" xr:uid="{00000000-0005-0000-0000-0000E10C0000}"/>
    <cellStyle name="Currency 5 3 3 2" xfId="215" xr:uid="{00000000-0005-0000-0000-0000E20C0000}"/>
    <cellStyle name="Currency 5 3 3 2 2" xfId="741" xr:uid="{00000000-0005-0000-0000-0000E30C0000}"/>
    <cellStyle name="Currency 5 3 3 2 2 2" xfId="2994" xr:uid="{00000000-0005-0000-0000-0000E40C0000}"/>
    <cellStyle name="Currency 5 3 3 2 2 2 2" xfId="7217" xr:uid="{00000000-0005-0000-0000-0000E50C0000}"/>
    <cellStyle name="Currency 5 3 3 2 2 3" xfId="5072" xr:uid="{00000000-0005-0000-0000-0000E60C0000}"/>
    <cellStyle name="Currency 5 3 3 2 3" xfId="1176" xr:uid="{00000000-0005-0000-0000-0000E70C0000}"/>
    <cellStyle name="Currency 5 3 3 2 3 2" xfId="3407" xr:uid="{00000000-0005-0000-0000-0000E80C0000}"/>
    <cellStyle name="Currency 5 3 3 2 3 2 2" xfId="7630" xr:uid="{00000000-0005-0000-0000-0000E90C0000}"/>
    <cellStyle name="Currency 5 3 3 2 3 3" xfId="5485" xr:uid="{00000000-0005-0000-0000-0000EA0C0000}"/>
    <cellStyle name="Currency 5 3 3 2 4" xfId="1590" xr:uid="{00000000-0005-0000-0000-0000EB0C0000}"/>
    <cellStyle name="Currency 5 3 3 2 4 2" xfId="3820" xr:uid="{00000000-0005-0000-0000-0000EC0C0000}"/>
    <cellStyle name="Currency 5 3 3 2 4 2 2" xfId="8043" xr:uid="{00000000-0005-0000-0000-0000ED0C0000}"/>
    <cellStyle name="Currency 5 3 3 2 4 3" xfId="5898" xr:uid="{00000000-0005-0000-0000-0000EE0C0000}"/>
    <cellStyle name="Currency 5 3 3 2 5" xfId="2004" xr:uid="{00000000-0005-0000-0000-0000EF0C0000}"/>
    <cellStyle name="Currency 5 3 3 2 5 2" xfId="4233" xr:uid="{00000000-0005-0000-0000-0000F00C0000}"/>
    <cellStyle name="Currency 5 3 3 2 5 2 2" xfId="8456" xr:uid="{00000000-0005-0000-0000-0000F10C0000}"/>
    <cellStyle name="Currency 5 3 3 2 5 3" xfId="6311" xr:uid="{00000000-0005-0000-0000-0000F20C0000}"/>
    <cellStyle name="Currency 5 3 3 2 6" xfId="2439" xr:uid="{00000000-0005-0000-0000-0000F30C0000}"/>
    <cellStyle name="Currency 5 3 3 2 6 2" xfId="6724" xr:uid="{00000000-0005-0000-0000-0000F40C0000}"/>
    <cellStyle name="Currency 5 3 3 2 7" xfId="2736" xr:uid="{00000000-0005-0000-0000-0000F50C0000}"/>
    <cellStyle name="Currency 5 3 3 2 8" xfId="2817" xr:uid="{00000000-0005-0000-0000-0000F60C0000}"/>
    <cellStyle name="Currency 5 3 3 2 8 2" xfId="7041" xr:uid="{00000000-0005-0000-0000-0000F70C0000}"/>
    <cellStyle name="Currency 5 3 3 2 9" xfId="4658" xr:uid="{00000000-0005-0000-0000-0000F80C0000}"/>
    <cellStyle name="Currency 5 3 3 3" xfId="740" xr:uid="{00000000-0005-0000-0000-0000F90C0000}"/>
    <cellStyle name="Currency 5 3 3 3 2" xfId="2993" xr:uid="{00000000-0005-0000-0000-0000FA0C0000}"/>
    <cellStyle name="Currency 5 3 3 3 2 2" xfId="7216" xr:uid="{00000000-0005-0000-0000-0000FB0C0000}"/>
    <cellStyle name="Currency 5 3 3 3 3" xfId="5071" xr:uid="{00000000-0005-0000-0000-0000FC0C0000}"/>
    <cellStyle name="Currency 5 3 3 4" xfId="1175" xr:uid="{00000000-0005-0000-0000-0000FD0C0000}"/>
    <cellStyle name="Currency 5 3 3 4 2" xfId="3406" xr:uid="{00000000-0005-0000-0000-0000FE0C0000}"/>
    <cellStyle name="Currency 5 3 3 4 2 2" xfId="7629" xr:uid="{00000000-0005-0000-0000-0000FF0C0000}"/>
    <cellStyle name="Currency 5 3 3 4 3" xfId="5484" xr:uid="{00000000-0005-0000-0000-0000000D0000}"/>
    <cellStyle name="Currency 5 3 3 5" xfId="1589" xr:uid="{00000000-0005-0000-0000-0000010D0000}"/>
    <cellStyle name="Currency 5 3 3 5 2" xfId="3819" xr:uid="{00000000-0005-0000-0000-0000020D0000}"/>
    <cellStyle name="Currency 5 3 3 5 2 2" xfId="8042" xr:uid="{00000000-0005-0000-0000-0000030D0000}"/>
    <cellStyle name="Currency 5 3 3 5 3" xfId="5897" xr:uid="{00000000-0005-0000-0000-0000040D0000}"/>
    <cellStyle name="Currency 5 3 3 6" xfId="2003" xr:uid="{00000000-0005-0000-0000-0000050D0000}"/>
    <cellStyle name="Currency 5 3 3 6 2" xfId="4232" xr:uid="{00000000-0005-0000-0000-0000060D0000}"/>
    <cellStyle name="Currency 5 3 3 6 2 2" xfId="8455" xr:uid="{00000000-0005-0000-0000-0000070D0000}"/>
    <cellStyle name="Currency 5 3 3 6 3" xfId="6310" xr:uid="{00000000-0005-0000-0000-0000080D0000}"/>
    <cellStyle name="Currency 5 3 3 7" xfId="2438" xr:uid="{00000000-0005-0000-0000-0000090D0000}"/>
    <cellStyle name="Currency 5 3 3 7 2" xfId="6723" xr:uid="{00000000-0005-0000-0000-00000A0D0000}"/>
    <cellStyle name="Currency 5 3 3 8" xfId="2735" xr:uid="{00000000-0005-0000-0000-00000B0D0000}"/>
    <cellStyle name="Currency 5 3 3 9" xfId="2816" xr:uid="{00000000-0005-0000-0000-00000C0D0000}"/>
    <cellStyle name="Currency 5 3 3 9 2" xfId="7040" xr:uid="{00000000-0005-0000-0000-00000D0D0000}"/>
    <cellStyle name="Currency 5 3 4" xfId="216" xr:uid="{00000000-0005-0000-0000-00000E0D0000}"/>
    <cellStyle name="Currency 5 3 4 2" xfId="742" xr:uid="{00000000-0005-0000-0000-00000F0D0000}"/>
    <cellStyle name="Currency 5 3 4 2 2" xfId="2995" xr:uid="{00000000-0005-0000-0000-0000100D0000}"/>
    <cellStyle name="Currency 5 3 4 2 2 2" xfId="7218" xr:uid="{00000000-0005-0000-0000-0000110D0000}"/>
    <cellStyle name="Currency 5 3 4 2 3" xfId="5073" xr:uid="{00000000-0005-0000-0000-0000120D0000}"/>
    <cellStyle name="Currency 5 3 4 3" xfId="1177" xr:uid="{00000000-0005-0000-0000-0000130D0000}"/>
    <cellStyle name="Currency 5 3 4 3 2" xfId="3408" xr:uid="{00000000-0005-0000-0000-0000140D0000}"/>
    <cellStyle name="Currency 5 3 4 3 2 2" xfId="7631" xr:uid="{00000000-0005-0000-0000-0000150D0000}"/>
    <cellStyle name="Currency 5 3 4 3 3" xfId="5486" xr:uid="{00000000-0005-0000-0000-0000160D0000}"/>
    <cellStyle name="Currency 5 3 4 4" xfId="1591" xr:uid="{00000000-0005-0000-0000-0000170D0000}"/>
    <cellStyle name="Currency 5 3 4 4 2" xfId="3821" xr:uid="{00000000-0005-0000-0000-0000180D0000}"/>
    <cellStyle name="Currency 5 3 4 4 2 2" xfId="8044" xr:uid="{00000000-0005-0000-0000-0000190D0000}"/>
    <cellStyle name="Currency 5 3 4 4 3" xfId="5899" xr:uid="{00000000-0005-0000-0000-00001A0D0000}"/>
    <cellStyle name="Currency 5 3 4 5" xfId="2005" xr:uid="{00000000-0005-0000-0000-00001B0D0000}"/>
    <cellStyle name="Currency 5 3 4 5 2" xfId="4234" xr:uid="{00000000-0005-0000-0000-00001C0D0000}"/>
    <cellStyle name="Currency 5 3 4 5 2 2" xfId="8457" xr:uid="{00000000-0005-0000-0000-00001D0D0000}"/>
    <cellStyle name="Currency 5 3 4 5 3" xfId="6312" xr:uid="{00000000-0005-0000-0000-00001E0D0000}"/>
    <cellStyle name="Currency 5 3 4 6" xfId="2440" xr:uid="{00000000-0005-0000-0000-00001F0D0000}"/>
    <cellStyle name="Currency 5 3 4 6 2" xfId="6725" xr:uid="{00000000-0005-0000-0000-0000200D0000}"/>
    <cellStyle name="Currency 5 3 4 7" xfId="2737" xr:uid="{00000000-0005-0000-0000-0000210D0000}"/>
    <cellStyle name="Currency 5 3 4 8" xfId="2818" xr:uid="{00000000-0005-0000-0000-0000220D0000}"/>
    <cellStyle name="Currency 5 3 4 8 2" xfId="7042" xr:uid="{00000000-0005-0000-0000-0000230D0000}"/>
    <cellStyle name="Currency 5 3 4 9" xfId="4659" xr:uid="{00000000-0005-0000-0000-0000240D0000}"/>
    <cellStyle name="Currency 5 3 5" xfId="217" xr:uid="{00000000-0005-0000-0000-0000250D0000}"/>
    <cellStyle name="Currency 5 3 5 2" xfId="743" xr:uid="{00000000-0005-0000-0000-0000260D0000}"/>
    <cellStyle name="Currency 5 3 5 2 2" xfId="2996" xr:uid="{00000000-0005-0000-0000-0000270D0000}"/>
    <cellStyle name="Currency 5 3 5 2 2 2" xfId="7219" xr:uid="{00000000-0005-0000-0000-0000280D0000}"/>
    <cellStyle name="Currency 5 3 5 2 3" xfId="5074" xr:uid="{00000000-0005-0000-0000-0000290D0000}"/>
    <cellStyle name="Currency 5 3 5 3" xfId="1178" xr:uid="{00000000-0005-0000-0000-00002A0D0000}"/>
    <cellStyle name="Currency 5 3 5 3 2" xfId="3409" xr:uid="{00000000-0005-0000-0000-00002B0D0000}"/>
    <cellStyle name="Currency 5 3 5 3 2 2" xfId="7632" xr:uid="{00000000-0005-0000-0000-00002C0D0000}"/>
    <cellStyle name="Currency 5 3 5 3 3" xfId="5487" xr:uid="{00000000-0005-0000-0000-00002D0D0000}"/>
    <cellStyle name="Currency 5 3 5 4" xfId="1592" xr:uid="{00000000-0005-0000-0000-00002E0D0000}"/>
    <cellStyle name="Currency 5 3 5 4 2" xfId="3822" xr:uid="{00000000-0005-0000-0000-00002F0D0000}"/>
    <cellStyle name="Currency 5 3 5 4 2 2" xfId="8045" xr:uid="{00000000-0005-0000-0000-0000300D0000}"/>
    <cellStyle name="Currency 5 3 5 4 3" xfId="5900" xr:uid="{00000000-0005-0000-0000-0000310D0000}"/>
    <cellStyle name="Currency 5 3 5 5" xfId="2006" xr:uid="{00000000-0005-0000-0000-0000320D0000}"/>
    <cellStyle name="Currency 5 3 5 5 2" xfId="4235" xr:uid="{00000000-0005-0000-0000-0000330D0000}"/>
    <cellStyle name="Currency 5 3 5 5 2 2" xfId="8458" xr:uid="{00000000-0005-0000-0000-0000340D0000}"/>
    <cellStyle name="Currency 5 3 5 5 3" xfId="6313" xr:uid="{00000000-0005-0000-0000-0000350D0000}"/>
    <cellStyle name="Currency 5 3 5 6" xfId="2441" xr:uid="{00000000-0005-0000-0000-0000360D0000}"/>
    <cellStyle name="Currency 5 3 5 6 2" xfId="6726" xr:uid="{00000000-0005-0000-0000-0000370D0000}"/>
    <cellStyle name="Currency 5 3 5 7" xfId="2738" xr:uid="{00000000-0005-0000-0000-0000380D0000}"/>
    <cellStyle name="Currency 5 3 5 8" xfId="2819" xr:uid="{00000000-0005-0000-0000-0000390D0000}"/>
    <cellStyle name="Currency 5 3 5 8 2" xfId="7043" xr:uid="{00000000-0005-0000-0000-00003A0D0000}"/>
    <cellStyle name="Currency 5 3 5 9" xfId="4660" xr:uid="{00000000-0005-0000-0000-00003B0D0000}"/>
    <cellStyle name="Currency 5 4" xfId="218" xr:uid="{00000000-0005-0000-0000-00003C0D0000}"/>
    <cellStyle name="Currency 5 4 2" xfId="744" xr:uid="{00000000-0005-0000-0000-00003D0D0000}"/>
    <cellStyle name="Currency 5 5" xfId="219" xr:uid="{00000000-0005-0000-0000-00003E0D0000}"/>
    <cellStyle name="Currency 5 5 10" xfId="4661" xr:uid="{00000000-0005-0000-0000-00003F0D0000}"/>
    <cellStyle name="Currency 5 5 2" xfId="220" xr:uid="{00000000-0005-0000-0000-0000400D0000}"/>
    <cellStyle name="Currency 5 5 2 2" xfId="746" xr:uid="{00000000-0005-0000-0000-0000410D0000}"/>
    <cellStyle name="Currency 5 5 2 2 2" xfId="2998" xr:uid="{00000000-0005-0000-0000-0000420D0000}"/>
    <cellStyle name="Currency 5 5 2 2 2 2" xfId="7221" xr:uid="{00000000-0005-0000-0000-0000430D0000}"/>
    <cellStyle name="Currency 5 5 2 2 3" xfId="5076" xr:uid="{00000000-0005-0000-0000-0000440D0000}"/>
    <cellStyle name="Currency 5 5 2 3" xfId="1180" xr:uid="{00000000-0005-0000-0000-0000450D0000}"/>
    <cellStyle name="Currency 5 5 2 3 2" xfId="3411" xr:uid="{00000000-0005-0000-0000-0000460D0000}"/>
    <cellStyle name="Currency 5 5 2 3 2 2" xfId="7634" xr:uid="{00000000-0005-0000-0000-0000470D0000}"/>
    <cellStyle name="Currency 5 5 2 3 3" xfId="5489" xr:uid="{00000000-0005-0000-0000-0000480D0000}"/>
    <cellStyle name="Currency 5 5 2 4" xfId="1594" xr:uid="{00000000-0005-0000-0000-0000490D0000}"/>
    <cellStyle name="Currency 5 5 2 4 2" xfId="3824" xr:uid="{00000000-0005-0000-0000-00004A0D0000}"/>
    <cellStyle name="Currency 5 5 2 4 2 2" xfId="8047" xr:uid="{00000000-0005-0000-0000-00004B0D0000}"/>
    <cellStyle name="Currency 5 5 2 4 3" xfId="5902" xr:uid="{00000000-0005-0000-0000-00004C0D0000}"/>
    <cellStyle name="Currency 5 5 2 5" xfId="2008" xr:uid="{00000000-0005-0000-0000-00004D0D0000}"/>
    <cellStyle name="Currency 5 5 2 5 2" xfId="4237" xr:uid="{00000000-0005-0000-0000-00004E0D0000}"/>
    <cellStyle name="Currency 5 5 2 5 2 2" xfId="8460" xr:uid="{00000000-0005-0000-0000-00004F0D0000}"/>
    <cellStyle name="Currency 5 5 2 5 3" xfId="6315" xr:uid="{00000000-0005-0000-0000-0000500D0000}"/>
    <cellStyle name="Currency 5 5 2 6" xfId="2443" xr:uid="{00000000-0005-0000-0000-0000510D0000}"/>
    <cellStyle name="Currency 5 5 2 6 2" xfId="6728" xr:uid="{00000000-0005-0000-0000-0000520D0000}"/>
    <cellStyle name="Currency 5 5 2 7" xfId="2740" xr:uid="{00000000-0005-0000-0000-0000530D0000}"/>
    <cellStyle name="Currency 5 5 2 8" xfId="2821" xr:uid="{00000000-0005-0000-0000-0000540D0000}"/>
    <cellStyle name="Currency 5 5 2 8 2" xfId="7045" xr:uid="{00000000-0005-0000-0000-0000550D0000}"/>
    <cellStyle name="Currency 5 5 2 9" xfId="4662" xr:uid="{00000000-0005-0000-0000-0000560D0000}"/>
    <cellStyle name="Currency 5 5 3" xfId="745" xr:uid="{00000000-0005-0000-0000-0000570D0000}"/>
    <cellStyle name="Currency 5 5 3 2" xfId="2997" xr:uid="{00000000-0005-0000-0000-0000580D0000}"/>
    <cellStyle name="Currency 5 5 3 2 2" xfId="7220" xr:uid="{00000000-0005-0000-0000-0000590D0000}"/>
    <cellStyle name="Currency 5 5 3 3" xfId="5075" xr:uid="{00000000-0005-0000-0000-00005A0D0000}"/>
    <cellStyle name="Currency 5 5 4" xfId="1179" xr:uid="{00000000-0005-0000-0000-00005B0D0000}"/>
    <cellStyle name="Currency 5 5 4 2" xfId="3410" xr:uid="{00000000-0005-0000-0000-00005C0D0000}"/>
    <cellStyle name="Currency 5 5 4 2 2" xfId="7633" xr:uid="{00000000-0005-0000-0000-00005D0D0000}"/>
    <cellStyle name="Currency 5 5 4 3" xfId="5488" xr:uid="{00000000-0005-0000-0000-00005E0D0000}"/>
    <cellStyle name="Currency 5 5 5" xfId="1593" xr:uid="{00000000-0005-0000-0000-00005F0D0000}"/>
    <cellStyle name="Currency 5 5 5 2" xfId="3823" xr:uid="{00000000-0005-0000-0000-0000600D0000}"/>
    <cellStyle name="Currency 5 5 5 2 2" xfId="8046" xr:uid="{00000000-0005-0000-0000-0000610D0000}"/>
    <cellStyle name="Currency 5 5 5 3" xfId="5901" xr:uid="{00000000-0005-0000-0000-0000620D0000}"/>
    <cellStyle name="Currency 5 5 6" xfId="2007" xr:uid="{00000000-0005-0000-0000-0000630D0000}"/>
    <cellStyle name="Currency 5 5 6 2" xfId="4236" xr:uid="{00000000-0005-0000-0000-0000640D0000}"/>
    <cellStyle name="Currency 5 5 6 2 2" xfId="8459" xr:uid="{00000000-0005-0000-0000-0000650D0000}"/>
    <cellStyle name="Currency 5 5 6 3" xfId="6314" xr:uid="{00000000-0005-0000-0000-0000660D0000}"/>
    <cellStyle name="Currency 5 5 7" xfId="2442" xr:uid="{00000000-0005-0000-0000-0000670D0000}"/>
    <cellStyle name="Currency 5 5 7 2" xfId="6727" xr:uid="{00000000-0005-0000-0000-0000680D0000}"/>
    <cellStyle name="Currency 5 5 8" xfId="2739" xr:uid="{00000000-0005-0000-0000-0000690D0000}"/>
    <cellStyle name="Currency 5 5 9" xfId="2820" xr:uid="{00000000-0005-0000-0000-00006A0D0000}"/>
    <cellStyle name="Currency 5 5 9 2" xfId="7044" xr:uid="{00000000-0005-0000-0000-00006B0D0000}"/>
    <cellStyle name="Currency 5 6" xfId="221" xr:uid="{00000000-0005-0000-0000-00006C0D0000}"/>
    <cellStyle name="Currency 5 6 2" xfId="747" xr:uid="{00000000-0005-0000-0000-00006D0D0000}"/>
    <cellStyle name="Currency 5 6 2 2" xfId="2999" xr:uid="{00000000-0005-0000-0000-00006E0D0000}"/>
    <cellStyle name="Currency 5 6 2 2 2" xfId="7222" xr:uid="{00000000-0005-0000-0000-00006F0D0000}"/>
    <cellStyle name="Currency 5 6 2 3" xfId="5077" xr:uid="{00000000-0005-0000-0000-0000700D0000}"/>
    <cellStyle name="Currency 5 6 3" xfId="1181" xr:uid="{00000000-0005-0000-0000-0000710D0000}"/>
    <cellStyle name="Currency 5 6 3 2" xfId="3412" xr:uid="{00000000-0005-0000-0000-0000720D0000}"/>
    <cellStyle name="Currency 5 6 3 2 2" xfId="7635" xr:uid="{00000000-0005-0000-0000-0000730D0000}"/>
    <cellStyle name="Currency 5 6 3 3" xfId="5490" xr:uid="{00000000-0005-0000-0000-0000740D0000}"/>
    <cellStyle name="Currency 5 6 4" xfId="1595" xr:uid="{00000000-0005-0000-0000-0000750D0000}"/>
    <cellStyle name="Currency 5 6 4 2" xfId="3825" xr:uid="{00000000-0005-0000-0000-0000760D0000}"/>
    <cellStyle name="Currency 5 6 4 2 2" xfId="8048" xr:uid="{00000000-0005-0000-0000-0000770D0000}"/>
    <cellStyle name="Currency 5 6 4 3" xfId="5903" xr:uid="{00000000-0005-0000-0000-0000780D0000}"/>
    <cellStyle name="Currency 5 6 5" xfId="2009" xr:uid="{00000000-0005-0000-0000-0000790D0000}"/>
    <cellStyle name="Currency 5 6 5 2" xfId="4238" xr:uid="{00000000-0005-0000-0000-00007A0D0000}"/>
    <cellStyle name="Currency 5 6 5 2 2" xfId="8461" xr:uid="{00000000-0005-0000-0000-00007B0D0000}"/>
    <cellStyle name="Currency 5 6 5 3" xfId="6316" xr:uid="{00000000-0005-0000-0000-00007C0D0000}"/>
    <cellStyle name="Currency 5 6 6" xfId="2444" xr:uid="{00000000-0005-0000-0000-00007D0D0000}"/>
    <cellStyle name="Currency 5 6 6 2" xfId="6729" xr:uid="{00000000-0005-0000-0000-00007E0D0000}"/>
    <cellStyle name="Currency 5 6 7" xfId="2741" xr:uid="{00000000-0005-0000-0000-00007F0D0000}"/>
    <cellStyle name="Currency 5 6 8" xfId="2822" xr:uid="{00000000-0005-0000-0000-0000800D0000}"/>
    <cellStyle name="Currency 5 6 8 2" xfId="7046" xr:uid="{00000000-0005-0000-0000-0000810D0000}"/>
    <cellStyle name="Currency 5 6 9" xfId="4663" xr:uid="{00000000-0005-0000-0000-0000820D0000}"/>
    <cellStyle name="Currency 5 7" xfId="222" xr:uid="{00000000-0005-0000-0000-0000830D0000}"/>
    <cellStyle name="Currency 5 7 2" xfId="748" xr:uid="{00000000-0005-0000-0000-0000840D0000}"/>
    <cellStyle name="Currency 5 7 2 2" xfId="3000" xr:uid="{00000000-0005-0000-0000-0000850D0000}"/>
    <cellStyle name="Currency 5 7 2 2 2" xfId="7223" xr:uid="{00000000-0005-0000-0000-0000860D0000}"/>
    <cellStyle name="Currency 5 7 2 3" xfId="5078" xr:uid="{00000000-0005-0000-0000-0000870D0000}"/>
    <cellStyle name="Currency 5 7 3" xfId="1182" xr:uid="{00000000-0005-0000-0000-0000880D0000}"/>
    <cellStyle name="Currency 5 7 3 2" xfId="3413" xr:uid="{00000000-0005-0000-0000-0000890D0000}"/>
    <cellStyle name="Currency 5 7 3 2 2" xfId="7636" xr:uid="{00000000-0005-0000-0000-00008A0D0000}"/>
    <cellStyle name="Currency 5 7 3 3" xfId="5491" xr:uid="{00000000-0005-0000-0000-00008B0D0000}"/>
    <cellStyle name="Currency 5 7 4" xfId="1596" xr:uid="{00000000-0005-0000-0000-00008C0D0000}"/>
    <cellStyle name="Currency 5 7 4 2" xfId="3826" xr:uid="{00000000-0005-0000-0000-00008D0D0000}"/>
    <cellStyle name="Currency 5 7 4 2 2" xfId="8049" xr:uid="{00000000-0005-0000-0000-00008E0D0000}"/>
    <cellStyle name="Currency 5 7 4 3" xfId="5904" xr:uid="{00000000-0005-0000-0000-00008F0D0000}"/>
    <cellStyle name="Currency 5 7 5" xfId="2010" xr:uid="{00000000-0005-0000-0000-0000900D0000}"/>
    <cellStyle name="Currency 5 7 5 2" xfId="4239" xr:uid="{00000000-0005-0000-0000-0000910D0000}"/>
    <cellStyle name="Currency 5 7 5 2 2" xfId="8462" xr:uid="{00000000-0005-0000-0000-0000920D0000}"/>
    <cellStyle name="Currency 5 7 5 3" xfId="6317" xr:uid="{00000000-0005-0000-0000-0000930D0000}"/>
    <cellStyle name="Currency 5 7 6" xfId="2445" xr:uid="{00000000-0005-0000-0000-0000940D0000}"/>
    <cellStyle name="Currency 5 7 6 2" xfId="6730" xr:uid="{00000000-0005-0000-0000-0000950D0000}"/>
    <cellStyle name="Currency 5 7 7" xfId="2742" xr:uid="{00000000-0005-0000-0000-0000960D0000}"/>
    <cellStyle name="Currency 5 7 8" xfId="2823" xr:uid="{00000000-0005-0000-0000-0000970D0000}"/>
    <cellStyle name="Currency 5 7 8 2" xfId="7047" xr:uid="{00000000-0005-0000-0000-0000980D0000}"/>
    <cellStyle name="Currency 5 7 9" xfId="4664" xr:uid="{00000000-0005-0000-0000-0000990D0000}"/>
    <cellStyle name="Currency 5 8" xfId="721" xr:uid="{00000000-0005-0000-0000-00009A0D0000}"/>
    <cellStyle name="Currency 6" xfId="223" xr:uid="{00000000-0005-0000-0000-00009B0D0000}"/>
    <cellStyle name="Currency 6 2" xfId="224" xr:uid="{00000000-0005-0000-0000-00009C0D0000}"/>
    <cellStyle name="Currency 6 3" xfId="225" xr:uid="{00000000-0005-0000-0000-00009D0D0000}"/>
    <cellStyle name="Currency 6 3 2" xfId="750" xr:uid="{00000000-0005-0000-0000-00009E0D0000}"/>
    <cellStyle name="Currency 6 4" xfId="749" xr:uid="{00000000-0005-0000-0000-00009F0D0000}"/>
    <cellStyle name="Currency 7" xfId="226" xr:uid="{00000000-0005-0000-0000-0000A00D0000}"/>
    <cellStyle name="Currency 7 2" xfId="227" xr:uid="{00000000-0005-0000-0000-0000A10D0000}"/>
    <cellStyle name="Currency 7 2 2" xfId="752" xr:uid="{00000000-0005-0000-0000-0000A20D0000}"/>
    <cellStyle name="Currency 7 3" xfId="228" xr:uid="{00000000-0005-0000-0000-0000A30D0000}"/>
    <cellStyle name="Currency 7 3 2" xfId="753" xr:uid="{00000000-0005-0000-0000-0000A40D0000}"/>
    <cellStyle name="Currency 7 4" xfId="229" xr:uid="{00000000-0005-0000-0000-0000A50D0000}"/>
    <cellStyle name="Currency 7 4 2" xfId="754" xr:uid="{00000000-0005-0000-0000-0000A60D0000}"/>
    <cellStyle name="Currency 7 5" xfId="751" xr:uid="{00000000-0005-0000-0000-0000A70D0000}"/>
    <cellStyle name="Currency 8" xfId="230" xr:uid="{00000000-0005-0000-0000-0000A80D0000}"/>
    <cellStyle name="Currency 8 2" xfId="231" xr:uid="{00000000-0005-0000-0000-0000A90D0000}"/>
    <cellStyle name="Currency 8 2 2" xfId="756" xr:uid="{00000000-0005-0000-0000-0000AA0D0000}"/>
    <cellStyle name="Currency 8 3" xfId="755" xr:uid="{00000000-0005-0000-0000-0000AB0D0000}"/>
    <cellStyle name="Currency 9" xfId="232" xr:uid="{00000000-0005-0000-0000-0000AC0D0000}"/>
    <cellStyle name="Currency 9 2" xfId="233" xr:uid="{00000000-0005-0000-0000-0000AD0D0000}"/>
    <cellStyle name="Currency 9 2 2" xfId="758" xr:uid="{00000000-0005-0000-0000-0000AE0D0000}"/>
    <cellStyle name="Currency 9 3" xfId="757" xr:uid="{00000000-0005-0000-0000-0000AF0D0000}"/>
    <cellStyle name="Explanatory Text" xfId="234" builtinId="53" customBuiltin="1"/>
    <cellStyle name="Good" xfId="235" builtinId="26" customBuiltin="1"/>
    <cellStyle name="Heading 1" xfId="236" builtinId="16" customBuiltin="1"/>
    <cellStyle name="Heading 1 2" xfId="237" xr:uid="{00000000-0005-0000-0000-0000B30D0000}"/>
    <cellStyle name="Heading 2" xfId="238" builtinId="17" customBuiltin="1"/>
    <cellStyle name="Heading 2 2" xfId="239" xr:uid="{00000000-0005-0000-0000-0000B50D0000}"/>
    <cellStyle name="Heading 3" xfId="240" builtinId="18" customBuiltin="1"/>
    <cellStyle name="Heading 3 2" xfId="241" xr:uid="{00000000-0005-0000-0000-0000B70D0000}"/>
    <cellStyle name="Heading 4" xfId="242" builtinId="19" customBuiltin="1"/>
    <cellStyle name="Heading 4 2" xfId="243" xr:uid="{00000000-0005-0000-0000-0000B90D0000}"/>
    <cellStyle name="Hyperlink" xfId="244" builtinId="8"/>
    <cellStyle name="Hyperlink 2" xfId="245" xr:uid="{00000000-0005-0000-0000-0000BB0D0000}"/>
    <cellStyle name="Hyperlink 2 2" xfId="246" xr:uid="{00000000-0005-0000-0000-0000BC0D0000}"/>
    <cellStyle name="Input" xfId="247" builtinId="20" customBuiltin="1"/>
    <cellStyle name="Label" xfId="248" xr:uid="{00000000-0005-0000-0000-0000BE0D0000}"/>
    <cellStyle name="Label No Shade" xfId="249" xr:uid="{00000000-0005-0000-0000-0000BF0D0000}"/>
    <cellStyle name="Label Shaded" xfId="250" xr:uid="{00000000-0005-0000-0000-0000C00D0000}"/>
    <cellStyle name="Linked Cell" xfId="251" builtinId="24" customBuiltin="1"/>
    <cellStyle name="Neutral" xfId="252" builtinId="28" customBuiltin="1"/>
    <cellStyle name="Normal" xfId="0" builtinId="0"/>
    <cellStyle name="Normal 10" xfId="253" xr:uid="{00000000-0005-0000-0000-0000C40D0000}"/>
    <cellStyle name="Normal 10 2" xfId="254" xr:uid="{00000000-0005-0000-0000-0000C50D0000}"/>
    <cellStyle name="Normal 10 3" xfId="255" xr:uid="{00000000-0005-0000-0000-0000C60D0000}"/>
    <cellStyle name="Normal 11" xfId="256" xr:uid="{00000000-0005-0000-0000-0000C70D0000}"/>
    <cellStyle name="Normal 11 2" xfId="257" xr:uid="{00000000-0005-0000-0000-0000C80D0000}"/>
    <cellStyle name="Normal 11 2 3" xfId="569" xr:uid="{00000000-0005-0000-0000-0000C90D0000}"/>
    <cellStyle name="Normal 11 2 3 2" xfId="8726" xr:uid="{00000000-0005-0000-0000-0000CA0D0000}"/>
    <cellStyle name="Normal 11 3" xfId="258" xr:uid="{00000000-0005-0000-0000-0000CB0D0000}"/>
    <cellStyle name="Normal 11 3 2" xfId="759" xr:uid="{00000000-0005-0000-0000-0000CC0D0000}"/>
    <cellStyle name="Normal 12" xfId="259" xr:uid="{00000000-0005-0000-0000-0000CD0D0000}"/>
    <cellStyle name="Normal 12 10" xfId="2447" xr:uid="{00000000-0005-0000-0000-0000CE0D0000}"/>
    <cellStyle name="Normal 12 10 2" xfId="6731" xr:uid="{00000000-0005-0000-0000-0000CF0D0000}"/>
    <cellStyle name="Normal 12 11" xfId="4665" xr:uid="{00000000-0005-0000-0000-0000D00D0000}"/>
    <cellStyle name="Normal 12 2" xfId="260" xr:uid="{00000000-0005-0000-0000-0000D10D0000}"/>
    <cellStyle name="Normal 12 2 2" xfId="261" xr:uid="{00000000-0005-0000-0000-0000D20D0000}"/>
    <cellStyle name="Normal 12 2 2 2" xfId="262" xr:uid="{00000000-0005-0000-0000-0000D30D0000}"/>
    <cellStyle name="Normal 12 2 2 2 2" xfId="763" xr:uid="{00000000-0005-0000-0000-0000D40D0000}"/>
    <cellStyle name="Normal 12 2 2 2 2 2" xfId="3004" xr:uid="{00000000-0005-0000-0000-0000D50D0000}"/>
    <cellStyle name="Normal 12 2 2 2 2 2 2" xfId="7227" xr:uid="{00000000-0005-0000-0000-0000D60D0000}"/>
    <cellStyle name="Normal 12 2 2 2 2 3" xfId="5082" xr:uid="{00000000-0005-0000-0000-0000D70D0000}"/>
    <cellStyle name="Normal 12 2 2 2 3" xfId="1186" xr:uid="{00000000-0005-0000-0000-0000D80D0000}"/>
    <cellStyle name="Normal 12 2 2 2 3 2" xfId="3417" xr:uid="{00000000-0005-0000-0000-0000D90D0000}"/>
    <cellStyle name="Normal 12 2 2 2 3 2 2" xfId="7640" xr:uid="{00000000-0005-0000-0000-0000DA0D0000}"/>
    <cellStyle name="Normal 12 2 2 2 3 3" xfId="5495" xr:uid="{00000000-0005-0000-0000-0000DB0D0000}"/>
    <cellStyle name="Normal 12 2 2 2 4" xfId="1600" xr:uid="{00000000-0005-0000-0000-0000DC0D0000}"/>
    <cellStyle name="Normal 12 2 2 2 4 2" xfId="3830" xr:uid="{00000000-0005-0000-0000-0000DD0D0000}"/>
    <cellStyle name="Normal 12 2 2 2 4 2 2" xfId="8053" xr:uid="{00000000-0005-0000-0000-0000DE0D0000}"/>
    <cellStyle name="Normal 12 2 2 2 4 3" xfId="5908" xr:uid="{00000000-0005-0000-0000-0000DF0D0000}"/>
    <cellStyle name="Normal 12 2 2 2 5" xfId="2014" xr:uid="{00000000-0005-0000-0000-0000E00D0000}"/>
    <cellStyle name="Normal 12 2 2 2 5 2" xfId="4243" xr:uid="{00000000-0005-0000-0000-0000E10D0000}"/>
    <cellStyle name="Normal 12 2 2 2 5 2 2" xfId="8466" xr:uid="{00000000-0005-0000-0000-0000E20D0000}"/>
    <cellStyle name="Normal 12 2 2 2 5 3" xfId="6321" xr:uid="{00000000-0005-0000-0000-0000E30D0000}"/>
    <cellStyle name="Normal 12 2 2 2 6" xfId="2450" xr:uid="{00000000-0005-0000-0000-0000E40D0000}"/>
    <cellStyle name="Normal 12 2 2 2 6 2" xfId="6734" xr:uid="{00000000-0005-0000-0000-0000E50D0000}"/>
    <cellStyle name="Normal 12 2 2 2 7" xfId="4668" xr:uid="{00000000-0005-0000-0000-0000E60D0000}"/>
    <cellStyle name="Normal 12 2 2 3" xfId="762" xr:uid="{00000000-0005-0000-0000-0000E70D0000}"/>
    <cellStyle name="Normal 12 2 2 3 2" xfId="3003" xr:uid="{00000000-0005-0000-0000-0000E80D0000}"/>
    <cellStyle name="Normal 12 2 2 3 2 2" xfId="7226" xr:uid="{00000000-0005-0000-0000-0000E90D0000}"/>
    <cellStyle name="Normal 12 2 2 3 3" xfId="5081" xr:uid="{00000000-0005-0000-0000-0000EA0D0000}"/>
    <cellStyle name="Normal 12 2 2 4" xfId="1185" xr:uid="{00000000-0005-0000-0000-0000EB0D0000}"/>
    <cellStyle name="Normal 12 2 2 4 2" xfId="3416" xr:uid="{00000000-0005-0000-0000-0000EC0D0000}"/>
    <cellStyle name="Normal 12 2 2 4 2 2" xfId="7639" xr:uid="{00000000-0005-0000-0000-0000ED0D0000}"/>
    <cellStyle name="Normal 12 2 2 4 3" xfId="5494" xr:uid="{00000000-0005-0000-0000-0000EE0D0000}"/>
    <cellStyle name="Normal 12 2 2 5" xfId="1599" xr:uid="{00000000-0005-0000-0000-0000EF0D0000}"/>
    <cellStyle name="Normal 12 2 2 5 2" xfId="3829" xr:uid="{00000000-0005-0000-0000-0000F00D0000}"/>
    <cellStyle name="Normal 12 2 2 5 2 2" xfId="8052" xr:uid="{00000000-0005-0000-0000-0000F10D0000}"/>
    <cellStyle name="Normal 12 2 2 5 3" xfId="5907" xr:uid="{00000000-0005-0000-0000-0000F20D0000}"/>
    <cellStyle name="Normal 12 2 2 6" xfId="2013" xr:uid="{00000000-0005-0000-0000-0000F30D0000}"/>
    <cellStyle name="Normal 12 2 2 6 2" xfId="4242" xr:uid="{00000000-0005-0000-0000-0000F40D0000}"/>
    <cellStyle name="Normal 12 2 2 6 2 2" xfId="8465" xr:uid="{00000000-0005-0000-0000-0000F50D0000}"/>
    <cellStyle name="Normal 12 2 2 6 3" xfId="6320" xr:uid="{00000000-0005-0000-0000-0000F60D0000}"/>
    <cellStyle name="Normal 12 2 2 7" xfId="2449" xr:uid="{00000000-0005-0000-0000-0000F70D0000}"/>
    <cellStyle name="Normal 12 2 2 7 2" xfId="6733" xr:uid="{00000000-0005-0000-0000-0000F80D0000}"/>
    <cellStyle name="Normal 12 2 2 8" xfId="4667" xr:uid="{00000000-0005-0000-0000-0000F90D0000}"/>
    <cellStyle name="Normal 12 2 3" xfId="263" xr:uid="{00000000-0005-0000-0000-0000FA0D0000}"/>
    <cellStyle name="Normal 12 2 3 2" xfId="764" xr:uid="{00000000-0005-0000-0000-0000FB0D0000}"/>
    <cellStyle name="Normal 12 2 3 2 2" xfId="3005" xr:uid="{00000000-0005-0000-0000-0000FC0D0000}"/>
    <cellStyle name="Normal 12 2 3 2 2 2" xfId="7228" xr:uid="{00000000-0005-0000-0000-0000FD0D0000}"/>
    <cellStyle name="Normal 12 2 3 2 3" xfId="5083" xr:uid="{00000000-0005-0000-0000-0000FE0D0000}"/>
    <cellStyle name="Normal 12 2 3 3" xfId="1187" xr:uid="{00000000-0005-0000-0000-0000FF0D0000}"/>
    <cellStyle name="Normal 12 2 3 3 2" xfId="3418" xr:uid="{00000000-0005-0000-0000-0000000E0000}"/>
    <cellStyle name="Normal 12 2 3 3 2 2" xfId="7641" xr:uid="{00000000-0005-0000-0000-0000010E0000}"/>
    <cellStyle name="Normal 12 2 3 3 3" xfId="5496" xr:uid="{00000000-0005-0000-0000-0000020E0000}"/>
    <cellStyle name="Normal 12 2 3 4" xfId="1601" xr:uid="{00000000-0005-0000-0000-0000030E0000}"/>
    <cellStyle name="Normal 12 2 3 4 2" xfId="3831" xr:uid="{00000000-0005-0000-0000-0000040E0000}"/>
    <cellStyle name="Normal 12 2 3 4 2 2" xfId="8054" xr:uid="{00000000-0005-0000-0000-0000050E0000}"/>
    <cellStyle name="Normal 12 2 3 4 3" xfId="5909" xr:uid="{00000000-0005-0000-0000-0000060E0000}"/>
    <cellStyle name="Normal 12 2 3 5" xfId="2015" xr:uid="{00000000-0005-0000-0000-0000070E0000}"/>
    <cellStyle name="Normal 12 2 3 5 2" xfId="4244" xr:uid="{00000000-0005-0000-0000-0000080E0000}"/>
    <cellStyle name="Normal 12 2 3 5 2 2" xfId="8467" xr:uid="{00000000-0005-0000-0000-0000090E0000}"/>
    <cellStyle name="Normal 12 2 3 5 3" xfId="6322" xr:uid="{00000000-0005-0000-0000-00000A0E0000}"/>
    <cellStyle name="Normal 12 2 3 6" xfId="2451" xr:uid="{00000000-0005-0000-0000-00000B0E0000}"/>
    <cellStyle name="Normal 12 2 3 6 2" xfId="6735" xr:uid="{00000000-0005-0000-0000-00000C0E0000}"/>
    <cellStyle name="Normal 12 2 3 7" xfId="4669" xr:uid="{00000000-0005-0000-0000-00000D0E0000}"/>
    <cellStyle name="Normal 12 2 4" xfId="761" xr:uid="{00000000-0005-0000-0000-00000E0E0000}"/>
    <cellStyle name="Normal 12 2 4 2" xfId="3002" xr:uid="{00000000-0005-0000-0000-00000F0E0000}"/>
    <cellStyle name="Normal 12 2 4 2 2" xfId="7225" xr:uid="{00000000-0005-0000-0000-0000100E0000}"/>
    <cellStyle name="Normal 12 2 4 3" xfId="5080" xr:uid="{00000000-0005-0000-0000-0000110E0000}"/>
    <cellStyle name="Normal 12 2 5" xfId="1184" xr:uid="{00000000-0005-0000-0000-0000120E0000}"/>
    <cellStyle name="Normal 12 2 5 2" xfId="3415" xr:uid="{00000000-0005-0000-0000-0000130E0000}"/>
    <cellStyle name="Normal 12 2 5 2 2" xfId="7638" xr:uid="{00000000-0005-0000-0000-0000140E0000}"/>
    <cellStyle name="Normal 12 2 5 3" xfId="5493" xr:uid="{00000000-0005-0000-0000-0000150E0000}"/>
    <cellStyle name="Normal 12 2 6" xfId="1598" xr:uid="{00000000-0005-0000-0000-0000160E0000}"/>
    <cellStyle name="Normal 12 2 6 2" xfId="3828" xr:uid="{00000000-0005-0000-0000-0000170E0000}"/>
    <cellStyle name="Normal 12 2 6 2 2" xfId="8051" xr:uid="{00000000-0005-0000-0000-0000180E0000}"/>
    <cellStyle name="Normal 12 2 6 3" xfId="5906" xr:uid="{00000000-0005-0000-0000-0000190E0000}"/>
    <cellStyle name="Normal 12 2 7" xfId="2012" xr:uid="{00000000-0005-0000-0000-00001A0E0000}"/>
    <cellStyle name="Normal 12 2 7 2" xfId="4241" xr:uid="{00000000-0005-0000-0000-00001B0E0000}"/>
    <cellStyle name="Normal 12 2 7 2 2" xfId="8464" xr:uid="{00000000-0005-0000-0000-00001C0E0000}"/>
    <cellStyle name="Normal 12 2 7 3" xfId="6319" xr:uid="{00000000-0005-0000-0000-00001D0E0000}"/>
    <cellStyle name="Normal 12 2 8" xfId="2448" xr:uid="{00000000-0005-0000-0000-00001E0E0000}"/>
    <cellStyle name="Normal 12 2 8 2" xfId="6732" xr:uid="{00000000-0005-0000-0000-00001F0E0000}"/>
    <cellStyle name="Normal 12 2 9" xfId="4666" xr:uid="{00000000-0005-0000-0000-0000200E0000}"/>
    <cellStyle name="Normal 12 3" xfId="264" xr:uid="{00000000-0005-0000-0000-0000210E0000}"/>
    <cellStyle name="Normal 12 3 2" xfId="265" xr:uid="{00000000-0005-0000-0000-0000220E0000}"/>
    <cellStyle name="Normal 12 3 2 2" xfId="766" xr:uid="{00000000-0005-0000-0000-0000230E0000}"/>
    <cellStyle name="Normal 12 3 2 2 2" xfId="3007" xr:uid="{00000000-0005-0000-0000-0000240E0000}"/>
    <cellStyle name="Normal 12 3 2 2 2 2" xfId="7230" xr:uid="{00000000-0005-0000-0000-0000250E0000}"/>
    <cellStyle name="Normal 12 3 2 2 3" xfId="5085" xr:uid="{00000000-0005-0000-0000-0000260E0000}"/>
    <cellStyle name="Normal 12 3 2 3" xfId="1189" xr:uid="{00000000-0005-0000-0000-0000270E0000}"/>
    <cellStyle name="Normal 12 3 2 3 2" xfId="3420" xr:uid="{00000000-0005-0000-0000-0000280E0000}"/>
    <cellStyle name="Normal 12 3 2 3 2 2" xfId="7643" xr:uid="{00000000-0005-0000-0000-0000290E0000}"/>
    <cellStyle name="Normal 12 3 2 3 3" xfId="5498" xr:uid="{00000000-0005-0000-0000-00002A0E0000}"/>
    <cellStyle name="Normal 12 3 2 4" xfId="1603" xr:uid="{00000000-0005-0000-0000-00002B0E0000}"/>
    <cellStyle name="Normal 12 3 2 4 2" xfId="3833" xr:uid="{00000000-0005-0000-0000-00002C0E0000}"/>
    <cellStyle name="Normal 12 3 2 4 2 2" xfId="8056" xr:uid="{00000000-0005-0000-0000-00002D0E0000}"/>
    <cellStyle name="Normal 12 3 2 4 3" xfId="5911" xr:uid="{00000000-0005-0000-0000-00002E0E0000}"/>
    <cellStyle name="Normal 12 3 2 5" xfId="2017" xr:uid="{00000000-0005-0000-0000-00002F0E0000}"/>
    <cellStyle name="Normal 12 3 2 5 2" xfId="4246" xr:uid="{00000000-0005-0000-0000-0000300E0000}"/>
    <cellStyle name="Normal 12 3 2 5 2 2" xfId="8469" xr:uid="{00000000-0005-0000-0000-0000310E0000}"/>
    <cellStyle name="Normal 12 3 2 5 3" xfId="6324" xr:uid="{00000000-0005-0000-0000-0000320E0000}"/>
    <cellStyle name="Normal 12 3 2 6" xfId="2453" xr:uid="{00000000-0005-0000-0000-0000330E0000}"/>
    <cellStyle name="Normal 12 3 2 6 2" xfId="6737" xr:uid="{00000000-0005-0000-0000-0000340E0000}"/>
    <cellStyle name="Normal 12 3 2 7" xfId="4671" xr:uid="{00000000-0005-0000-0000-0000350E0000}"/>
    <cellStyle name="Normal 12 3 3" xfId="765" xr:uid="{00000000-0005-0000-0000-0000360E0000}"/>
    <cellStyle name="Normal 12 3 3 2" xfId="3006" xr:uid="{00000000-0005-0000-0000-0000370E0000}"/>
    <cellStyle name="Normal 12 3 3 2 2" xfId="7229" xr:uid="{00000000-0005-0000-0000-0000380E0000}"/>
    <cellStyle name="Normal 12 3 3 3" xfId="5084" xr:uid="{00000000-0005-0000-0000-0000390E0000}"/>
    <cellStyle name="Normal 12 3 4" xfId="1188" xr:uid="{00000000-0005-0000-0000-00003A0E0000}"/>
    <cellStyle name="Normal 12 3 4 2" xfId="3419" xr:uid="{00000000-0005-0000-0000-00003B0E0000}"/>
    <cellStyle name="Normal 12 3 4 2 2" xfId="7642" xr:uid="{00000000-0005-0000-0000-00003C0E0000}"/>
    <cellStyle name="Normal 12 3 4 3" xfId="5497" xr:uid="{00000000-0005-0000-0000-00003D0E0000}"/>
    <cellStyle name="Normal 12 3 5" xfId="1602" xr:uid="{00000000-0005-0000-0000-00003E0E0000}"/>
    <cellStyle name="Normal 12 3 5 2" xfId="3832" xr:uid="{00000000-0005-0000-0000-00003F0E0000}"/>
    <cellStyle name="Normal 12 3 5 2 2" xfId="8055" xr:uid="{00000000-0005-0000-0000-0000400E0000}"/>
    <cellStyle name="Normal 12 3 5 3" xfId="5910" xr:uid="{00000000-0005-0000-0000-0000410E0000}"/>
    <cellStyle name="Normal 12 3 6" xfId="2016" xr:uid="{00000000-0005-0000-0000-0000420E0000}"/>
    <cellStyle name="Normal 12 3 6 2" xfId="4245" xr:uid="{00000000-0005-0000-0000-0000430E0000}"/>
    <cellStyle name="Normal 12 3 6 2 2" xfId="8468" xr:uid="{00000000-0005-0000-0000-0000440E0000}"/>
    <cellStyle name="Normal 12 3 6 3" xfId="6323" xr:uid="{00000000-0005-0000-0000-0000450E0000}"/>
    <cellStyle name="Normal 12 3 7" xfId="2452" xr:uid="{00000000-0005-0000-0000-0000460E0000}"/>
    <cellStyle name="Normal 12 3 7 2" xfId="6736" xr:uid="{00000000-0005-0000-0000-0000470E0000}"/>
    <cellStyle name="Normal 12 3 8" xfId="4670" xr:uid="{00000000-0005-0000-0000-0000480E0000}"/>
    <cellStyle name="Normal 12 4" xfId="266" xr:uid="{00000000-0005-0000-0000-0000490E0000}"/>
    <cellStyle name="Normal 12 4 2" xfId="767" xr:uid="{00000000-0005-0000-0000-00004A0E0000}"/>
    <cellStyle name="Normal 12 4 2 2" xfId="3008" xr:uid="{00000000-0005-0000-0000-00004B0E0000}"/>
    <cellStyle name="Normal 12 4 2 2 2" xfId="7231" xr:uid="{00000000-0005-0000-0000-00004C0E0000}"/>
    <cellStyle name="Normal 12 4 2 3" xfId="5086" xr:uid="{00000000-0005-0000-0000-00004D0E0000}"/>
    <cellStyle name="Normal 12 4 3" xfId="1190" xr:uid="{00000000-0005-0000-0000-00004E0E0000}"/>
    <cellStyle name="Normal 12 4 3 2" xfId="3421" xr:uid="{00000000-0005-0000-0000-00004F0E0000}"/>
    <cellStyle name="Normal 12 4 3 2 2" xfId="7644" xr:uid="{00000000-0005-0000-0000-0000500E0000}"/>
    <cellStyle name="Normal 12 4 3 3" xfId="5499" xr:uid="{00000000-0005-0000-0000-0000510E0000}"/>
    <cellStyle name="Normal 12 4 4" xfId="1604" xr:uid="{00000000-0005-0000-0000-0000520E0000}"/>
    <cellStyle name="Normal 12 4 4 2" xfId="3834" xr:uid="{00000000-0005-0000-0000-0000530E0000}"/>
    <cellStyle name="Normal 12 4 4 2 2" xfId="8057" xr:uid="{00000000-0005-0000-0000-0000540E0000}"/>
    <cellStyle name="Normal 12 4 4 3" xfId="5912" xr:uid="{00000000-0005-0000-0000-0000550E0000}"/>
    <cellStyle name="Normal 12 4 5" xfId="2018" xr:uid="{00000000-0005-0000-0000-0000560E0000}"/>
    <cellStyle name="Normal 12 4 5 2" xfId="4247" xr:uid="{00000000-0005-0000-0000-0000570E0000}"/>
    <cellStyle name="Normal 12 4 5 2 2" xfId="8470" xr:uid="{00000000-0005-0000-0000-0000580E0000}"/>
    <cellStyle name="Normal 12 4 5 3" xfId="6325" xr:uid="{00000000-0005-0000-0000-0000590E0000}"/>
    <cellStyle name="Normal 12 4 6" xfId="2454" xr:uid="{00000000-0005-0000-0000-00005A0E0000}"/>
    <cellStyle name="Normal 12 4 6 2" xfId="6738" xr:uid="{00000000-0005-0000-0000-00005B0E0000}"/>
    <cellStyle name="Normal 12 4 7" xfId="4672" xr:uid="{00000000-0005-0000-0000-00005C0E0000}"/>
    <cellStyle name="Normal 12 5" xfId="267" xr:uid="{00000000-0005-0000-0000-00005D0E0000}"/>
    <cellStyle name="Normal 12 6" xfId="760" xr:uid="{00000000-0005-0000-0000-00005E0E0000}"/>
    <cellStyle name="Normal 12 6 2" xfId="3001" xr:uid="{00000000-0005-0000-0000-00005F0E0000}"/>
    <cellStyle name="Normal 12 6 2 2" xfId="7224" xr:uid="{00000000-0005-0000-0000-0000600E0000}"/>
    <cellStyle name="Normal 12 6 3" xfId="5079" xr:uid="{00000000-0005-0000-0000-0000610E0000}"/>
    <cellStyle name="Normal 12 7" xfId="1183" xr:uid="{00000000-0005-0000-0000-0000620E0000}"/>
    <cellStyle name="Normal 12 7 2" xfId="3414" xr:uid="{00000000-0005-0000-0000-0000630E0000}"/>
    <cellStyle name="Normal 12 7 2 2" xfId="7637" xr:uid="{00000000-0005-0000-0000-0000640E0000}"/>
    <cellStyle name="Normal 12 7 3" xfId="5492" xr:uid="{00000000-0005-0000-0000-0000650E0000}"/>
    <cellStyle name="Normal 12 8" xfId="1597" xr:uid="{00000000-0005-0000-0000-0000660E0000}"/>
    <cellStyle name="Normal 12 8 2" xfId="3827" xr:uid="{00000000-0005-0000-0000-0000670E0000}"/>
    <cellStyle name="Normal 12 8 2 2" xfId="8050" xr:uid="{00000000-0005-0000-0000-0000680E0000}"/>
    <cellStyle name="Normal 12 8 3" xfId="5905" xr:uid="{00000000-0005-0000-0000-0000690E0000}"/>
    <cellStyle name="Normal 12 9" xfId="2011" xr:uid="{00000000-0005-0000-0000-00006A0E0000}"/>
    <cellStyle name="Normal 12 9 2" xfId="4240" xr:uid="{00000000-0005-0000-0000-00006B0E0000}"/>
    <cellStyle name="Normal 12 9 2 2" xfId="8463" xr:uid="{00000000-0005-0000-0000-00006C0E0000}"/>
    <cellStyle name="Normal 12 9 3" xfId="6318" xr:uid="{00000000-0005-0000-0000-00006D0E0000}"/>
    <cellStyle name="Normal 13" xfId="268" xr:uid="{00000000-0005-0000-0000-00006E0E0000}"/>
    <cellStyle name="Normal 13 2" xfId="269" xr:uid="{00000000-0005-0000-0000-00006F0E0000}"/>
    <cellStyle name="Normal 14" xfId="270" xr:uid="{00000000-0005-0000-0000-0000700E0000}"/>
    <cellStyle name="Normal 14 2" xfId="768" xr:uid="{00000000-0005-0000-0000-0000710E0000}"/>
    <cellStyle name="Normal 14 2 2" xfId="3009" xr:uid="{00000000-0005-0000-0000-0000720E0000}"/>
    <cellStyle name="Normal 14 2 2 2" xfId="7232" xr:uid="{00000000-0005-0000-0000-0000730E0000}"/>
    <cellStyle name="Normal 14 2 3" xfId="5087" xr:uid="{00000000-0005-0000-0000-0000740E0000}"/>
    <cellStyle name="Normal 14 3" xfId="1191" xr:uid="{00000000-0005-0000-0000-0000750E0000}"/>
    <cellStyle name="Normal 14 3 2" xfId="3422" xr:uid="{00000000-0005-0000-0000-0000760E0000}"/>
    <cellStyle name="Normal 14 3 2 2" xfId="7645" xr:uid="{00000000-0005-0000-0000-0000770E0000}"/>
    <cellStyle name="Normal 14 3 3" xfId="5500" xr:uid="{00000000-0005-0000-0000-0000780E0000}"/>
    <cellStyle name="Normal 14 4" xfId="1605" xr:uid="{00000000-0005-0000-0000-0000790E0000}"/>
    <cellStyle name="Normal 14 4 2" xfId="3835" xr:uid="{00000000-0005-0000-0000-00007A0E0000}"/>
    <cellStyle name="Normal 14 4 2 2" xfId="8058" xr:uid="{00000000-0005-0000-0000-00007B0E0000}"/>
    <cellStyle name="Normal 14 4 3" xfId="5913" xr:uid="{00000000-0005-0000-0000-00007C0E0000}"/>
    <cellStyle name="Normal 14 5" xfId="2019" xr:uid="{00000000-0005-0000-0000-00007D0E0000}"/>
    <cellStyle name="Normal 14 5 2" xfId="4248" xr:uid="{00000000-0005-0000-0000-00007E0E0000}"/>
    <cellStyle name="Normal 14 5 2 2" xfId="8471" xr:uid="{00000000-0005-0000-0000-00007F0E0000}"/>
    <cellStyle name="Normal 14 5 3" xfId="6326" xr:uid="{00000000-0005-0000-0000-0000800E0000}"/>
    <cellStyle name="Normal 14 6" xfId="2455" xr:uid="{00000000-0005-0000-0000-0000810E0000}"/>
    <cellStyle name="Normal 14 6 2" xfId="6739" xr:uid="{00000000-0005-0000-0000-0000820E0000}"/>
    <cellStyle name="Normal 14 7" xfId="4673" xr:uid="{00000000-0005-0000-0000-0000830E0000}"/>
    <cellStyle name="Normal 15" xfId="4496" xr:uid="{00000000-0005-0000-0000-0000840E0000}"/>
    <cellStyle name="Normal 16" xfId="4500" xr:uid="{00000000-0005-0000-0000-0000850E0000}"/>
    <cellStyle name="Normal 16 2" xfId="8716" xr:uid="{00000000-0005-0000-0000-0000860E0000}"/>
    <cellStyle name="Normal 16 3" xfId="8719" xr:uid="{00000000-0005-0000-0000-0000870E0000}"/>
    <cellStyle name="Normal 16 3 2" xfId="8723" xr:uid="{00000000-0005-0000-0000-0000880E0000}"/>
    <cellStyle name="Normal 2" xfId="271" xr:uid="{00000000-0005-0000-0000-0000890E0000}"/>
    <cellStyle name="Normal 2 2" xfId="272" xr:uid="{00000000-0005-0000-0000-00008A0E0000}"/>
    <cellStyle name="Normal 2 2 2" xfId="273" xr:uid="{00000000-0005-0000-0000-00008B0E0000}"/>
    <cellStyle name="Normal 2 2 2 2" xfId="274" xr:uid="{00000000-0005-0000-0000-00008C0E0000}"/>
    <cellStyle name="Normal 2 2 2 3" xfId="275" xr:uid="{00000000-0005-0000-0000-00008D0E0000}"/>
    <cellStyle name="Normal 2 2 2 4" xfId="1192" xr:uid="{00000000-0005-0000-0000-00008E0E0000}"/>
    <cellStyle name="Normal 2 2 3" xfId="770" xr:uid="{00000000-0005-0000-0000-00008F0E0000}"/>
    <cellStyle name="Normal 2 3" xfId="276" xr:uid="{00000000-0005-0000-0000-0000900E0000}"/>
    <cellStyle name="Normal 2 3 2" xfId="277" xr:uid="{00000000-0005-0000-0000-0000910E0000}"/>
    <cellStyle name="Normal 2 4" xfId="278" xr:uid="{00000000-0005-0000-0000-0000920E0000}"/>
    <cellStyle name="Normal 2 4 2" xfId="279" xr:uid="{00000000-0005-0000-0000-0000930E0000}"/>
    <cellStyle name="Normal 2 4 2 10" xfId="2020" xr:uid="{00000000-0005-0000-0000-0000940E0000}"/>
    <cellStyle name="Normal 2 4 2 10 2" xfId="4249" xr:uid="{00000000-0005-0000-0000-0000950E0000}"/>
    <cellStyle name="Normal 2 4 2 10 2 2" xfId="8472" xr:uid="{00000000-0005-0000-0000-0000960E0000}"/>
    <cellStyle name="Normal 2 4 2 10 3" xfId="6327" xr:uid="{00000000-0005-0000-0000-0000970E0000}"/>
    <cellStyle name="Normal 2 4 2 11" xfId="2456" xr:uid="{00000000-0005-0000-0000-0000980E0000}"/>
    <cellStyle name="Normal 2 4 2 11 2" xfId="6740" xr:uid="{00000000-0005-0000-0000-0000990E0000}"/>
    <cellStyle name="Normal 2 4 2 12" xfId="4674" xr:uid="{00000000-0005-0000-0000-00009A0E0000}"/>
    <cellStyle name="Normal 2 4 2 2" xfId="280" xr:uid="{00000000-0005-0000-0000-00009B0E0000}"/>
    <cellStyle name="Normal 2 4 2 3" xfId="281" xr:uid="{00000000-0005-0000-0000-00009C0E0000}"/>
    <cellStyle name="Normal 2 4 2 3 10" xfId="4675" xr:uid="{00000000-0005-0000-0000-00009D0E0000}"/>
    <cellStyle name="Normal 2 4 2 3 2" xfId="282" xr:uid="{00000000-0005-0000-0000-00009E0E0000}"/>
    <cellStyle name="Normal 2 4 2 3 2 2" xfId="283" xr:uid="{00000000-0005-0000-0000-00009F0E0000}"/>
    <cellStyle name="Normal 2 4 2 3 2 2 2" xfId="284" xr:uid="{00000000-0005-0000-0000-0000A00E0000}"/>
    <cellStyle name="Normal 2 4 2 3 2 2 2 2" xfId="775" xr:uid="{00000000-0005-0000-0000-0000A10E0000}"/>
    <cellStyle name="Normal 2 4 2 3 2 2 2 2 2" xfId="3014" xr:uid="{00000000-0005-0000-0000-0000A20E0000}"/>
    <cellStyle name="Normal 2 4 2 3 2 2 2 2 2 2" xfId="7237" xr:uid="{00000000-0005-0000-0000-0000A30E0000}"/>
    <cellStyle name="Normal 2 4 2 3 2 2 2 2 3" xfId="5092" xr:uid="{00000000-0005-0000-0000-0000A40E0000}"/>
    <cellStyle name="Normal 2 4 2 3 2 2 2 3" xfId="1197" xr:uid="{00000000-0005-0000-0000-0000A50E0000}"/>
    <cellStyle name="Normal 2 4 2 3 2 2 2 3 2" xfId="3427" xr:uid="{00000000-0005-0000-0000-0000A60E0000}"/>
    <cellStyle name="Normal 2 4 2 3 2 2 2 3 2 2" xfId="7650" xr:uid="{00000000-0005-0000-0000-0000A70E0000}"/>
    <cellStyle name="Normal 2 4 2 3 2 2 2 3 3" xfId="5505" xr:uid="{00000000-0005-0000-0000-0000A80E0000}"/>
    <cellStyle name="Normal 2 4 2 3 2 2 2 4" xfId="1610" xr:uid="{00000000-0005-0000-0000-0000A90E0000}"/>
    <cellStyle name="Normal 2 4 2 3 2 2 2 4 2" xfId="3840" xr:uid="{00000000-0005-0000-0000-0000AA0E0000}"/>
    <cellStyle name="Normal 2 4 2 3 2 2 2 4 2 2" xfId="8063" xr:uid="{00000000-0005-0000-0000-0000AB0E0000}"/>
    <cellStyle name="Normal 2 4 2 3 2 2 2 4 3" xfId="5918" xr:uid="{00000000-0005-0000-0000-0000AC0E0000}"/>
    <cellStyle name="Normal 2 4 2 3 2 2 2 5" xfId="2024" xr:uid="{00000000-0005-0000-0000-0000AD0E0000}"/>
    <cellStyle name="Normal 2 4 2 3 2 2 2 5 2" xfId="4253" xr:uid="{00000000-0005-0000-0000-0000AE0E0000}"/>
    <cellStyle name="Normal 2 4 2 3 2 2 2 5 2 2" xfId="8476" xr:uid="{00000000-0005-0000-0000-0000AF0E0000}"/>
    <cellStyle name="Normal 2 4 2 3 2 2 2 5 3" xfId="6331" xr:uid="{00000000-0005-0000-0000-0000B00E0000}"/>
    <cellStyle name="Normal 2 4 2 3 2 2 2 6" xfId="2460" xr:uid="{00000000-0005-0000-0000-0000B10E0000}"/>
    <cellStyle name="Normal 2 4 2 3 2 2 2 6 2" xfId="6744" xr:uid="{00000000-0005-0000-0000-0000B20E0000}"/>
    <cellStyle name="Normal 2 4 2 3 2 2 2 7" xfId="4678" xr:uid="{00000000-0005-0000-0000-0000B30E0000}"/>
    <cellStyle name="Normal 2 4 2 3 2 2 3" xfId="774" xr:uid="{00000000-0005-0000-0000-0000B40E0000}"/>
    <cellStyle name="Normal 2 4 2 3 2 2 3 2" xfId="3013" xr:uid="{00000000-0005-0000-0000-0000B50E0000}"/>
    <cellStyle name="Normal 2 4 2 3 2 2 3 2 2" xfId="7236" xr:uid="{00000000-0005-0000-0000-0000B60E0000}"/>
    <cellStyle name="Normal 2 4 2 3 2 2 3 3" xfId="5091" xr:uid="{00000000-0005-0000-0000-0000B70E0000}"/>
    <cellStyle name="Normal 2 4 2 3 2 2 4" xfId="1196" xr:uid="{00000000-0005-0000-0000-0000B80E0000}"/>
    <cellStyle name="Normal 2 4 2 3 2 2 4 2" xfId="3426" xr:uid="{00000000-0005-0000-0000-0000B90E0000}"/>
    <cellStyle name="Normal 2 4 2 3 2 2 4 2 2" xfId="7649" xr:uid="{00000000-0005-0000-0000-0000BA0E0000}"/>
    <cellStyle name="Normal 2 4 2 3 2 2 4 3" xfId="5504" xr:uid="{00000000-0005-0000-0000-0000BB0E0000}"/>
    <cellStyle name="Normal 2 4 2 3 2 2 5" xfId="1609" xr:uid="{00000000-0005-0000-0000-0000BC0E0000}"/>
    <cellStyle name="Normal 2 4 2 3 2 2 5 2" xfId="3839" xr:uid="{00000000-0005-0000-0000-0000BD0E0000}"/>
    <cellStyle name="Normal 2 4 2 3 2 2 5 2 2" xfId="8062" xr:uid="{00000000-0005-0000-0000-0000BE0E0000}"/>
    <cellStyle name="Normal 2 4 2 3 2 2 5 3" xfId="5917" xr:uid="{00000000-0005-0000-0000-0000BF0E0000}"/>
    <cellStyle name="Normal 2 4 2 3 2 2 6" xfId="2023" xr:uid="{00000000-0005-0000-0000-0000C00E0000}"/>
    <cellStyle name="Normal 2 4 2 3 2 2 6 2" xfId="4252" xr:uid="{00000000-0005-0000-0000-0000C10E0000}"/>
    <cellStyle name="Normal 2 4 2 3 2 2 6 2 2" xfId="8475" xr:uid="{00000000-0005-0000-0000-0000C20E0000}"/>
    <cellStyle name="Normal 2 4 2 3 2 2 6 3" xfId="6330" xr:uid="{00000000-0005-0000-0000-0000C30E0000}"/>
    <cellStyle name="Normal 2 4 2 3 2 2 7" xfId="2459" xr:uid="{00000000-0005-0000-0000-0000C40E0000}"/>
    <cellStyle name="Normal 2 4 2 3 2 2 7 2" xfId="6743" xr:uid="{00000000-0005-0000-0000-0000C50E0000}"/>
    <cellStyle name="Normal 2 4 2 3 2 2 8" xfId="4677" xr:uid="{00000000-0005-0000-0000-0000C60E0000}"/>
    <cellStyle name="Normal 2 4 2 3 2 3" xfId="285" xr:uid="{00000000-0005-0000-0000-0000C70E0000}"/>
    <cellStyle name="Normal 2 4 2 3 2 3 2" xfId="776" xr:uid="{00000000-0005-0000-0000-0000C80E0000}"/>
    <cellStyle name="Normal 2 4 2 3 2 3 2 2" xfId="3015" xr:uid="{00000000-0005-0000-0000-0000C90E0000}"/>
    <cellStyle name="Normal 2 4 2 3 2 3 2 2 2" xfId="7238" xr:uid="{00000000-0005-0000-0000-0000CA0E0000}"/>
    <cellStyle name="Normal 2 4 2 3 2 3 2 3" xfId="5093" xr:uid="{00000000-0005-0000-0000-0000CB0E0000}"/>
    <cellStyle name="Normal 2 4 2 3 2 3 3" xfId="1198" xr:uid="{00000000-0005-0000-0000-0000CC0E0000}"/>
    <cellStyle name="Normal 2 4 2 3 2 3 3 2" xfId="3428" xr:uid="{00000000-0005-0000-0000-0000CD0E0000}"/>
    <cellStyle name="Normal 2 4 2 3 2 3 3 2 2" xfId="7651" xr:uid="{00000000-0005-0000-0000-0000CE0E0000}"/>
    <cellStyle name="Normal 2 4 2 3 2 3 3 3" xfId="5506" xr:uid="{00000000-0005-0000-0000-0000CF0E0000}"/>
    <cellStyle name="Normal 2 4 2 3 2 3 4" xfId="1611" xr:uid="{00000000-0005-0000-0000-0000D00E0000}"/>
    <cellStyle name="Normal 2 4 2 3 2 3 4 2" xfId="3841" xr:uid="{00000000-0005-0000-0000-0000D10E0000}"/>
    <cellStyle name="Normal 2 4 2 3 2 3 4 2 2" xfId="8064" xr:uid="{00000000-0005-0000-0000-0000D20E0000}"/>
    <cellStyle name="Normal 2 4 2 3 2 3 4 3" xfId="5919" xr:uid="{00000000-0005-0000-0000-0000D30E0000}"/>
    <cellStyle name="Normal 2 4 2 3 2 3 5" xfId="2025" xr:uid="{00000000-0005-0000-0000-0000D40E0000}"/>
    <cellStyle name="Normal 2 4 2 3 2 3 5 2" xfId="4254" xr:uid="{00000000-0005-0000-0000-0000D50E0000}"/>
    <cellStyle name="Normal 2 4 2 3 2 3 5 2 2" xfId="8477" xr:uid="{00000000-0005-0000-0000-0000D60E0000}"/>
    <cellStyle name="Normal 2 4 2 3 2 3 5 3" xfId="6332" xr:uid="{00000000-0005-0000-0000-0000D70E0000}"/>
    <cellStyle name="Normal 2 4 2 3 2 3 6" xfId="2461" xr:uid="{00000000-0005-0000-0000-0000D80E0000}"/>
    <cellStyle name="Normal 2 4 2 3 2 3 6 2" xfId="6745" xr:uid="{00000000-0005-0000-0000-0000D90E0000}"/>
    <cellStyle name="Normal 2 4 2 3 2 3 7" xfId="4679" xr:uid="{00000000-0005-0000-0000-0000DA0E0000}"/>
    <cellStyle name="Normal 2 4 2 3 2 4" xfId="773" xr:uid="{00000000-0005-0000-0000-0000DB0E0000}"/>
    <cellStyle name="Normal 2 4 2 3 2 4 2" xfId="3012" xr:uid="{00000000-0005-0000-0000-0000DC0E0000}"/>
    <cellStyle name="Normal 2 4 2 3 2 4 2 2" xfId="7235" xr:uid="{00000000-0005-0000-0000-0000DD0E0000}"/>
    <cellStyle name="Normal 2 4 2 3 2 4 3" xfId="5090" xr:uid="{00000000-0005-0000-0000-0000DE0E0000}"/>
    <cellStyle name="Normal 2 4 2 3 2 5" xfId="1195" xr:uid="{00000000-0005-0000-0000-0000DF0E0000}"/>
    <cellStyle name="Normal 2 4 2 3 2 5 2" xfId="3425" xr:uid="{00000000-0005-0000-0000-0000E00E0000}"/>
    <cellStyle name="Normal 2 4 2 3 2 5 2 2" xfId="7648" xr:uid="{00000000-0005-0000-0000-0000E10E0000}"/>
    <cellStyle name="Normal 2 4 2 3 2 5 3" xfId="5503" xr:uid="{00000000-0005-0000-0000-0000E20E0000}"/>
    <cellStyle name="Normal 2 4 2 3 2 6" xfId="1608" xr:uid="{00000000-0005-0000-0000-0000E30E0000}"/>
    <cellStyle name="Normal 2 4 2 3 2 6 2" xfId="3838" xr:uid="{00000000-0005-0000-0000-0000E40E0000}"/>
    <cellStyle name="Normal 2 4 2 3 2 6 2 2" xfId="8061" xr:uid="{00000000-0005-0000-0000-0000E50E0000}"/>
    <cellStyle name="Normal 2 4 2 3 2 6 3" xfId="5916" xr:uid="{00000000-0005-0000-0000-0000E60E0000}"/>
    <cellStyle name="Normal 2 4 2 3 2 7" xfId="2022" xr:uid="{00000000-0005-0000-0000-0000E70E0000}"/>
    <cellStyle name="Normal 2 4 2 3 2 7 2" xfId="4251" xr:uid="{00000000-0005-0000-0000-0000E80E0000}"/>
    <cellStyle name="Normal 2 4 2 3 2 7 2 2" xfId="8474" xr:uid="{00000000-0005-0000-0000-0000E90E0000}"/>
    <cellStyle name="Normal 2 4 2 3 2 7 3" xfId="6329" xr:uid="{00000000-0005-0000-0000-0000EA0E0000}"/>
    <cellStyle name="Normal 2 4 2 3 2 8" xfId="2458" xr:uid="{00000000-0005-0000-0000-0000EB0E0000}"/>
    <cellStyle name="Normal 2 4 2 3 2 8 2" xfId="6742" xr:uid="{00000000-0005-0000-0000-0000EC0E0000}"/>
    <cellStyle name="Normal 2 4 2 3 2 9" xfId="4676" xr:uid="{00000000-0005-0000-0000-0000ED0E0000}"/>
    <cellStyle name="Normal 2 4 2 3 3" xfId="286" xr:uid="{00000000-0005-0000-0000-0000EE0E0000}"/>
    <cellStyle name="Normal 2 4 2 3 3 2" xfId="287" xr:uid="{00000000-0005-0000-0000-0000EF0E0000}"/>
    <cellStyle name="Normal 2 4 2 3 3 2 2" xfId="778" xr:uid="{00000000-0005-0000-0000-0000F00E0000}"/>
    <cellStyle name="Normal 2 4 2 3 3 2 2 2" xfId="3017" xr:uid="{00000000-0005-0000-0000-0000F10E0000}"/>
    <cellStyle name="Normal 2 4 2 3 3 2 2 2 2" xfId="7240" xr:uid="{00000000-0005-0000-0000-0000F20E0000}"/>
    <cellStyle name="Normal 2 4 2 3 3 2 2 3" xfId="5095" xr:uid="{00000000-0005-0000-0000-0000F30E0000}"/>
    <cellStyle name="Normal 2 4 2 3 3 2 3" xfId="1200" xr:uid="{00000000-0005-0000-0000-0000F40E0000}"/>
    <cellStyle name="Normal 2 4 2 3 3 2 3 2" xfId="3430" xr:uid="{00000000-0005-0000-0000-0000F50E0000}"/>
    <cellStyle name="Normal 2 4 2 3 3 2 3 2 2" xfId="7653" xr:uid="{00000000-0005-0000-0000-0000F60E0000}"/>
    <cellStyle name="Normal 2 4 2 3 3 2 3 3" xfId="5508" xr:uid="{00000000-0005-0000-0000-0000F70E0000}"/>
    <cellStyle name="Normal 2 4 2 3 3 2 4" xfId="1613" xr:uid="{00000000-0005-0000-0000-0000F80E0000}"/>
    <cellStyle name="Normal 2 4 2 3 3 2 4 2" xfId="3843" xr:uid="{00000000-0005-0000-0000-0000F90E0000}"/>
    <cellStyle name="Normal 2 4 2 3 3 2 4 2 2" xfId="8066" xr:uid="{00000000-0005-0000-0000-0000FA0E0000}"/>
    <cellStyle name="Normal 2 4 2 3 3 2 4 3" xfId="5921" xr:uid="{00000000-0005-0000-0000-0000FB0E0000}"/>
    <cellStyle name="Normal 2 4 2 3 3 2 5" xfId="2027" xr:uid="{00000000-0005-0000-0000-0000FC0E0000}"/>
    <cellStyle name="Normal 2 4 2 3 3 2 5 2" xfId="4256" xr:uid="{00000000-0005-0000-0000-0000FD0E0000}"/>
    <cellStyle name="Normal 2 4 2 3 3 2 5 2 2" xfId="8479" xr:uid="{00000000-0005-0000-0000-0000FE0E0000}"/>
    <cellStyle name="Normal 2 4 2 3 3 2 5 3" xfId="6334" xr:uid="{00000000-0005-0000-0000-0000FF0E0000}"/>
    <cellStyle name="Normal 2 4 2 3 3 2 6" xfId="2463" xr:uid="{00000000-0005-0000-0000-0000000F0000}"/>
    <cellStyle name="Normal 2 4 2 3 3 2 6 2" xfId="6747" xr:uid="{00000000-0005-0000-0000-0000010F0000}"/>
    <cellStyle name="Normal 2 4 2 3 3 2 7" xfId="4681" xr:uid="{00000000-0005-0000-0000-0000020F0000}"/>
    <cellStyle name="Normal 2 4 2 3 3 3" xfId="777" xr:uid="{00000000-0005-0000-0000-0000030F0000}"/>
    <cellStyle name="Normal 2 4 2 3 3 3 2" xfId="3016" xr:uid="{00000000-0005-0000-0000-0000040F0000}"/>
    <cellStyle name="Normal 2 4 2 3 3 3 2 2" xfId="7239" xr:uid="{00000000-0005-0000-0000-0000050F0000}"/>
    <cellStyle name="Normal 2 4 2 3 3 3 3" xfId="5094" xr:uid="{00000000-0005-0000-0000-0000060F0000}"/>
    <cellStyle name="Normal 2 4 2 3 3 4" xfId="1199" xr:uid="{00000000-0005-0000-0000-0000070F0000}"/>
    <cellStyle name="Normal 2 4 2 3 3 4 2" xfId="3429" xr:uid="{00000000-0005-0000-0000-0000080F0000}"/>
    <cellStyle name="Normal 2 4 2 3 3 4 2 2" xfId="7652" xr:uid="{00000000-0005-0000-0000-0000090F0000}"/>
    <cellStyle name="Normal 2 4 2 3 3 4 3" xfId="5507" xr:uid="{00000000-0005-0000-0000-00000A0F0000}"/>
    <cellStyle name="Normal 2 4 2 3 3 5" xfId="1612" xr:uid="{00000000-0005-0000-0000-00000B0F0000}"/>
    <cellStyle name="Normal 2 4 2 3 3 5 2" xfId="3842" xr:uid="{00000000-0005-0000-0000-00000C0F0000}"/>
    <cellStyle name="Normal 2 4 2 3 3 5 2 2" xfId="8065" xr:uid="{00000000-0005-0000-0000-00000D0F0000}"/>
    <cellStyle name="Normal 2 4 2 3 3 5 3" xfId="5920" xr:uid="{00000000-0005-0000-0000-00000E0F0000}"/>
    <cellStyle name="Normal 2 4 2 3 3 6" xfId="2026" xr:uid="{00000000-0005-0000-0000-00000F0F0000}"/>
    <cellStyle name="Normal 2 4 2 3 3 6 2" xfId="4255" xr:uid="{00000000-0005-0000-0000-0000100F0000}"/>
    <cellStyle name="Normal 2 4 2 3 3 6 2 2" xfId="8478" xr:uid="{00000000-0005-0000-0000-0000110F0000}"/>
    <cellStyle name="Normal 2 4 2 3 3 6 3" xfId="6333" xr:uid="{00000000-0005-0000-0000-0000120F0000}"/>
    <cellStyle name="Normal 2 4 2 3 3 7" xfId="2462" xr:uid="{00000000-0005-0000-0000-0000130F0000}"/>
    <cellStyle name="Normal 2 4 2 3 3 7 2" xfId="6746" xr:uid="{00000000-0005-0000-0000-0000140F0000}"/>
    <cellStyle name="Normal 2 4 2 3 3 8" xfId="4680" xr:uid="{00000000-0005-0000-0000-0000150F0000}"/>
    <cellStyle name="Normal 2 4 2 3 4" xfId="288" xr:uid="{00000000-0005-0000-0000-0000160F0000}"/>
    <cellStyle name="Normal 2 4 2 3 4 2" xfId="779" xr:uid="{00000000-0005-0000-0000-0000170F0000}"/>
    <cellStyle name="Normal 2 4 2 3 4 2 2" xfId="3018" xr:uid="{00000000-0005-0000-0000-0000180F0000}"/>
    <cellStyle name="Normal 2 4 2 3 4 2 2 2" xfId="7241" xr:uid="{00000000-0005-0000-0000-0000190F0000}"/>
    <cellStyle name="Normal 2 4 2 3 4 2 3" xfId="5096" xr:uid="{00000000-0005-0000-0000-00001A0F0000}"/>
    <cellStyle name="Normal 2 4 2 3 4 3" xfId="1201" xr:uid="{00000000-0005-0000-0000-00001B0F0000}"/>
    <cellStyle name="Normal 2 4 2 3 4 3 2" xfId="3431" xr:uid="{00000000-0005-0000-0000-00001C0F0000}"/>
    <cellStyle name="Normal 2 4 2 3 4 3 2 2" xfId="7654" xr:uid="{00000000-0005-0000-0000-00001D0F0000}"/>
    <cellStyle name="Normal 2 4 2 3 4 3 3" xfId="5509" xr:uid="{00000000-0005-0000-0000-00001E0F0000}"/>
    <cellStyle name="Normal 2 4 2 3 4 4" xfId="1614" xr:uid="{00000000-0005-0000-0000-00001F0F0000}"/>
    <cellStyle name="Normal 2 4 2 3 4 4 2" xfId="3844" xr:uid="{00000000-0005-0000-0000-0000200F0000}"/>
    <cellStyle name="Normal 2 4 2 3 4 4 2 2" xfId="8067" xr:uid="{00000000-0005-0000-0000-0000210F0000}"/>
    <cellStyle name="Normal 2 4 2 3 4 4 3" xfId="5922" xr:uid="{00000000-0005-0000-0000-0000220F0000}"/>
    <cellStyle name="Normal 2 4 2 3 4 5" xfId="2028" xr:uid="{00000000-0005-0000-0000-0000230F0000}"/>
    <cellStyle name="Normal 2 4 2 3 4 5 2" xfId="4257" xr:uid="{00000000-0005-0000-0000-0000240F0000}"/>
    <cellStyle name="Normal 2 4 2 3 4 5 2 2" xfId="8480" xr:uid="{00000000-0005-0000-0000-0000250F0000}"/>
    <cellStyle name="Normal 2 4 2 3 4 5 3" xfId="6335" xr:uid="{00000000-0005-0000-0000-0000260F0000}"/>
    <cellStyle name="Normal 2 4 2 3 4 6" xfId="2464" xr:uid="{00000000-0005-0000-0000-0000270F0000}"/>
    <cellStyle name="Normal 2 4 2 3 4 6 2" xfId="6748" xr:uid="{00000000-0005-0000-0000-0000280F0000}"/>
    <cellStyle name="Normal 2 4 2 3 4 7" xfId="4682" xr:uid="{00000000-0005-0000-0000-0000290F0000}"/>
    <cellStyle name="Normal 2 4 2 3 5" xfId="772" xr:uid="{00000000-0005-0000-0000-00002A0F0000}"/>
    <cellStyle name="Normal 2 4 2 3 5 2" xfId="3011" xr:uid="{00000000-0005-0000-0000-00002B0F0000}"/>
    <cellStyle name="Normal 2 4 2 3 5 2 2" xfId="7234" xr:uid="{00000000-0005-0000-0000-00002C0F0000}"/>
    <cellStyle name="Normal 2 4 2 3 5 3" xfId="5089" xr:uid="{00000000-0005-0000-0000-00002D0F0000}"/>
    <cellStyle name="Normal 2 4 2 3 6" xfId="1194" xr:uid="{00000000-0005-0000-0000-00002E0F0000}"/>
    <cellStyle name="Normal 2 4 2 3 6 2" xfId="3424" xr:uid="{00000000-0005-0000-0000-00002F0F0000}"/>
    <cellStyle name="Normal 2 4 2 3 6 2 2" xfId="7647" xr:uid="{00000000-0005-0000-0000-0000300F0000}"/>
    <cellStyle name="Normal 2 4 2 3 6 3" xfId="5502" xr:uid="{00000000-0005-0000-0000-0000310F0000}"/>
    <cellStyle name="Normal 2 4 2 3 7" xfId="1607" xr:uid="{00000000-0005-0000-0000-0000320F0000}"/>
    <cellStyle name="Normal 2 4 2 3 7 2" xfId="3837" xr:uid="{00000000-0005-0000-0000-0000330F0000}"/>
    <cellStyle name="Normal 2 4 2 3 7 2 2" xfId="8060" xr:uid="{00000000-0005-0000-0000-0000340F0000}"/>
    <cellStyle name="Normal 2 4 2 3 7 3" xfId="5915" xr:uid="{00000000-0005-0000-0000-0000350F0000}"/>
    <cellStyle name="Normal 2 4 2 3 8" xfId="2021" xr:uid="{00000000-0005-0000-0000-0000360F0000}"/>
    <cellStyle name="Normal 2 4 2 3 8 2" xfId="4250" xr:uid="{00000000-0005-0000-0000-0000370F0000}"/>
    <cellStyle name="Normal 2 4 2 3 8 2 2" xfId="8473" xr:uid="{00000000-0005-0000-0000-0000380F0000}"/>
    <cellStyle name="Normal 2 4 2 3 8 3" xfId="6328" xr:uid="{00000000-0005-0000-0000-0000390F0000}"/>
    <cellStyle name="Normal 2 4 2 3 9" xfId="2457" xr:uid="{00000000-0005-0000-0000-00003A0F0000}"/>
    <cellStyle name="Normal 2 4 2 3 9 2" xfId="6741" xr:uid="{00000000-0005-0000-0000-00003B0F0000}"/>
    <cellStyle name="Normal 2 4 2 4" xfId="289" xr:uid="{00000000-0005-0000-0000-00003C0F0000}"/>
    <cellStyle name="Normal 2 4 2 4 2" xfId="290" xr:uid="{00000000-0005-0000-0000-00003D0F0000}"/>
    <cellStyle name="Normal 2 4 2 4 2 2" xfId="291" xr:uid="{00000000-0005-0000-0000-00003E0F0000}"/>
    <cellStyle name="Normal 2 4 2 4 2 2 2" xfId="782" xr:uid="{00000000-0005-0000-0000-00003F0F0000}"/>
    <cellStyle name="Normal 2 4 2 4 2 2 2 2" xfId="3021" xr:uid="{00000000-0005-0000-0000-0000400F0000}"/>
    <cellStyle name="Normal 2 4 2 4 2 2 2 2 2" xfId="7244" xr:uid="{00000000-0005-0000-0000-0000410F0000}"/>
    <cellStyle name="Normal 2 4 2 4 2 2 2 3" xfId="5099" xr:uid="{00000000-0005-0000-0000-0000420F0000}"/>
    <cellStyle name="Normal 2 4 2 4 2 2 3" xfId="1204" xr:uid="{00000000-0005-0000-0000-0000430F0000}"/>
    <cellStyle name="Normal 2 4 2 4 2 2 3 2" xfId="3434" xr:uid="{00000000-0005-0000-0000-0000440F0000}"/>
    <cellStyle name="Normal 2 4 2 4 2 2 3 2 2" xfId="7657" xr:uid="{00000000-0005-0000-0000-0000450F0000}"/>
    <cellStyle name="Normal 2 4 2 4 2 2 3 3" xfId="5512" xr:uid="{00000000-0005-0000-0000-0000460F0000}"/>
    <cellStyle name="Normal 2 4 2 4 2 2 4" xfId="1617" xr:uid="{00000000-0005-0000-0000-0000470F0000}"/>
    <cellStyle name="Normal 2 4 2 4 2 2 4 2" xfId="3847" xr:uid="{00000000-0005-0000-0000-0000480F0000}"/>
    <cellStyle name="Normal 2 4 2 4 2 2 4 2 2" xfId="8070" xr:uid="{00000000-0005-0000-0000-0000490F0000}"/>
    <cellStyle name="Normal 2 4 2 4 2 2 4 3" xfId="5925" xr:uid="{00000000-0005-0000-0000-00004A0F0000}"/>
    <cellStyle name="Normal 2 4 2 4 2 2 5" xfId="2031" xr:uid="{00000000-0005-0000-0000-00004B0F0000}"/>
    <cellStyle name="Normal 2 4 2 4 2 2 5 2" xfId="4260" xr:uid="{00000000-0005-0000-0000-00004C0F0000}"/>
    <cellStyle name="Normal 2 4 2 4 2 2 5 2 2" xfId="8483" xr:uid="{00000000-0005-0000-0000-00004D0F0000}"/>
    <cellStyle name="Normal 2 4 2 4 2 2 5 3" xfId="6338" xr:uid="{00000000-0005-0000-0000-00004E0F0000}"/>
    <cellStyle name="Normal 2 4 2 4 2 2 6" xfId="2467" xr:uid="{00000000-0005-0000-0000-00004F0F0000}"/>
    <cellStyle name="Normal 2 4 2 4 2 2 6 2" xfId="6751" xr:uid="{00000000-0005-0000-0000-0000500F0000}"/>
    <cellStyle name="Normal 2 4 2 4 2 2 7" xfId="4685" xr:uid="{00000000-0005-0000-0000-0000510F0000}"/>
    <cellStyle name="Normal 2 4 2 4 2 3" xfId="781" xr:uid="{00000000-0005-0000-0000-0000520F0000}"/>
    <cellStyle name="Normal 2 4 2 4 2 3 2" xfId="3020" xr:uid="{00000000-0005-0000-0000-0000530F0000}"/>
    <cellStyle name="Normal 2 4 2 4 2 3 2 2" xfId="7243" xr:uid="{00000000-0005-0000-0000-0000540F0000}"/>
    <cellStyle name="Normal 2 4 2 4 2 3 3" xfId="5098" xr:uid="{00000000-0005-0000-0000-0000550F0000}"/>
    <cellStyle name="Normal 2 4 2 4 2 4" xfId="1203" xr:uid="{00000000-0005-0000-0000-0000560F0000}"/>
    <cellStyle name="Normal 2 4 2 4 2 4 2" xfId="3433" xr:uid="{00000000-0005-0000-0000-0000570F0000}"/>
    <cellStyle name="Normal 2 4 2 4 2 4 2 2" xfId="7656" xr:uid="{00000000-0005-0000-0000-0000580F0000}"/>
    <cellStyle name="Normal 2 4 2 4 2 4 3" xfId="5511" xr:uid="{00000000-0005-0000-0000-0000590F0000}"/>
    <cellStyle name="Normal 2 4 2 4 2 5" xfId="1616" xr:uid="{00000000-0005-0000-0000-00005A0F0000}"/>
    <cellStyle name="Normal 2 4 2 4 2 5 2" xfId="3846" xr:uid="{00000000-0005-0000-0000-00005B0F0000}"/>
    <cellStyle name="Normal 2 4 2 4 2 5 2 2" xfId="8069" xr:uid="{00000000-0005-0000-0000-00005C0F0000}"/>
    <cellStyle name="Normal 2 4 2 4 2 5 3" xfId="5924" xr:uid="{00000000-0005-0000-0000-00005D0F0000}"/>
    <cellStyle name="Normal 2 4 2 4 2 6" xfId="2030" xr:uid="{00000000-0005-0000-0000-00005E0F0000}"/>
    <cellStyle name="Normal 2 4 2 4 2 6 2" xfId="4259" xr:uid="{00000000-0005-0000-0000-00005F0F0000}"/>
    <cellStyle name="Normal 2 4 2 4 2 6 2 2" xfId="8482" xr:uid="{00000000-0005-0000-0000-0000600F0000}"/>
    <cellStyle name="Normal 2 4 2 4 2 6 3" xfId="6337" xr:uid="{00000000-0005-0000-0000-0000610F0000}"/>
    <cellStyle name="Normal 2 4 2 4 2 7" xfId="2466" xr:uid="{00000000-0005-0000-0000-0000620F0000}"/>
    <cellStyle name="Normal 2 4 2 4 2 7 2" xfId="6750" xr:uid="{00000000-0005-0000-0000-0000630F0000}"/>
    <cellStyle name="Normal 2 4 2 4 2 8" xfId="4684" xr:uid="{00000000-0005-0000-0000-0000640F0000}"/>
    <cellStyle name="Normal 2 4 2 4 3" xfId="292" xr:uid="{00000000-0005-0000-0000-0000650F0000}"/>
    <cellStyle name="Normal 2 4 2 4 3 2" xfId="783" xr:uid="{00000000-0005-0000-0000-0000660F0000}"/>
    <cellStyle name="Normal 2 4 2 4 3 2 2" xfId="3022" xr:uid="{00000000-0005-0000-0000-0000670F0000}"/>
    <cellStyle name="Normal 2 4 2 4 3 2 2 2" xfId="7245" xr:uid="{00000000-0005-0000-0000-0000680F0000}"/>
    <cellStyle name="Normal 2 4 2 4 3 2 3" xfId="5100" xr:uid="{00000000-0005-0000-0000-0000690F0000}"/>
    <cellStyle name="Normal 2 4 2 4 3 3" xfId="1205" xr:uid="{00000000-0005-0000-0000-00006A0F0000}"/>
    <cellStyle name="Normal 2 4 2 4 3 3 2" xfId="3435" xr:uid="{00000000-0005-0000-0000-00006B0F0000}"/>
    <cellStyle name="Normal 2 4 2 4 3 3 2 2" xfId="7658" xr:uid="{00000000-0005-0000-0000-00006C0F0000}"/>
    <cellStyle name="Normal 2 4 2 4 3 3 3" xfId="5513" xr:uid="{00000000-0005-0000-0000-00006D0F0000}"/>
    <cellStyle name="Normal 2 4 2 4 3 4" xfId="1618" xr:uid="{00000000-0005-0000-0000-00006E0F0000}"/>
    <cellStyle name="Normal 2 4 2 4 3 4 2" xfId="3848" xr:uid="{00000000-0005-0000-0000-00006F0F0000}"/>
    <cellStyle name="Normal 2 4 2 4 3 4 2 2" xfId="8071" xr:uid="{00000000-0005-0000-0000-0000700F0000}"/>
    <cellStyle name="Normal 2 4 2 4 3 4 3" xfId="5926" xr:uid="{00000000-0005-0000-0000-0000710F0000}"/>
    <cellStyle name="Normal 2 4 2 4 3 5" xfId="2032" xr:uid="{00000000-0005-0000-0000-0000720F0000}"/>
    <cellStyle name="Normal 2 4 2 4 3 5 2" xfId="4261" xr:uid="{00000000-0005-0000-0000-0000730F0000}"/>
    <cellStyle name="Normal 2 4 2 4 3 5 2 2" xfId="8484" xr:uid="{00000000-0005-0000-0000-0000740F0000}"/>
    <cellStyle name="Normal 2 4 2 4 3 5 3" xfId="6339" xr:uid="{00000000-0005-0000-0000-0000750F0000}"/>
    <cellStyle name="Normal 2 4 2 4 3 6" xfId="2468" xr:uid="{00000000-0005-0000-0000-0000760F0000}"/>
    <cellStyle name="Normal 2 4 2 4 3 6 2" xfId="6752" xr:uid="{00000000-0005-0000-0000-0000770F0000}"/>
    <cellStyle name="Normal 2 4 2 4 3 7" xfId="4686" xr:uid="{00000000-0005-0000-0000-0000780F0000}"/>
    <cellStyle name="Normal 2 4 2 4 4" xfId="780" xr:uid="{00000000-0005-0000-0000-0000790F0000}"/>
    <cellStyle name="Normal 2 4 2 4 4 2" xfId="3019" xr:uid="{00000000-0005-0000-0000-00007A0F0000}"/>
    <cellStyle name="Normal 2 4 2 4 4 2 2" xfId="7242" xr:uid="{00000000-0005-0000-0000-00007B0F0000}"/>
    <cellStyle name="Normal 2 4 2 4 4 3" xfId="5097" xr:uid="{00000000-0005-0000-0000-00007C0F0000}"/>
    <cellStyle name="Normal 2 4 2 4 5" xfId="1202" xr:uid="{00000000-0005-0000-0000-00007D0F0000}"/>
    <cellStyle name="Normal 2 4 2 4 5 2" xfId="3432" xr:uid="{00000000-0005-0000-0000-00007E0F0000}"/>
    <cellStyle name="Normal 2 4 2 4 5 2 2" xfId="7655" xr:uid="{00000000-0005-0000-0000-00007F0F0000}"/>
    <cellStyle name="Normal 2 4 2 4 5 3" xfId="5510" xr:uid="{00000000-0005-0000-0000-0000800F0000}"/>
    <cellStyle name="Normal 2 4 2 4 6" xfId="1615" xr:uid="{00000000-0005-0000-0000-0000810F0000}"/>
    <cellStyle name="Normal 2 4 2 4 6 2" xfId="3845" xr:uid="{00000000-0005-0000-0000-0000820F0000}"/>
    <cellStyle name="Normal 2 4 2 4 6 2 2" xfId="8068" xr:uid="{00000000-0005-0000-0000-0000830F0000}"/>
    <cellStyle name="Normal 2 4 2 4 6 3" xfId="5923" xr:uid="{00000000-0005-0000-0000-0000840F0000}"/>
    <cellStyle name="Normal 2 4 2 4 7" xfId="2029" xr:uid="{00000000-0005-0000-0000-0000850F0000}"/>
    <cellStyle name="Normal 2 4 2 4 7 2" xfId="4258" xr:uid="{00000000-0005-0000-0000-0000860F0000}"/>
    <cellStyle name="Normal 2 4 2 4 7 2 2" xfId="8481" xr:uid="{00000000-0005-0000-0000-0000870F0000}"/>
    <cellStyle name="Normal 2 4 2 4 7 3" xfId="6336" xr:uid="{00000000-0005-0000-0000-0000880F0000}"/>
    <cellStyle name="Normal 2 4 2 4 8" xfId="2465" xr:uid="{00000000-0005-0000-0000-0000890F0000}"/>
    <cellStyle name="Normal 2 4 2 4 8 2" xfId="6749" xr:uid="{00000000-0005-0000-0000-00008A0F0000}"/>
    <cellStyle name="Normal 2 4 2 4 9" xfId="4683" xr:uid="{00000000-0005-0000-0000-00008B0F0000}"/>
    <cellStyle name="Normal 2 4 2 5" xfId="293" xr:uid="{00000000-0005-0000-0000-00008C0F0000}"/>
    <cellStyle name="Normal 2 4 2 5 2" xfId="294" xr:uid="{00000000-0005-0000-0000-00008D0F0000}"/>
    <cellStyle name="Normal 2 4 2 5 2 2" xfId="785" xr:uid="{00000000-0005-0000-0000-00008E0F0000}"/>
    <cellStyle name="Normal 2 4 2 5 2 2 2" xfId="3024" xr:uid="{00000000-0005-0000-0000-00008F0F0000}"/>
    <cellStyle name="Normal 2 4 2 5 2 2 2 2" xfId="7247" xr:uid="{00000000-0005-0000-0000-0000900F0000}"/>
    <cellStyle name="Normal 2 4 2 5 2 2 3" xfId="5102" xr:uid="{00000000-0005-0000-0000-0000910F0000}"/>
    <cellStyle name="Normal 2 4 2 5 2 3" xfId="1207" xr:uid="{00000000-0005-0000-0000-0000920F0000}"/>
    <cellStyle name="Normal 2 4 2 5 2 3 2" xfId="3437" xr:uid="{00000000-0005-0000-0000-0000930F0000}"/>
    <cellStyle name="Normal 2 4 2 5 2 3 2 2" xfId="7660" xr:uid="{00000000-0005-0000-0000-0000940F0000}"/>
    <cellStyle name="Normal 2 4 2 5 2 3 3" xfId="5515" xr:uid="{00000000-0005-0000-0000-0000950F0000}"/>
    <cellStyle name="Normal 2 4 2 5 2 4" xfId="1620" xr:uid="{00000000-0005-0000-0000-0000960F0000}"/>
    <cellStyle name="Normal 2 4 2 5 2 4 2" xfId="3850" xr:uid="{00000000-0005-0000-0000-0000970F0000}"/>
    <cellStyle name="Normal 2 4 2 5 2 4 2 2" xfId="8073" xr:uid="{00000000-0005-0000-0000-0000980F0000}"/>
    <cellStyle name="Normal 2 4 2 5 2 4 3" xfId="5928" xr:uid="{00000000-0005-0000-0000-0000990F0000}"/>
    <cellStyle name="Normal 2 4 2 5 2 5" xfId="2034" xr:uid="{00000000-0005-0000-0000-00009A0F0000}"/>
    <cellStyle name="Normal 2 4 2 5 2 5 2" xfId="4263" xr:uid="{00000000-0005-0000-0000-00009B0F0000}"/>
    <cellStyle name="Normal 2 4 2 5 2 5 2 2" xfId="8486" xr:uid="{00000000-0005-0000-0000-00009C0F0000}"/>
    <cellStyle name="Normal 2 4 2 5 2 5 3" xfId="6341" xr:uid="{00000000-0005-0000-0000-00009D0F0000}"/>
    <cellStyle name="Normal 2 4 2 5 2 6" xfId="2470" xr:uid="{00000000-0005-0000-0000-00009E0F0000}"/>
    <cellStyle name="Normal 2 4 2 5 2 6 2" xfId="6754" xr:uid="{00000000-0005-0000-0000-00009F0F0000}"/>
    <cellStyle name="Normal 2 4 2 5 2 7" xfId="4688" xr:uid="{00000000-0005-0000-0000-0000A00F0000}"/>
    <cellStyle name="Normal 2 4 2 5 3" xfId="784" xr:uid="{00000000-0005-0000-0000-0000A10F0000}"/>
    <cellStyle name="Normal 2 4 2 5 3 2" xfId="3023" xr:uid="{00000000-0005-0000-0000-0000A20F0000}"/>
    <cellStyle name="Normal 2 4 2 5 3 2 2" xfId="7246" xr:uid="{00000000-0005-0000-0000-0000A30F0000}"/>
    <cellStyle name="Normal 2 4 2 5 3 3" xfId="5101" xr:uid="{00000000-0005-0000-0000-0000A40F0000}"/>
    <cellStyle name="Normal 2 4 2 5 4" xfId="1206" xr:uid="{00000000-0005-0000-0000-0000A50F0000}"/>
    <cellStyle name="Normal 2 4 2 5 4 2" xfId="3436" xr:uid="{00000000-0005-0000-0000-0000A60F0000}"/>
    <cellStyle name="Normal 2 4 2 5 4 2 2" xfId="7659" xr:uid="{00000000-0005-0000-0000-0000A70F0000}"/>
    <cellStyle name="Normal 2 4 2 5 4 3" xfId="5514" xr:uid="{00000000-0005-0000-0000-0000A80F0000}"/>
    <cellStyle name="Normal 2 4 2 5 5" xfId="1619" xr:uid="{00000000-0005-0000-0000-0000A90F0000}"/>
    <cellStyle name="Normal 2 4 2 5 5 2" xfId="3849" xr:uid="{00000000-0005-0000-0000-0000AA0F0000}"/>
    <cellStyle name="Normal 2 4 2 5 5 2 2" xfId="8072" xr:uid="{00000000-0005-0000-0000-0000AB0F0000}"/>
    <cellStyle name="Normal 2 4 2 5 5 3" xfId="5927" xr:uid="{00000000-0005-0000-0000-0000AC0F0000}"/>
    <cellStyle name="Normal 2 4 2 5 6" xfId="2033" xr:uid="{00000000-0005-0000-0000-0000AD0F0000}"/>
    <cellStyle name="Normal 2 4 2 5 6 2" xfId="4262" xr:uid="{00000000-0005-0000-0000-0000AE0F0000}"/>
    <cellStyle name="Normal 2 4 2 5 6 2 2" xfId="8485" xr:uid="{00000000-0005-0000-0000-0000AF0F0000}"/>
    <cellStyle name="Normal 2 4 2 5 6 3" xfId="6340" xr:uid="{00000000-0005-0000-0000-0000B00F0000}"/>
    <cellStyle name="Normal 2 4 2 5 7" xfId="2469" xr:uid="{00000000-0005-0000-0000-0000B10F0000}"/>
    <cellStyle name="Normal 2 4 2 5 7 2" xfId="6753" xr:uid="{00000000-0005-0000-0000-0000B20F0000}"/>
    <cellStyle name="Normal 2 4 2 5 8" xfId="4687" xr:uid="{00000000-0005-0000-0000-0000B30F0000}"/>
    <cellStyle name="Normal 2 4 2 6" xfId="295" xr:uid="{00000000-0005-0000-0000-0000B40F0000}"/>
    <cellStyle name="Normal 2 4 2 6 2" xfId="786" xr:uid="{00000000-0005-0000-0000-0000B50F0000}"/>
    <cellStyle name="Normal 2 4 2 6 2 2" xfId="3025" xr:uid="{00000000-0005-0000-0000-0000B60F0000}"/>
    <cellStyle name="Normal 2 4 2 6 2 2 2" xfId="7248" xr:uid="{00000000-0005-0000-0000-0000B70F0000}"/>
    <cellStyle name="Normal 2 4 2 6 2 3" xfId="5103" xr:uid="{00000000-0005-0000-0000-0000B80F0000}"/>
    <cellStyle name="Normal 2 4 2 6 3" xfId="1208" xr:uid="{00000000-0005-0000-0000-0000B90F0000}"/>
    <cellStyle name="Normal 2 4 2 6 3 2" xfId="3438" xr:uid="{00000000-0005-0000-0000-0000BA0F0000}"/>
    <cellStyle name="Normal 2 4 2 6 3 2 2" xfId="7661" xr:uid="{00000000-0005-0000-0000-0000BB0F0000}"/>
    <cellStyle name="Normal 2 4 2 6 3 3" xfId="5516" xr:uid="{00000000-0005-0000-0000-0000BC0F0000}"/>
    <cellStyle name="Normal 2 4 2 6 4" xfId="1621" xr:uid="{00000000-0005-0000-0000-0000BD0F0000}"/>
    <cellStyle name="Normal 2 4 2 6 4 2" xfId="3851" xr:uid="{00000000-0005-0000-0000-0000BE0F0000}"/>
    <cellStyle name="Normal 2 4 2 6 4 2 2" xfId="8074" xr:uid="{00000000-0005-0000-0000-0000BF0F0000}"/>
    <cellStyle name="Normal 2 4 2 6 4 3" xfId="5929" xr:uid="{00000000-0005-0000-0000-0000C00F0000}"/>
    <cellStyle name="Normal 2 4 2 6 5" xfId="2035" xr:uid="{00000000-0005-0000-0000-0000C10F0000}"/>
    <cellStyle name="Normal 2 4 2 6 5 2" xfId="4264" xr:uid="{00000000-0005-0000-0000-0000C20F0000}"/>
    <cellStyle name="Normal 2 4 2 6 5 2 2" xfId="8487" xr:uid="{00000000-0005-0000-0000-0000C30F0000}"/>
    <cellStyle name="Normal 2 4 2 6 5 3" xfId="6342" xr:uid="{00000000-0005-0000-0000-0000C40F0000}"/>
    <cellStyle name="Normal 2 4 2 6 6" xfId="2471" xr:uid="{00000000-0005-0000-0000-0000C50F0000}"/>
    <cellStyle name="Normal 2 4 2 6 6 2" xfId="6755" xr:uid="{00000000-0005-0000-0000-0000C60F0000}"/>
    <cellStyle name="Normal 2 4 2 6 7" xfId="4689" xr:uid="{00000000-0005-0000-0000-0000C70F0000}"/>
    <cellStyle name="Normal 2 4 2 7" xfId="771" xr:uid="{00000000-0005-0000-0000-0000C80F0000}"/>
    <cellStyle name="Normal 2 4 2 7 2" xfId="3010" xr:uid="{00000000-0005-0000-0000-0000C90F0000}"/>
    <cellStyle name="Normal 2 4 2 7 2 2" xfId="7233" xr:uid="{00000000-0005-0000-0000-0000CA0F0000}"/>
    <cellStyle name="Normal 2 4 2 7 3" xfId="5088" xr:uid="{00000000-0005-0000-0000-0000CB0F0000}"/>
    <cellStyle name="Normal 2 4 2 8" xfId="1193" xr:uid="{00000000-0005-0000-0000-0000CC0F0000}"/>
    <cellStyle name="Normal 2 4 2 8 2" xfId="3423" xr:uid="{00000000-0005-0000-0000-0000CD0F0000}"/>
    <cellStyle name="Normal 2 4 2 8 2 2" xfId="7646" xr:uid="{00000000-0005-0000-0000-0000CE0F0000}"/>
    <cellStyle name="Normal 2 4 2 8 3" xfId="5501" xr:uid="{00000000-0005-0000-0000-0000CF0F0000}"/>
    <cellStyle name="Normal 2 4 2 9" xfId="1606" xr:uid="{00000000-0005-0000-0000-0000D00F0000}"/>
    <cellStyle name="Normal 2 4 2 9 2" xfId="3836" xr:uid="{00000000-0005-0000-0000-0000D10F0000}"/>
    <cellStyle name="Normal 2 4 2 9 2 2" xfId="8059" xr:uid="{00000000-0005-0000-0000-0000D20F0000}"/>
    <cellStyle name="Normal 2 4 2 9 3" xfId="5914" xr:uid="{00000000-0005-0000-0000-0000D30F0000}"/>
    <cellStyle name="Normal 2 4 3" xfId="296" xr:uid="{00000000-0005-0000-0000-0000D40F0000}"/>
    <cellStyle name="Normal 2 4 3 2" xfId="297" xr:uid="{00000000-0005-0000-0000-0000D50F0000}"/>
    <cellStyle name="Normal 2 4 3 3" xfId="298" xr:uid="{00000000-0005-0000-0000-0000D60F0000}"/>
    <cellStyle name="Normal 2 4 3 3 2" xfId="299" xr:uid="{00000000-0005-0000-0000-0000D70F0000}"/>
    <cellStyle name="Normal 2 4 3 3 2 2" xfId="300" xr:uid="{00000000-0005-0000-0000-0000D80F0000}"/>
    <cellStyle name="Normal 2 4 3 3 2 2 2" xfId="790" xr:uid="{00000000-0005-0000-0000-0000D90F0000}"/>
    <cellStyle name="Normal 2 4 3 3 2 2 2 2" xfId="3029" xr:uid="{00000000-0005-0000-0000-0000DA0F0000}"/>
    <cellStyle name="Normal 2 4 3 3 2 2 2 2 2" xfId="7252" xr:uid="{00000000-0005-0000-0000-0000DB0F0000}"/>
    <cellStyle name="Normal 2 4 3 3 2 2 2 3" xfId="5107" xr:uid="{00000000-0005-0000-0000-0000DC0F0000}"/>
    <cellStyle name="Normal 2 4 3 3 2 2 3" xfId="1212" xr:uid="{00000000-0005-0000-0000-0000DD0F0000}"/>
    <cellStyle name="Normal 2 4 3 3 2 2 3 2" xfId="3442" xr:uid="{00000000-0005-0000-0000-0000DE0F0000}"/>
    <cellStyle name="Normal 2 4 3 3 2 2 3 2 2" xfId="7665" xr:uid="{00000000-0005-0000-0000-0000DF0F0000}"/>
    <cellStyle name="Normal 2 4 3 3 2 2 3 3" xfId="5520" xr:uid="{00000000-0005-0000-0000-0000E00F0000}"/>
    <cellStyle name="Normal 2 4 3 3 2 2 4" xfId="1625" xr:uid="{00000000-0005-0000-0000-0000E10F0000}"/>
    <cellStyle name="Normal 2 4 3 3 2 2 4 2" xfId="3855" xr:uid="{00000000-0005-0000-0000-0000E20F0000}"/>
    <cellStyle name="Normal 2 4 3 3 2 2 4 2 2" xfId="8078" xr:uid="{00000000-0005-0000-0000-0000E30F0000}"/>
    <cellStyle name="Normal 2 4 3 3 2 2 4 3" xfId="5933" xr:uid="{00000000-0005-0000-0000-0000E40F0000}"/>
    <cellStyle name="Normal 2 4 3 3 2 2 5" xfId="2039" xr:uid="{00000000-0005-0000-0000-0000E50F0000}"/>
    <cellStyle name="Normal 2 4 3 3 2 2 5 2" xfId="4268" xr:uid="{00000000-0005-0000-0000-0000E60F0000}"/>
    <cellStyle name="Normal 2 4 3 3 2 2 5 2 2" xfId="8491" xr:uid="{00000000-0005-0000-0000-0000E70F0000}"/>
    <cellStyle name="Normal 2 4 3 3 2 2 5 3" xfId="6346" xr:uid="{00000000-0005-0000-0000-0000E80F0000}"/>
    <cellStyle name="Normal 2 4 3 3 2 2 6" xfId="2475" xr:uid="{00000000-0005-0000-0000-0000E90F0000}"/>
    <cellStyle name="Normal 2 4 3 3 2 2 6 2" xfId="6759" xr:uid="{00000000-0005-0000-0000-0000EA0F0000}"/>
    <cellStyle name="Normal 2 4 3 3 2 2 7" xfId="4693" xr:uid="{00000000-0005-0000-0000-0000EB0F0000}"/>
    <cellStyle name="Normal 2 4 3 3 2 3" xfId="789" xr:uid="{00000000-0005-0000-0000-0000EC0F0000}"/>
    <cellStyle name="Normal 2 4 3 3 2 3 2" xfId="3028" xr:uid="{00000000-0005-0000-0000-0000ED0F0000}"/>
    <cellStyle name="Normal 2 4 3 3 2 3 2 2" xfId="7251" xr:uid="{00000000-0005-0000-0000-0000EE0F0000}"/>
    <cellStyle name="Normal 2 4 3 3 2 3 3" xfId="5106" xr:uid="{00000000-0005-0000-0000-0000EF0F0000}"/>
    <cellStyle name="Normal 2 4 3 3 2 4" xfId="1211" xr:uid="{00000000-0005-0000-0000-0000F00F0000}"/>
    <cellStyle name="Normal 2 4 3 3 2 4 2" xfId="3441" xr:uid="{00000000-0005-0000-0000-0000F10F0000}"/>
    <cellStyle name="Normal 2 4 3 3 2 4 2 2" xfId="7664" xr:uid="{00000000-0005-0000-0000-0000F20F0000}"/>
    <cellStyle name="Normal 2 4 3 3 2 4 3" xfId="5519" xr:uid="{00000000-0005-0000-0000-0000F30F0000}"/>
    <cellStyle name="Normal 2 4 3 3 2 5" xfId="1624" xr:uid="{00000000-0005-0000-0000-0000F40F0000}"/>
    <cellStyle name="Normal 2 4 3 3 2 5 2" xfId="3854" xr:uid="{00000000-0005-0000-0000-0000F50F0000}"/>
    <cellStyle name="Normal 2 4 3 3 2 5 2 2" xfId="8077" xr:uid="{00000000-0005-0000-0000-0000F60F0000}"/>
    <cellStyle name="Normal 2 4 3 3 2 5 3" xfId="5932" xr:uid="{00000000-0005-0000-0000-0000F70F0000}"/>
    <cellStyle name="Normal 2 4 3 3 2 6" xfId="2038" xr:uid="{00000000-0005-0000-0000-0000F80F0000}"/>
    <cellStyle name="Normal 2 4 3 3 2 6 2" xfId="4267" xr:uid="{00000000-0005-0000-0000-0000F90F0000}"/>
    <cellStyle name="Normal 2 4 3 3 2 6 2 2" xfId="8490" xr:uid="{00000000-0005-0000-0000-0000FA0F0000}"/>
    <cellStyle name="Normal 2 4 3 3 2 6 3" xfId="6345" xr:uid="{00000000-0005-0000-0000-0000FB0F0000}"/>
    <cellStyle name="Normal 2 4 3 3 2 7" xfId="2474" xr:uid="{00000000-0005-0000-0000-0000FC0F0000}"/>
    <cellStyle name="Normal 2 4 3 3 2 7 2" xfId="6758" xr:uid="{00000000-0005-0000-0000-0000FD0F0000}"/>
    <cellStyle name="Normal 2 4 3 3 2 8" xfId="4692" xr:uid="{00000000-0005-0000-0000-0000FE0F0000}"/>
    <cellStyle name="Normal 2 4 3 3 3" xfId="301" xr:uid="{00000000-0005-0000-0000-0000FF0F0000}"/>
    <cellStyle name="Normal 2 4 3 3 3 2" xfId="791" xr:uid="{00000000-0005-0000-0000-000000100000}"/>
    <cellStyle name="Normal 2 4 3 3 3 2 2" xfId="3030" xr:uid="{00000000-0005-0000-0000-000001100000}"/>
    <cellStyle name="Normal 2 4 3 3 3 2 2 2" xfId="7253" xr:uid="{00000000-0005-0000-0000-000002100000}"/>
    <cellStyle name="Normal 2 4 3 3 3 2 3" xfId="5108" xr:uid="{00000000-0005-0000-0000-000003100000}"/>
    <cellStyle name="Normal 2 4 3 3 3 3" xfId="1213" xr:uid="{00000000-0005-0000-0000-000004100000}"/>
    <cellStyle name="Normal 2 4 3 3 3 3 2" xfId="3443" xr:uid="{00000000-0005-0000-0000-000005100000}"/>
    <cellStyle name="Normal 2 4 3 3 3 3 2 2" xfId="7666" xr:uid="{00000000-0005-0000-0000-000006100000}"/>
    <cellStyle name="Normal 2 4 3 3 3 3 3" xfId="5521" xr:uid="{00000000-0005-0000-0000-000007100000}"/>
    <cellStyle name="Normal 2 4 3 3 3 4" xfId="1626" xr:uid="{00000000-0005-0000-0000-000008100000}"/>
    <cellStyle name="Normal 2 4 3 3 3 4 2" xfId="3856" xr:uid="{00000000-0005-0000-0000-000009100000}"/>
    <cellStyle name="Normal 2 4 3 3 3 4 2 2" xfId="8079" xr:uid="{00000000-0005-0000-0000-00000A100000}"/>
    <cellStyle name="Normal 2 4 3 3 3 4 3" xfId="5934" xr:uid="{00000000-0005-0000-0000-00000B100000}"/>
    <cellStyle name="Normal 2 4 3 3 3 5" xfId="2040" xr:uid="{00000000-0005-0000-0000-00000C100000}"/>
    <cellStyle name="Normal 2 4 3 3 3 5 2" xfId="4269" xr:uid="{00000000-0005-0000-0000-00000D100000}"/>
    <cellStyle name="Normal 2 4 3 3 3 5 2 2" xfId="8492" xr:uid="{00000000-0005-0000-0000-00000E100000}"/>
    <cellStyle name="Normal 2 4 3 3 3 5 3" xfId="6347" xr:uid="{00000000-0005-0000-0000-00000F100000}"/>
    <cellStyle name="Normal 2 4 3 3 3 6" xfId="2476" xr:uid="{00000000-0005-0000-0000-000010100000}"/>
    <cellStyle name="Normal 2 4 3 3 3 6 2" xfId="6760" xr:uid="{00000000-0005-0000-0000-000011100000}"/>
    <cellStyle name="Normal 2 4 3 3 3 7" xfId="4694" xr:uid="{00000000-0005-0000-0000-000012100000}"/>
    <cellStyle name="Normal 2 4 3 3 4" xfId="788" xr:uid="{00000000-0005-0000-0000-000013100000}"/>
    <cellStyle name="Normal 2 4 3 3 4 2" xfId="3027" xr:uid="{00000000-0005-0000-0000-000014100000}"/>
    <cellStyle name="Normal 2 4 3 3 4 2 2" xfId="7250" xr:uid="{00000000-0005-0000-0000-000015100000}"/>
    <cellStyle name="Normal 2 4 3 3 4 3" xfId="5105" xr:uid="{00000000-0005-0000-0000-000016100000}"/>
    <cellStyle name="Normal 2 4 3 3 5" xfId="1210" xr:uid="{00000000-0005-0000-0000-000017100000}"/>
    <cellStyle name="Normal 2 4 3 3 5 2" xfId="3440" xr:uid="{00000000-0005-0000-0000-000018100000}"/>
    <cellStyle name="Normal 2 4 3 3 5 2 2" xfId="7663" xr:uid="{00000000-0005-0000-0000-000019100000}"/>
    <cellStyle name="Normal 2 4 3 3 5 3" xfId="5518" xr:uid="{00000000-0005-0000-0000-00001A100000}"/>
    <cellStyle name="Normal 2 4 3 3 6" xfId="1623" xr:uid="{00000000-0005-0000-0000-00001B100000}"/>
    <cellStyle name="Normal 2 4 3 3 6 2" xfId="3853" xr:uid="{00000000-0005-0000-0000-00001C100000}"/>
    <cellStyle name="Normal 2 4 3 3 6 2 2" xfId="8076" xr:uid="{00000000-0005-0000-0000-00001D100000}"/>
    <cellStyle name="Normal 2 4 3 3 6 3" xfId="5931" xr:uid="{00000000-0005-0000-0000-00001E100000}"/>
    <cellStyle name="Normal 2 4 3 3 7" xfId="2037" xr:uid="{00000000-0005-0000-0000-00001F100000}"/>
    <cellStyle name="Normal 2 4 3 3 7 2" xfId="4266" xr:uid="{00000000-0005-0000-0000-000020100000}"/>
    <cellStyle name="Normal 2 4 3 3 7 2 2" xfId="8489" xr:uid="{00000000-0005-0000-0000-000021100000}"/>
    <cellStyle name="Normal 2 4 3 3 7 3" xfId="6344" xr:uid="{00000000-0005-0000-0000-000022100000}"/>
    <cellStyle name="Normal 2 4 3 3 8" xfId="2473" xr:uid="{00000000-0005-0000-0000-000023100000}"/>
    <cellStyle name="Normal 2 4 3 3 8 2" xfId="6757" xr:uid="{00000000-0005-0000-0000-000024100000}"/>
    <cellStyle name="Normal 2 4 3 3 9" xfId="4691" xr:uid="{00000000-0005-0000-0000-000025100000}"/>
    <cellStyle name="Normal 2 4 3 4" xfId="787" xr:uid="{00000000-0005-0000-0000-000026100000}"/>
    <cellStyle name="Normal 2 4 3 4 2" xfId="3026" xr:uid="{00000000-0005-0000-0000-000027100000}"/>
    <cellStyle name="Normal 2 4 3 4 2 2" xfId="7249" xr:uid="{00000000-0005-0000-0000-000028100000}"/>
    <cellStyle name="Normal 2 4 3 4 3" xfId="5104" xr:uid="{00000000-0005-0000-0000-000029100000}"/>
    <cellStyle name="Normal 2 4 3 5" xfId="1209" xr:uid="{00000000-0005-0000-0000-00002A100000}"/>
    <cellStyle name="Normal 2 4 3 5 2" xfId="3439" xr:uid="{00000000-0005-0000-0000-00002B100000}"/>
    <cellStyle name="Normal 2 4 3 5 2 2" xfId="7662" xr:uid="{00000000-0005-0000-0000-00002C100000}"/>
    <cellStyle name="Normal 2 4 3 5 3" xfId="5517" xr:uid="{00000000-0005-0000-0000-00002D100000}"/>
    <cellStyle name="Normal 2 4 3 6" xfId="1622" xr:uid="{00000000-0005-0000-0000-00002E100000}"/>
    <cellStyle name="Normal 2 4 3 6 2" xfId="3852" xr:uid="{00000000-0005-0000-0000-00002F100000}"/>
    <cellStyle name="Normal 2 4 3 6 2 2" xfId="8075" xr:uid="{00000000-0005-0000-0000-000030100000}"/>
    <cellStyle name="Normal 2 4 3 6 3" xfId="5930" xr:uid="{00000000-0005-0000-0000-000031100000}"/>
    <cellStyle name="Normal 2 4 3 7" xfId="2036" xr:uid="{00000000-0005-0000-0000-000032100000}"/>
    <cellStyle name="Normal 2 4 3 7 2" xfId="4265" xr:uid="{00000000-0005-0000-0000-000033100000}"/>
    <cellStyle name="Normal 2 4 3 7 2 2" xfId="8488" xr:uid="{00000000-0005-0000-0000-000034100000}"/>
    <cellStyle name="Normal 2 4 3 7 3" xfId="6343" xr:uid="{00000000-0005-0000-0000-000035100000}"/>
    <cellStyle name="Normal 2 4 3 8" xfId="2472" xr:uid="{00000000-0005-0000-0000-000036100000}"/>
    <cellStyle name="Normal 2 4 3 8 2" xfId="6756" xr:uid="{00000000-0005-0000-0000-000037100000}"/>
    <cellStyle name="Normal 2 4 3 9" xfId="4690" xr:uid="{00000000-0005-0000-0000-000038100000}"/>
    <cellStyle name="Normal 2 4 4" xfId="302" xr:uid="{00000000-0005-0000-0000-000039100000}"/>
    <cellStyle name="Normal 2 4 5" xfId="303" xr:uid="{00000000-0005-0000-0000-00003A100000}"/>
    <cellStyle name="Normal 2 4 5 10" xfId="4695" xr:uid="{00000000-0005-0000-0000-00003B100000}"/>
    <cellStyle name="Normal 2 4 5 2" xfId="304" xr:uid="{00000000-0005-0000-0000-00003C100000}"/>
    <cellStyle name="Normal 2 4 5 2 2" xfId="305" xr:uid="{00000000-0005-0000-0000-00003D100000}"/>
    <cellStyle name="Normal 2 4 5 2 2 2" xfId="306" xr:uid="{00000000-0005-0000-0000-00003E100000}"/>
    <cellStyle name="Normal 2 4 5 2 2 2 2" xfId="795" xr:uid="{00000000-0005-0000-0000-00003F100000}"/>
    <cellStyle name="Normal 2 4 5 2 2 2 2 2" xfId="3034" xr:uid="{00000000-0005-0000-0000-000040100000}"/>
    <cellStyle name="Normal 2 4 5 2 2 2 2 2 2" xfId="7257" xr:uid="{00000000-0005-0000-0000-000041100000}"/>
    <cellStyle name="Normal 2 4 5 2 2 2 2 3" xfId="5112" xr:uid="{00000000-0005-0000-0000-000042100000}"/>
    <cellStyle name="Normal 2 4 5 2 2 2 3" xfId="1217" xr:uid="{00000000-0005-0000-0000-000043100000}"/>
    <cellStyle name="Normal 2 4 5 2 2 2 3 2" xfId="3447" xr:uid="{00000000-0005-0000-0000-000044100000}"/>
    <cellStyle name="Normal 2 4 5 2 2 2 3 2 2" xfId="7670" xr:uid="{00000000-0005-0000-0000-000045100000}"/>
    <cellStyle name="Normal 2 4 5 2 2 2 3 3" xfId="5525" xr:uid="{00000000-0005-0000-0000-000046100000}"/>
    <cellStyle name="Normal 2 4 5 2 2 2 4" xfId="1630" xr:uid="{00000000-0005-0000-0000-000047100000}"/>
    <cellStyle name="Normal 2 4 5 2 2 2 4 2" xfId="3860" xr:uid="{00000000-0005-0000-0000-000048100000}"/>
    <cellStyle name="Normal 2 4 5 2 2 2 4 2 2" xfId="8083" xr:uid="{00000000-0005-0000-0000-000049100000}"/>
    <cellStyle name="Normal 2 4 5 2 2 2 4 3" xfId="5938" xr:uid="{00000000-0005-0000-0000-00004A100000}"/>
    <cellStyle name="Normal 2 4 5 2 2 2 5" xfId="2044" xr:uid="{00000000-0005-0000-0000-00004B100000}"/>
    <cellStyle name="Normal 2 4 5 2 2 2 5 2" xfId="4273" xr:uid="{00000000-0005-0000-0000-00004C100000}"/>
    <cellStyle name="Normal 2 4 5 2 2 2 5 2 2" xfId="8496" xr:uid="{00000000-0005-0000-0000-00004D100000}"/>
    <cellStyle name="Normal 2 4 5 2 2 2 5 3" xfId="6351" xr:uid="{00000000-0005-0000-0000-00004E100000}"/>
    <cellStyle name="Normal 2 4 5 2 2 2 6" xfId="2480" xr:uid="{00000000-0005-0000-0000-00004F100000}"/>
    <cellStyle name="Normal 2 4 5 2 2 2 6 2" xfId="6764" xr:uid="{00000000-0005-0000-0000-000050100000}"/>
    <cellStyle name="Normal 2 4 5 2 2 2 7" xfId="4698" xr:uid="{00000000-0005-0000-0000-000051100000}"/>
    <cellStyle name="Normal 2 4 5 2 2 3" xfId="794" xr:uid="{00000000-0005-0000-0000-000052100000}"/>
    <cellStyle name="Normal 2 4 5 2 2 3 2" xfId="3033" xr:uid="{00000000-0005-0000-0000-000053100000}"/>
    <cellStyle name="Normal 2 4 5 2 2 3 2 2" xfId="7256" xr:uid="{00000000-0005-0000-0000-000054100000}"/>
    <cellStyle name="Normal 2 4 5 2 2 3 3" xfId="5111" xr:uid="{00000000-0005-0000-0000-000055100000}"/>
    <cellStyle name="Normal 2 4 5 2 2 4" xfId="1216" xr:uid="{00000000-0005-0000-0000-000056100000}"/>
    <cellStyle name="Normal 2 4 5 2 2 4 2" xfId="3446" xr:uid="{00000000-0005-0000-0000-000057100000}"/>
    <cellStyle name="Normal 2 4 5 2 2 4 2 2" xfId="7669" xr:uid="{00000000-0005-0000-0000-000058100000}"/>
    <cellStyle name="Normal 2 4 5 2 2 4 3" xfId="5524" xr:uid="{00000000-0005-0000-0000-000059100000}"/>
    <cellStyle name="Normal 2 4 5 2 2 5" xfId="1629" xr:uid="{00000000-0005-0000-0000-00005A100000}"/>
    <cellStyle name="Normal 2 4 5 2 2 5 2" xfId="3859" xr:uid="{00000000-0005-0000-0000-00005B100000}"/>
    <cellStyle name="Normal 2 4 5 2 2 5 2 2" xfId="8082" xr:uid="{00000000-0005-0000-0000-00005C100000}"/>
    <cellStyle name="Normal 2 4 5 2 2 5 3" xfId="5937" xr:uid="{00000000-0005-0000-0000-00005D100000}"/>
    <cellStyle name="Normal 2 4 5 2 2 6" xfId="2043" xr:uid="{00000000-0005-0000-0000-00005E100000}"/>
    <cellStyle name="Normal 2 4 5 2 2 6 2" xfId="4272" xr:uid="{00000000-0005-0000-0000-00005F100000}"/>
    <cellStyle name="Normal 2 4 5 2 2 6 2 2" xfId="8495" xr:uid="{00000000-0005-0000-0000-000060100000}"/>
    <cellStyle name="Normal 2 4 5 2 2 6 3" xfId="6350" xr:uid="{00000000-0005-0000-0000-000061100000}"/>
    <cellStyle name="Normal 2 4 5 2 2 7" xfId="2479" xr:uid="{00000000-0005-0000-0000-000062100000}"/>
    <cellStyle name="Normal 2 4 5 2 2 7 2" xfId="6763" xr:uid="{00000000-0005-0000-0000-000063100000}"/>
    <cellStyle name="Normal 2 4 5 2 2 8" xfId="4697" xr:uid="{00000000-0005-0000-0000-000064100000}"/>
    <cellStyle name="Normal 2 4 5 2 3" xfId="307" xr:uid="{00000000-0005-0000-0000-000065100000}"/>
    <cellStyle name="Normal 2 4 5 2 3 2" xfId="796" xr:uid="{00000000-0005-0000-0000-000066100000}"/>
    <cellStyle name="Normal 2 4 5 2 3 2 2" xfId="3035" xr:uid="{00000000-0005-0000-0000-000067100000}"/>
    <cellStyle name="Normal 2 4 5 2 3 2 2 2" xfId="7258" xr:uid="{00000000-0005-0000-0000-000068100000}"/>
    <cellStyle name="Normal 2 4 5 2 3 2 3" xfId="5113" xr:uid="{00000000-0005-0000-0000-000069100000}"/>
    <cellStyle name="Normal 2 4 5 2 3 3" xfId="1218" xr:uid="{00000000-0005-0000-0000-00006A100000}"/>
    <cellStyle name="Normal 2 4 5 2 3 3 2" xfId="3448" xr:uid="{00000000-0005-0000-0000-00006B100000}"/>
    <cellStyle name="Normal 2 4 5 2 3 3 2 2" xfId="7671" xr:uid="{00000000-0005-0000-0000-00006C100000}"/>
    <cellStyle name="Normal 2 4 5 2 3 3 3" xfId="5526" xr:uid="{00000000-0005-0000-0000-00006D100000}"/>
    <cellStyle name="Normal 2 4 5 2 3 4" xfId="1631" xr:uid="{00000000-0005-0000-0000-00006E100000}"/>
    <cellStyle name="Normal 2 4 5 2 3 4 2" xfId="3861" xr:uid="{00000000-0005-0000-0000-00006F100000}"/>
    <cellStyle name="Normal 2 4 5 2 3 4 2 2" xfId="8084" xr:uid="{00000000-0005-0000-0000-000070100000}"/>
    <cellStyle name="Normal 2 4 5 2 3 4 3" xfId="5939" xr:uid="{00000000-0005-0000-0000-000071100000}"/>
    <cellStyle name="Normal 2 4 5 2 3 5" xfId="2045" xr:uid="{00000000-0005-0000-0000-000072100000}"/>
    <cellStyle name="Normal 2 4 5 2 3 5 2" xfId="4274" xr:uid="{00000000-0005-0000-0000-000073100000}"/>
    <cellStyle name="Normal 2 4 5 2 3 5 2 2" xfId="8497" xr:uid="{00000000-0005-0000-0000-000074100000}"/>
    <cellStyle name="Normal 2 4 5 2 3 5 3" xfId="6352" xr:uid="{00000000-0005-0000-0000-000075100000}"/>
    <cellStyle name="Normal 2 4 5 2 3 6" xfId="2481" xr:uid="{00000000-0005-0000-0000-000076100000}"/>
    <cellStyle name="Normal 2 4 5 2 3 6 2" xfId="6765" xr:uid="{00000000-0005-0000-0000-000077100000}"/>
    <cellStyle name="Normal 2 4 5 2 3 7" xfId="4699" xr:uid="{00000000-0005-0000-0000-000078100000}"/>
    <cellStyle name="Normal 2 4 5 2 4" xfId="793" xr:uid="{00000000-0005-0000-0000-000079100000}"/>
    <cellStyle name="Normal 2 4 5 2 4 2" xfId="3032" xr:uid="{00000000-0005-0000-0000-00007A100000}"/>
    <cellStyle name="Normal 2 4 5 2 4 2 2" xfId="7255" xr:uid="{00000000-0005-0000-0000-00007B100000}"/>
    <cellStyle name="Normal 2 4 5 2 4 3" xfId="5110" xr:uid="{00000000-0005-0000-0000-00007C100000}"/>
    <cellStyle name="Normal 2 4 5 2 5" xfId="1215" xr:uid="{00000000-0005-0000-0000-00007D100000}"/>
    <cellStyle name="Normal 2 4 5 2 5 2" xfId="3445" xr:uid="{00000000-0005-0000-0000-00007E100000}"/>
    <cellStyle name="Normal 2 4 5 2 5 2 2" xfId="7668" xr:uid="{00000000-0005-0000-0000-00007F100000}"/>
    <cellStyle name="Normal 2 4 5 2 5 3" xfId="5523" xr:uid="{00000000-0005-0000-0000-000080100000}"/>
    <cellStyle name="Normal 2 4 5 2 6" xfId="1628" xr:uid="{00000000-0005-0000-0000-000081100000}"/>
    <cellStyle name="Normal 2 4 5 2 6 2" xfId="3858" xr:uid="{00000000-0005-0000-0000-000082100000}"/>
    <cellStyle name="Normal 2 4 5 2 6 2 2" xfId="8081" xr:uid="{00000000-0005-0000-0000-000083100000}"/>
    <cellStyle name="Normal 2 4 5 2 6 3" xfId="5936" xr:uid="{00000000-0005-0000-0000-000084100000}"/>
    <cellStyle name="Normal 2 4 5 2 7" xfId="2042" xr:uid="{00000000-0005-0000-0000-000085100000}"/>
    <cellStyle name="Normal 2 4 5 2 7 2" xfId="4271" xr:uid="{00000000-0005-0000-0000-000086100000}"/>
    <cellStyle name="Normal 2 4 5 2 7 2 2" xfId="8494" xr:uid="{00000000-0005-0000-0000-000087100000}"/>
    <cellStyle name="Normal 2 4 5 2 7 3" xfId="6349" xr:uid="{00000000-0005-0000-0000-000088100000}"/>
    <cellStyle name="Normal 2 4 5 2 8" xfId="2478" xr:uid="{00000000-0005-0000-0000-000089100000}"/>
    <cellStyle name="Normal 2 4 5 2 8 2" xfId="6762" xr:uid="{00000000-0005-0000-0000-00008A100000}"/>
    <cellStyle name="Normal 2 4 5 2 9" xfId="4696" xr:uid="{00000000-0005-0000-0000-00008B100000}"/>
    <cellStyle name="Normal 2 4 5 3" xfId="308" xr:uid="{00000000-0005-0000-0000-00008C100000}"/>
    <cellStyle name="Normal 2 4 5 3 2" xfId="309" xr:uid="{00000000-0005-0000-0000-00008D100000}"/>
    <cellStyle name="Normal 2 4 5 3 2 2" xfId="798" xr:uid="{00000000-0005-0000-0000-00008E100000}"/>
    <cellStyle name="Normal 2 4 5 3 2 2 2" xfId="3037" xr:uid="{00000000-0005-0000-0000-00008F100000}"/>
    <cellStyle name="Normal 2 4 5 3 2 2 2 2" xfId="7260" xr:uid="{00000000-0005-0000-0000-000090100000}"/>
    <cellStyle name="Normal 2 4 5 3 2 2 3" xfId="5115" xr:uid="{00000000-0005-0000-0000-000091100000}"/>
    <cellStyle name="Normal 2 4 5 3 2 3" xfId="1220" xr:uid="{00000000-0005-0000-0000-000092100000}"/>
    <cellStyle name="Normal 2 4 5 3 2 3 2" xfId="3450" xr:uid="{00000000-0005-0000-0000-000093100000}"/>
    <cellStyle name="Normal 2 4 5 3 2 3 2 2" xfId="7673" xr:uid="{00000000-0005-0000-0000-000094100000}"/>
    <cellStyle name="Normal 2 4 5 3 2 3 3" xfId="5528" xr:uid="{00000000-0005-0000-0000-000095100000}"/>
    <cellStyle name="Normal 2 4 5 3 2 4" xfId="1633" xr:uid="{00000000-0005-0000-0000-000096100000}"/>
    <cellStyle name="Normal 2 4 5 3 2 4 2" xfId="3863" xr:uid="{00000000-0005-0000-0000-000097100000}"/>
    <cellStyle name="Normal 2 4 5 3 2 4 2 2" xfId="8086" xr:uid="{00000000-0005-0000-0000-000098100000}"/>
    <cellStyle name="Normal 2 4 5 3 2 4 3" xfId="5941" xr:uid="{00000000-0005-0000-0000-000099100000}"/>
    <cellStyle name="Normal 2 4 5 3 2 5" xfId="2047" xr:uid="{00000000-0005-0000-0000-00009A100000}"/>
    <cellStyle name="Normal 2 4 5 3 2 5 2" xfId="4276" xr:uid="{00000000-0005-0000-0000-00009B100000}"/>
    <cellStyle name="Normal 2 4 5 3 2 5 2 2" xfId="8499" xr:uid="{00000000-0005-0000-0000-00009C100000}"/>
    <cellStyle name="Normal 2 4 5 3 2 5 3" xfId="6354" xr:uid="{00000000-0005-0000-0000-00009D100000}"/>
    <cellStyle name="Normal 2 4 5 3 2 6" xfId="2483" xr:uid="{00000000-0005-0000-0000-00009E100000}"/>
    <cellStyle name="Normal 2 4 5 3 2 6 2" xfId="6767" xr:uid="{00000000-0005-0000-0000-00009F100000}"/>
    <cellStyle name="Normal 2 4 5 3 2 7" xfId="4701" xr:uid="{00000000-0005-0000-0000-0000A0100000}"/>
    <cellStyle name="Normal 2 4 5 3 3" xfId="797" xr:uid="{00000000-0005-0000-0000-0000A1100000}"/>
    <cellStyle name="Normal 2 4 5 3 3 2" xfId="3036" xr:uid="{00000000-0005-0000-0000-0000A2100000}"/>
    <cellStyle name="Normal 2 4 5 3 3 2 2" xfId="7259" xr:uid="{00000000-0005-0000-0000-0000A3100000}"/>
    <cellStyle name="Normal 2 4 5 3 3 3" xfId="5114" xr:uid="{00000000-0005-0000-0000-0000A4100000}"/>
    <cellStyle name="Normal 2 4 5 3 4" xfId="1219" xr:uid="{00000000-0005-0000-0000-0000A5100000}"/>
    <cellStyle name="Normal 2 4 5 3 4 2" xfId="3449" xr:uid="{00000000-0005-0000-0000-0000A6100000}"/>
    <cellStyle name="Normal 2 4 5 3 4 2 2" xfId="7672" xr:uid="{00000000-0005-0000-0000-0000A7100000}"/>
    <cellStyle name="Normal 2 4 5 3 4 3" xfId="5527" xr:uid="{00000000-0005-0000-0000-0000A8100000}"/>
    <cellStyle name="Normal 2 4 5 3 5" xfId="1632" xr:uid="{00000000-0005-0000-0000-0000A9100000}"/>
    <cellStyle name="Normal 2 4 5 3 5 2" xfId="3862" xr:uid="{00000000-0005-0000-0000-0000AA100000}"/>
    <cellStyle name="Normal 2 4 5 3 5 2 2" xfId="8085" xr:uid="{00000000-0005-0000-0000-0000AB100000}"/>
    <cellStyle name="Normal 2 4 5 3 5 3" xfId="5940" xr:uid="{00000000-0005-0000-0000-0000AC100000}"/>
    <cellStyle name="Normal 2 4 5 3 6" xfId="2046" xr:uid="{00000000-0005-0000-0000-0000AD100000}"/>
    <cellStyle name="Normal 2 4 5 3 6 2" xfId="4275" xr:uid="{00000000-0005-0000-0000-0000AE100000}"/>
    <cellStyle name="Normal 2 4 5 3 6 2 2" xfId="8498" xr:uid="{00000000-0005-0000-0000-0000AF100000}"/>
    <cellStyle name="Normal 2 4 5 3 6 3" xfId="6353" xr:uid="{00000000-0005-0000-0000-0000B0100000}"/>
    <cellStyle name="Normal 2 4 5 3 7" xfId="2482" xr:uid="{00000000-0005-0000-0000-0000B1100000}"/>
    <cellStyle name="Normal 2 4 5 3 7 2" xfId="6766" xr:uid="{00000000-0005-0000-0000-0000B2100000}"/>
    <cellStyle name="Normal 2 4 5 3 8" xfId="4700" xr:uid="{00000000-0005-0000-0000-0000B3100000}"/>
    <cellStyle name="Normal 2 4 5 4" xfId="310" xr:uid="{00000000-0005-0000-0000-0000B4100000}"/>
    <cellStyle name="Normal 2 4 5 4 2" xfId="799" xr:uid="{00000000-0005-0000-0000-0000B5100000}"/>
    <cellStyle name="Normal 2 4 5 4 2 2" xfId="3038" xr:uid="{00000000-0005-0000-0000-0000B6100000}"/>
    <cellStyle name="Normal 2 4 5 4 2 2 2" xfId="7261" xr:uid="{00000000-0005-0000-0000-0000B7100000}"/>
    <cellStyle name="Normal 2 4 5 4 2 3" xfId="5116" xr:uid="{00000000-0005-0000-0000-0000B8100000}"/>
    <cellStyle name="Normal 2 4 5 4 3" xfId="1221" xr:uid="{00000000-0005-0000-0000-0000B9100000}"/>
    <cellStyle name="Normal 2 4 5 4 3 2" xfId="3451" xr:uid="{00000000-0005-0000-0000-0000BA100000}"/>
    <cellStyle name="Normal 2 4 5 4 3 2 2" xfId="7674" xr:uid="{00000000-0005-0000-0000-0000BB100000}"/>
    <cellStyle name="Normal 2 4 5 4 3 3" xfId="5529" xr:uid="{00000000-0005-0000-0000-0000BC100000}"/>
    <cellStyle name="Normal 2 4 5 4 4" xfId="1634" xr:uid="{00000000-0005-0000-0000-0000BD100000}"/>
    <cellStyle name="Normal 2 4 5 4 4 2" xfId="3864" xr:uid="{00000000-0005-0000-0000-0000BE100000}"/>
    <cellStyle name="Normal 2 4 5 4 4 2 2" xfId="8087" xr:uid="{00000000-0005-0000-0000-0000BF100000}"/>
    <cellStyle name="Normal 2 4 5 4 4 3" xfId="5942" xr:uid="{00000000-0005-0000-0000-0000C0100000}"/>
    <cellStyle name="Normal 2 4 5 4 5" xfId="2048" xr:uid="{00000000-0005-0000-0000-0000C1100000}"/>
    <cellStyle name="Normal 2 4 5 4 5 2" xfId="4277" xr:uid="{00000000-0005-0000-0000-0000C2100000}"/>
    <cellStyle name="Normal 2 4 5 4 5 2 2" xfId="8500" xr:uid="{00000000-0005-0000-0000-0000C3100000}"/>
    <cellStyle name="Normal 2 4 5 4 5 3" xfId="6355" xr:uid="{00000000-0005-0000-0000-0000C4100000}"/>
    <cellStyle name="Normal 2 4 5 4 6" xfId="2484" xr:uid="{00000000-0005-0000-0000-0000C5100000}"/>
    <cellStyle name="Normal 2 4 5 4 6 2" xfId="6768" xr:uid="{00000000-0005-0000-0000-0000C6100000}"/>
    <cellStyle name="Normal 2 4 5 4 7" xfId="4702" xr:uid="{00000000-0005-0000-0000-0000C7100000}"/>
    <cellStyle name="Normal 2 4 5 5" xfId="792" xr:uid="{00000000-0005-0000-0000-0000C8100000}"/>
    <cellStyle name="Normal 2 4 5 5 2" xfId="3031" xr:uid="{00000000-0005-0000-0000-0000C9100000}"/>
    <cellStyle name="Normal 2 4 5 5 2 2" xfId="7254" xr:uid="{00000000-0005-0000-0000-0000CA100000}"/>
    <cellStyle name="Normal 2 4 5 5 3" xfId="5109" xr:uid="{00000000-0005-0000-0000-0000CB100000}"/>
    <cellStyle name="Normal 2 4 5 6" xfId="1214" xr:uid="{00000000-0005-0000-0000-0000CC100000}"/>
    <cellStyle name="Normal 2 4 5 6 2" xfId="3444" xr:uid="{00000000-0005-0000-0000-0000CD100000}"/>
    <cellStyle name="Normal 2 4 5 6 2 2" xfId="7667" xr:uid="{00000000-0005-0000-0000-0000CE100000}"/>
    <cellStyle name="Normal 2 4 5 6 3" xfId="5522" xr:uid="{00000000-0005-0000-0000-0000CF100000}"/>
    <cellStyle name="Normal 2 4 5 7" xfId="1627" xr:uid="{00000000-0005-0000-0000-0000D0100000}"/>
    <cellStyle name="Normal 2 4 5 7 2" xfId="3857" xr:uid="{00000000-0005-0000-0000-0000D1100000}"/>
    <cellStyle name="Normal 2 4 5 7 2 2" xfId="8080" xr:uid="{00000000-0005-0000-0000-0000D2100000}"/>
    <cellStyle name="Normal 2 4 5 7 3" xfId="5935" xr:uid="{00000000-0005-0000-0000-0000D3100000}"/>
    <cellStyle name="Normal 2 4 5 8" xfId="2041" xr:uid="{00000000-0005-0000-0000-0000D4100000}"/>
    <cellStyle name="Normal 2 4 5 8 2" xfId="4270" xr:uid="{00000000-0005-0000-0000-0000D5100000}"/>
    <cellStyle name="Normal 2 4 5 8 2 2" xfId="8493" xr:uid="{00000000-0005-0000-0000-0000D6100000}"/>
    <cellStyle name="Normal 2 4 5 8 3" xfId="6348" xr:uid="{00000000-0005-0000-0000-0000D7100000}"/>
    <cellStyle name="Normal 2 4 5 9" xfId="2477" xr:uid="{00000000-0005-0000-0000-0000D8100000}"/>
    <cellStyle name="Normal 2 4 5 9 2" xfId="6761" xr:uid="{00000000-0005-0000-0000-0000D9100000}"/>
    <cellStyle name="Normal 2 4 6" xfId="311" xr:uid="{00000000-0005-0000-0000-0000DA100000}"/>
    <cellStyle name="Normal 2 4 7" xfId="312" xr:uid="{00000000-0005-0000-0000-0000DB100000}"/>
    <cellStyle name="Normal 2 4 7 2" xfId="313" xr:uid="{00000000-0005-0000-0000-0000DC100000}"/>
    <cellStyle name="Normal 2 4 7 2 2" xfId="801" xr:uid="{00000000-0005-0000-0000-0000DD100000}"/>
    <cellStyle name="Normal 2 4 7 2 2 2" xfId="3040" xr:uid="{00000000-0005-0000-0000-0000DE100000}"/>
    <cellStyle name="Normal 2 4 7 2 2 2 2" xfId="7263" xr:uid="{00000000-0005-0000-0000-0000DF100000}"/>
    <cellStyle name="Normal 2 4 7 2 2 3" xfId="5118" xr:uid="{00000000-0005-0000-0000-0000E0100000}"/>
    <cellStyle name="Normal 2 4 7 2 3" xfId="1223" xr:uid="{00000000-0005-0000-0000-0000E1100000}"/>
    <cellStyle name="Normal 2 4 7 2 3 2" xfId="3453" xr:uid="{00000000-0005-0000-0000-0000E2100000}"/>
    <cellStyle name="Normal 2 4 7 2 3 2 2" xfId="7676" xr:uid="{00000000-0005-0000-0000-0000E3100000}"/>
    <cellStyle name="Normal 2 4 7 2 3 3" xfId="5531" xr:uid="{00000000-0005-0000-0000-0000E4100000}"/>
    <cellStyle name="Normal 2 4 7 2 4" xfId="1636" xr:uid="{00000000-0005-0000-0000-0000E5100000}"/>
    <cellStyle name="Normal 2 4 7 2 4 2" xfId="3866" xr:uid="{00000000-0005-0000-0000-0000E6100000}"/>
    <cellStyle name="Normal 2 4 7 2 4 2 2" xfId="8089" xr:uid="{00000000-0005-0000-0000-0000E7100000}"/>
    <cellStyle name="Normal 2 4 7 2 4 3" xfId="5944" xr:uid="{00000000-0005-0000-0000-0000E8100000}"/>
    <cellStyle name="Normal 2 4 7 2 5" xfId="2050" xr:uid="{00000000-0005-0000-0000-0000E9100000}"/>
    <cellStyle name="Normal 2 4 7 2 5 2" xfId="4279" xr:uid="{00000000-0005-0000-0000-0000EA100000}"/>
    <cellStyle name="Normal 2 4 7 2 5 2 2" xfId="8502" xr:uid="{00000000-0005-0000-0000-0000EB100000}"/>
    <cellStyle name="Normal 2 4 7 2 5 3" xfId="6357" xr:uid="{00000000-0005-0000-0000-0000EC100000}"/>
    <cellStyle name="Normal 2 4 7 2 6" xfId="2486" xr:uid="{00000000-0005-0000-0000-0000ED100000}"/>
    <cellStyle name="Normal 2 4 7 2 6 2" xfId="6770" xr:uid="{00000000-0005-0000-0000-0000EE100000}"/>
    <cellStyle name="Normal 2 4 7 2 7" xfId="4704" xr:uid="{00000000-0005-0000-0000-0000EF100000}"/>
    <cellStyle name="Normal 2 4 7 3" xfId="800" xr:uid="{00000000-0005-0000-0000-0000F0100000}"/>
    <cellStyle name="Normal 2 4 7 3 2" xfId="3039" xr:uid="{00000000-0005-0000-0000-0000F1100000}"/>
    <cellStyle name="Normal 2 4 7 3 2 2" xfId="7262" xr:uid="{00000000-0005-0000-0000-0000F2100000}"/>
    <cellStyle name="Normal 2 4 7 3 3" xfId="5117" xr:uid="{00000000-0005-0000-0000-0000F3100000}"/>
    <cellStyle name="Normal 2 4 7 4" xfId="1222" xr:uid="{00000000-0005-0000-0000-0000F4100000}"/>
    <cellStyle name="Normal 2 4 7 4 2" xfId="3452" xr:uid="{00000000-0005-0000-0000-0000F5100000}"/>
    <cellStyle name="Normal 2 4 7 4 2 2" xfId="7675" xr:uid="{00000000-0005-0000-0000-0000F6100000}"/>
    <cellStyle name="Normal 2 4 7 4 3" xfId="5530" xr:uid="{00000000-0005-0000-0000-0000F7100000}"/>
    <cellStyle name="Normal 2 4 7 5" xfId="1635" xr:uid="{00000000-0005-0000-0000-0000F8100000}"/>
    <cellStyle name="Normal 2 4 7 5 2" xfId="3865" xr:uid="{00000000-0005-0000-0000-0000F9100000}"/>
    <cellStyle name="Normal 2 4 7 5 2 2" xfId="8088" xr:uid="{00000000-0005-0000-0000-0000FA100000}"/>
    <cellStyle name="Normal 2 4 7 5 3" xfId="5943" xr:uid="{00000000-0005-0000-0000-0000FB100000}"/>
    <cellStyle name="Normal 2 4 7 6" xfId="2049" xr:uid="{00000000-0005-0000-0000-0000FC100000}"/>
    <cellStyle name="Normal 2 4 7 6 2" xfId="4278" xr:uid="{00000000-0005-0000-0000-0000FD100000}"/>
    <cellStyle name="Normal 2 4 7 6 2 2" xfId="8501" xr:uid="{00000000-0005-0000-0000-0000FE100000}"/>
    <cellStyle name="Normal 2 4 7 6 3" xfId="6356" xr:uid="{00000000-0005-0000-0000-0000FF100000}"/>
    <cellStyle name="Normal 2 4 7 7" xfId="2485" xr:uid="{00000000-0005-0000-0000-000000110000}"/>
    <cellStyle name="Normal 2 4 7 7 2" xfId="6769" xr:uid="{00000000-0005-0000-0000-000001110000}"/>
    <cellStyle name="Normal 2 4 7 8" xfId="4703" xr:uid="{00000000-0005-0000-0000-000002110000}"/>
    <cellStyle name="Normal 2 4 8" xfId="314" xr:uid="{00000000-0005-0000-0000-000003110000}"/>
    <cellStyle name="Normal 2 4 8 2" xfId="802" xr:uid="{00000000-0005-0000-0000-000004110000}"/>
    <cellStyle name="Normal 2 4 8 2 2" xfId="3041" xr:uid="{00000000-0005-0000-0000-000005110000}"/>
    <cellStyle name="Normal 2 4 8 2 2 2" xfId="7264" xr:uid="{00000000-0005-0000-0000-000006110000}"/>
    <cellStyle name="Normal 2 4 8 2 3" xfId="5119" xr:uid="{00000000-0005-0000-0000-000007110000}"/>
    <cellStyle name="Normal 2 4 8 3" xfId="1224" xr:uid="{00000000-0005-0000-0000-000008110000}"/>
    <cellStyle name="Normal 2 4 8 3 2" xfId="3454" xr:uid="{00000000-0005-0000-0000-000009110000}"/>
    <cellStyle name="Normal 2 4 8 3 2 2" xfId="7677" xr:uid="{00000000-0005-0000-0000-00000A110000}"/>
    <cellStyle name="Normal 2 4 8 3 3" xfId="5532" xr:uid="{00000000-0005-0000-0000-00000B110000}"/>
    <cellStyle name="Normal 2 4 8 4" xfId="1637" xr:uid="{00000000-0005-0000-0000-00000C110000}"/>
    <cellStyle name="Normal 2 4 8 4 2" xfId="3867" xr:uid="{00000000-0005-0000-0000-00000D110000}"/>
    <cellStyle name="Normal 2 4 8 4 2 2" xfId="8090" xr:uid="{00000000-0005-0000-0000-00000E110000}"/>
    <cellStyle name="Normal 2 4 8 4 3" xfId="5945" xr:uid="{00000000-0005-0000-0000-00000F110000}"/>
    <cellStyle name="Normal 2 4 8 5" xfId="2051" xr:uid="{00000000-0005-0000-0000-000010110000}"/>
    <cellStyle name="Normal 2 4 8 5 2" xfId="4280" xr:uid="{00000000-0005-0000-0000-000011110000}"/>
    <cellStyle name="Normal 2 4 8 5 2 2" xfId="8503" xr:uid="{00000000-0005-0000-0000-000012110000}"/>
    <cellStyle name="Normal 2 4 8 5 3" xfId="6358" xr:uid="{00000000-0005-0000-0000-000013110000}"/>
    <cellStyle name="Normal 2 4 8 6" xfId="2487" xr:uid="{00000000-0005-0000-0000-000014110000}"/>
    <cellStyle name="Normal 2 4 8 6 2" xfId="6771" xr:uid="{00000000-0005-0000-0000-000015110000}"/>
    <cellStyle name="Normal 2 4 8 7" xfId="4705" xr:uid="{00000000-0005-0000-0000-000016110000}"/>
    <cellStyle name="Normal 2 5" xfId="315" xr:uid="{00000000-0005-0000-0000-000017110000}"/>
    <cellStyle name="Normal 2 5 10" xfId="4706" xr:uid="{00000000-0005-0000-0000-000018110000}"/>
    <cellStyle name="Normal 2 5 2" xfId="316" xr:uid="{00000000-0005-0000-0000-000019110000}"/>
    <cellStyle name="Normal 2 5 3" xfId="317" xr:uid="{00000000-0005-0000-0000-00001A110000}"/>
    <cellStyle name="Normal 2 5 4" xfId="318" xr:uid="{00000000-0005-0000-0000-00001B110000}"/>
    <cellStyle name="Normal 2 5 4 2" xfId="319" xr:uid="{00000000-0005-0000-0000-00001C110000}"/>
    <cellStyle name="Normal 2 5 4 2 2" xfId="320" xr:uid="{00000000-0005-0000-0000-00001D110000}"/>
    <cellStyle name="Normal 2 5 4 2 2 2" xfId="806" xr:uid="{00000000-0005-0000-0000-00001E110000}"/>
    <cellStyle name="Normal 2 5 4 2 2 2 2" xfId="3045" xr:uid="{00000000-0005-0000-0000-00001F110000}"/>
    <cellStyle name="Normal 2 5 4 2 2 2 2 2" xfId="7268" xr:uid="{00000000-0005-0000-0000-000020110000}"/>
    <cellStyle name="Normal 2 5 4 2 2 2 3" xfId="5123" xr:uid="{00000000-0005-0000-0000-000021110000}"/>
    <cellStyle name="Normal 2 5 4 2 2 3" xfId="1228" xr:uid="{00000000-0005-0000-0000-000022110000}"/>
    <cellStyle name="Normal 2 5 4 2 2 3 2" xfId="3458" xr:uid="{00000000-0005-0000-0000-000023110000}"/>
    <cellStyle name="Normal 2 5 4 2 2 3 2 2" xfId="7681" xr:uid="{00000000-0005-0000-0000-000024110000}"/>
    <cellStyle name="Normal 2 5 4 2 2 3 3" xfId="5536" xr:uid="{00000000-0005-0000-0000-000025110000}"/>
    <cellStyle name="Normal 2 5 4 2 2 4" xfId="1641" xr:uid="{00000000-0005-0000-0000-000026110000}"/>
    <cellStyle name="Normal 2 5 4 2 2 4 2" xfId="3871" xr:uid="{00000000-0005-0000-0000-000027110000}"/>
    <cellStyle name="Normal 2 5 4 2 2 4 2 2" xfId="8094" xr:uid="{00000000-0005-0000-0000-000028110000}"/>
    <cellStyle name="Normal 2 5 4 2 2 4 3" xfId="5949" xr:uid="{00000000-0005-0000-0000-000029110000}"/>
    <cellStyle name="Normal 2 5 4 2 2 5" xfId="2055" xr:uid="{00000000-0005-0000-0000-00002A110000}"/>
    <cellStyle name="Normal 2 5 4 2 2 5 2" xfId="4284" xr:uid="{00000000-0005-0000-0000-00002B110000}"/>
    <cellStyle name="Normal 2 5 4 2 2 5 2 2" xfId="8507" xr:uid="{00000000-0005-0000-0000-00002C110000}"/>
    <cellStyle name="Normal 2 5 4 2 2 5 3" xfId="6362" xr:uid="{00000000-0005-0000-0000-00002D110000}"/>
    <cellStyle name="Normal 2 5 4 2 2 6" xfId="2491" xr:uid="{00000000-0005-0000-0000-00002E110000}"/>
    <cellStyle name="Normal 2 5 4 2 2 6 2" xfId="6775" xr:uid="{00000000-0005-0000-0000-00002F110000}"/>
    <cellStyle name="Normal 2 5 4 2 2 7" xfId="4709" xr:uid="{00000000-0005-0000-0000-000030110000}"/>
    <cellStyle name="Normal 2 5 4 2 3" xfId="805" xr:uid="{00000000-0005-0000-0000-000031110000}"/>
    <cellStyle name="Normal 2 5 4 2 3 2" xfId="3044" xr:uid="{00000000-0005-0000-0000-000032110000}"/>
    <cellStyle name="Normal 2 5 4 2 3 2 2" xfId="7267" xr:uid="{00000000-0005-0000-0000-000033110000}"/>
    <cellStyle name="Normal 2 5 4 2 3 3" xfId="5122" xr:uid="{00000000-0005-0000-0000-000034110000}"/>
    <cellStyle name="Normal 2 5 4 2 4" xfId="1227" xr:uid="{00000000-0005-0000-0000-000035110000}"/>
    <cellStyle name="Normal 2 5 4 2 4 2" xfId="3457" xr:uid="{00000000-0005-0000-0000-000036110000}"/>
    <cellStyle name="Normal 2 5 4 2 4 2 2" xfId="7680" xr:uid="{00000000-0005-0000-0000-000037110000}"/>
    <cellStyle name="Normal 2 5 4 2 4 3" xfId="5535" xr:uid="{00000000-0005-0000-0000-000038110000}"/>
    <cellStyle name="Normal 2 5 4 2 5" xfId="1640" xr:uid="{00000000-0005-0000-0000-000039110000}"/>
    <cellStyle name="Normal 2 5 4 2 5 2" xfId="3870" xr:uid="{00000000-0005-0000-0000-00003A110000}"/>
    <cellStyle name="Normal 2 5 4 2 5 2 2" xfId="8093" xr:uid="{00000000-0005-0000-0000-00003B110000}"/>
    <cellStyle name="Normal 2 5 4 2 5 3" xfId="5948" xr:uid="{00000000-0005-0000-0000-00003C110000}"/>
    <cellStyle name="Normal 2 5 4 2 6" xfId="2054" xr:uid="{00000000-0005-0000-0000-00003D110000}"/>
    <cellStyle name="Normal 2 5 4 2 6 2" xfId="4283" xr:uid="{00000000-0005-0000-0000-00003E110000}"/>
    <cellStyle name="Normal 2 5 4 2 6 2 2" xfId="8506" xr:uid="{00000000-0005-0000-0000-00003F110000}"/>
    <cellStyle name="Normal 2 5 4 2 6 3" xfId="6361" xr:uid="{00000000-0005-0000-0000-000040110000}"/>
    <cellStyle name="Normal 2 5 4 2 7" xfId="2490" xr:uid="{00000000-0005-0000-0000-000041110000}"/>
    <cellStyle name="Normal 2 5 4 2 7 2" xfId="6774" xr:uid="{00000000-0005-0000-0000-000042110000}"/>
    <cellStyle name="Normal 2 5 4 2 8" xfId="4708" xr:uid="{00000000-0005-0000-0000-000043110000}"/>
    <cellStyle name="Normal 2 5 4 3" xfId="321" xr:uid="{00000000-0005-0000-0000-000044110000}"/>
    <cellStyle name="Normal 2 5 4 3 2" xfId="807" xr:uid="{00000000-0005-0000-0000-000045110000}"/>
    <cellStyle name="Normal 2 5 4 3 2 2" xfId="3046" xr:uid="{00000000-0005-0000-0000-000046110000}"/>
    <cellStyle name="Normal 2 5 4 3 2 2 2" xfId="7269" xr:uid="{00000000-0005-0000-0000-000047110000}"/>
    <cellStyle name="Normal 2 5 4 3 2 3" xfId="5124" xr:uid="{00000000-0005-0000-0000-000048110000}"/>
    <cellStyle name="Normal 2 5 4 3 3" xfId="1229" xr:uid="{00000000-0005-0000-0000-000049110000}"/>
    <cellStyle name="Normal 2 5 4 3 3 2" xfId="3459" xr:uid="{00000000-0005-0000-0000-00004A110000}"/>
    <cellStyle name="Normal 2 5 4 3 3 2 2" xfId="7682" xr:uid="{00000000-0005-0000-0000-00004B110000}"/>
    <cellStyle name="Normal 2 5 4 3 3 3" xfId="5537" xr:uid="{00000000-0005-0000-0000-00004C110000}"/>
    <cellStyle name="Normal 2 5 4 3 4" xfId="1642" xr:uid="{00000000-0005-0000-0000-00004D110000}"/>
    <cellStyle name="Normal 2 5 4 3 4 2" xfId="3872" xr:uid="{00000000-0005-0000-0000-00004E110000}"/>
    <cellStyle name="Normal 2 5 4 3 4 2 2" xfId="8095" xr:uid="{00000000-0005-0000-0000-00004F110000}"/>
    <cellStyle name="Normal 2 5 4 3 4 3" xfId="5950" xr:uid="{00000000-0005-0000-0000-000050110000}"/>
    <cellStyle name="Normal 2 5 4 3 5" xfId="2056" xr:uid="{00000000-0005-0000-0000-000051110000}"/>
    <cellStyle name="Normal 2 5 4 3 5 2" xfId="4285" xr:uid="{00000000-0005-0000-0000-000052110000}"/>
    <cellStyle name="Normal 2 5 4 3 5 2 2" xfId="8508" xr:uid="{00000000-0005-0000-0000-000053110000}"/>
    <cellStyle name="Normal 2 5 4 3 5 3" xfId="6363" xr:uid="{00000000-0005-0000-0000-000054110000}"/>
    <cellStyle name="Normal 2 5 4 3 6" xfId="2492" xr:uid="{00000000-0005-0000-0000-000055110000}"/>
    <cellStyle name="Normal 2 5 4 3 6 2" xfId="6776" xr:uid="{00000000-0005-0000-0000-000056110000}"/>
    <cellStyle name="Normal 2 5 4 3 7" xfId="4710" xr:uid="{00000000-0005-0000-0000-000057110000}"/>
    <cellStyle name="Normal 2 5 4 4" xfId="804" xr:uid="{00000000-0005-0000-0000-000058110000}"/>
    <cellStyle name="Normal 2 5 4 4 2" xfId="3043" xr:uid="{00000000-0005-0000-0000-000059110000}"/>
    <cellStyle name="Normal 2 5 4 4 2 2" xfId="7266" xr:uid="{00000000-0005-0000-0000-00005A110000}"/>
    <cellStyle name="Normal 2 5 4 4 3" xfId="5121" xr:uid="{00000000-0005-0000-0000-00005B110000}"/>
    <cellStyle name="Normal 2 5 4 5" xfId="1226" xr:uid="{00000000-0005-0000-0000-00005C110000}"/>
    <cellStyle name="Normal 2 5 4 5 2" xfId="3456" xr:uid="{00000000-0005-0000-0000-00005D110000}"/>
    <cellStyle name="Normal 2 5 4 5 2 2" xfId="7679" xr:uid="{00000000-0005-0000-0000-00005E110000}"/>
    <cellStyle name="Normal 2 5 4 5 3" xfId="5534" xr:uid="{00000000-0005-0000-0000-00005F110000}"/>
    <cellStyle name="Normal 2 5 4 6" xfId="1639" xr:uid="{00000000-0005-0000-0000-000060110000}"/>
    <cellStyle name="Normal 2 5 4 6 2" xfId="3869" xr:uid="{00000000-0005-0000-0000-000061110000}"/>
    <cellStyle name="Normal 2 5 4 6 2 2" xfId="8092" xr:uid="{00000000-0005-0000-0000-000062110000}"/>
    <cellStyle name="Normal 2 5 4 6 3" xfId="5947" xr:uid="{00000000-0005-0000-0000-000063110000}"/>
    <cellStyle name="Normal 2 5 4 7" xfId="2053" xr:uid="{00000000-0005-0000-0000-000064110000}"/>
    <cellStyle name="Normal 2 5 4 7 2" xfId="4282" xr:uid="{00000000-0005-0000-0000-000065110000}"/>
    <cellStyle name="Normal 2 5 4 7 2 2" xfId="8505" xr:uid="{00000000-0005-0000-0000-000066110000}"/>
    <cellStyle name="Normal 2 5 4 7 3" xfId="6360" xr:uid="{00000000-0005-0000-0000-000067110000}"/>
    <cellStyle name="Normal 2 5 4 8" xfId="2489" xr:uid="{00000000-0005-0000-0000-000068110000}"/>
    <cellStyle name="Normal 2 5 4 8 2" xfId="6773" xr:uid="{00000000-0005-0000-0000-000069110000}"/>
    <cellStyle name="Normal 2 5 4 9" xfId="4707" xr:uid="{00000000-0005-0000-0000-00006A110000}"/>
    <cellStyle name="Normal 2 5 5" xfId="803" xr:uid="{00000000-0005-0000-0000-00006B110000}"/>
    <cellStyle name="Normal 2 5 5 2" xfId="3042" xr:uid="{00000000-0005-0000-0000-00006C110000}"/>
    <cellStyle name="Normal 2 5 5 2 2" xfId="7265" xr:uid="{00000000-0005-0000-0000-00006D110000}"/>
    <cellStyle name="Normal 2 5 5 3" xfId="5120" xr:uid="{00000000-0005-0000-0000-00006E110000}"/>
    <cellStyle name="Normal 2 5 6" xfId="1225" xr:uid="{00000000-0005-0000-0000-00006F110000}"/>
    <cellStyle name="Normal 2 5 6 2" xfId="3455" xr:uid="{00000000-0005-0000-0000-000070110000}"/>
    <cellStyle name="Normal 2 5 6 2 2" xfId="7678" xr:uid="{00000000-0005-0000-0000-000071110000}"/>
    <cellStyle name="Normal 2 5 6 3" xfId="5533" xr:uid="{00000000-0005-0000-0000-000072110000}"/>
    <cellStyle name="Normal 2 5 7" xfId="1638" xr:uid="{00000000-0005-0000-0000-000073110000}"/>
    <cellStyle name="Normal 2 5 7 2" xfId="3868" xr:uid="{00000000-0005-0000-0000-000074110000}"/>
    <cellStyle name="Normal 2 5 7 2 2" xfId="8091" xr:uid="{00000000-0005-0000-0000-000075110000}"/>
    <cellStyle name="Normal 2 5 7 3" xfId="5946" xr:uid="{00000000-0005-0000-0000-000076110000}"/>
    <cellStyle name="Normal 2 5 8" xfId="2052" xr:uid="{00000000-0005-0000-0000-000077110000}"/>
    <cellStyle name="Normal 2 5 8 2" xfId="4281" xr:uid="{00000000-0005-0000-0000-000078110000}"/>
    <cellStyle name="Normal 2 5 8 2 2" xfId="8504" xr:uid="{00000000-0005-0000-0000-000079110000}"/>
    <cellStyle name="Normal 2 5 8 3" xfId="6359" xr:uid="{00000000-0005-0000-0000-00007A110000}"/>
    <cellStyle name="Normal 2 5 9" xfId="2488" xr:uid="{00000000-0005-0000-0000-00007B110000}"/>
    <cellStyle name="Normal 2 5 9 2" xfId="6772" xr:uid="{00000000-0005-0000-0000-00007C110000}"/>
    <cellStyle name="Normal 2 6" xfId="322" xr:uid="{00000000-0005-0000-0000-00007D110000}"/>
    <cellStyle name="Normal 2 7" xfId="769" xr:uid="{00000000-0005-0000-0000-00007E110000}"/>
    <cellStyle name="Normal 2 8" xfId="4495" xr:uid="{00000000-0005-0000-0000-00007F110000}"/>
    <cellStyle name="Normal 3" xfId="323" xr:uid="{00000000-0005-0000-0000-000080110000}"/>
    <cellStyle name="Normal 3 2" xfId="324" xr:uid="{00000000-0005-0000-0000-000081110000}"/>
    <cellStyle name="Normal 3 2 2" xfId="325" xr:uid="{00000000-0005-0000-0000-000082110000}"/>
    <cellStyle name="Normal 3 2 2 2" xfId="810" xr:uid="{00000000-0005-0000-0000-000083110000}"/>
    <cellStyle name="Normal 3 2 3" xfId="326" xr:uid="{00000000-0005-0000-0000-000084110000}"/>
    <cellStyle name="Normal 3 2 3 2" xfId="327" xr:uid="{00000000-0005-0000-0000-000085110000}"/>
    <cellStyle name="Normal 3 2 3 2 2" xfId="328" xr:uid="{00000000-0005-0000-0000-000086110000}"/>
    <cellStyle name="Normal 3 2 3 2 2 2" xfId="813" xr:uid="{00000000-0005-0000-0000-000087110000}"/>
    <cellStyle name="Normal 3 2 3 2 2 2 2" xfId="3050" xr:uid="{00000000-0005-0000-0000-000088110000}"/>
    <cellStyle name="Normal 3 2 3 2 2 2 2 2" xfId="7273" xr:uid="{00000000-0005-0000-0000-000089110000}"/>
    <cellStyle name="Normal 3 2 3 2 2 2 3" xfId="5128" xr:uid="{00000000-0005-0000-0000-00008A110000}"/>
    <cellStyle name="Normal 3 2 3 2 2 3" xfId="1233" xr:uid="{00000000-0005-0000-0000-00008B110000}"/>
    <cellStyle name="Normal 3 2 3 2 2 3 2" xfId="3463" xr:uid="{00000000-0005-0000-0000-00008C110000}"/>
    <cellStyle name="Normal 3 2 3 2 2 3 2 2" xfId="7686" xr:uid="{00000000-0005-0000-0000-00008D110000}"/>
    <cellStyle name="Normal 3 2 3 2 2 3 3" xfId="5541" xr:uid="{00000000-0005-0000-0000-00008E110000}"/>
    <cellStyle name="Normal 3 2 3 2 2 4" xfId="1646" xr:uid="{00000000-0005-0000-0000-00008F110000}"/>
    <cellStyle name="Normal 3 2 3 2 2 4 2" xfId="3876" xr:uid="{00000000-0005-0000-0000-000090110000}"/>
    <cellStyle name="Normal 3 2 3 2 2 4 2 2" xfId="8099" xr:uid="{00000000-0005-0000-0000-000091110000}"/>
    <cellStyle name="Normal 3 2 3 2 2 4 3" xfId="5954" xr:uid="{00000000-0005-0000-0000-000092110000}"/>
    <cellStyle name="Normal 3 2 3 2 2 5" xfId="2060" xr:uid="{00000000-0005-0000-0000-000093110000}"/>
    <cellStyle name="Normal 3 2 3 2 2 5 2" xfId="4289" xr:uid="{00000000-0005-0000-0000-000094110000}"/>
    <cellStyle name="Normal 3 2 3 2 2 5 2 2" xfId="8512" xr:uid="{00000000-0005-0000-0000-000095110000}"/>
    <cellStyle name="Normal 3 2 3 2 2 5 3" xfId="6367" xr:uid="{00000000-0005-0000-0000-000096110000}"/>
    <cellStyle name="Normal 3 2 3 2 2 6" xfId="2496" xr:uid="{00000000-0005-0000-0000-000097110000}"/>
    <cellStyle name="Normal 3 2 3 2 2 6 2" xfId="6780" xr:uid="{00000000-0005-0000-0000-000098110000}"/>
    <cellStyle name="Normal 3 2 3 2 2 7" xfId="4714" xr:uid="{00000000-0005-0000-0000-000099110000}"/>
    <cellStyle name="Normal 3 2 3 2 3" xfId="812" xr:uid="{00000000-0005-0000-0000-00009A110000}"/>
    <cellStyle name="Normal 3 2 3 2 3 2" xfId="3049" xr:uid="{00000000-0005-0000-0000-00009B110000}"/>
    <cellStyle name="Normal 3 2 3 2 3 2 2" xfId="7272" xr:uid="{00000000-0005-0000-0000-00009C110000}"/>
    <cellStyle name="Normal 3 2 3 2 3 3" xfId="5127" xr:uid="{00000000-0005-0000-0000-00009D110000}"/>
    <cellStyle name="Normal 3 2 3 2 4" xfId="1232" xr:uid="{00000000-0005-0000-0000-00009E110000}"/>
    <cellStyle name="Normal 3 2 3 2 4 2" xfId="3462" xr:uid="{00000000-0005-0000-0000-00009F110000}"/>
    <cellStyle name="Normal 3 2 3 2 4 2 2" xfId="7685" xr:uid="{00000000-0005-0000-0000-0000A0110000}"/>
    <cellStyle name="Normal 3 2 3 2 4 3" xfId="5540" xr:uid="{00000000-0005-0000-0000-0000A1110000}"/>
    <cellStyle name="Normal 3 2 3 2 5" xfId="1645" xr:uid="{00000000-0005-0000-0000-0000A2110000}"/>
    <cellStyle name="Normal 3 2 3 2 5 2" xfId="3875" xr:uid="{00000000-0005-0000-0000-0000A3110000}"/>
    <cellStyle name="Normal 3 2 3 2 5 2 2" xfId="8098" xr:uid="{00000000-0005-0000-0000-0000A4110000}"/>
    <cellStyle name="Normal 3 2 3 2 5 3" xfId="5953" xr:uid="{00000000-0005-0000-0000-0000A5110000}"/>
    <cellStyle name="Normal 3 2 3 2 6" xfId="2059" xr:uid="{00000000-0005-0000-0000-0000A6110000}"/>
    <cellStyle name="Normal 3 2 3 2 6 2" xfId="4288" xr:uid="{00000000-0005-0000-0000-0000A7110000}"/>
    <cellStyle name="Normal 3 2 3 2 6 2 2" xfId="8511" xr:uid="{00000000-0005-0000-0000-0000A8110000}"/>
    <cellStyle name="Normal 3 2 3 2 6 3" xfId="6366" xr:uid="{00000000-0005-0000-0000-0000A9110000}"/>
    <cellStyle name="Normal 3 2 3 2 7" xfId="2495" xr:uid="{00000000-0005-0000-0000-0000AA110000}"/>
    <cellStyle name="Normal 3 2 3 2 7 2" xfId="6779" xr:uid="{00000000-0005-0000-0000-0000AB110000}"/>
    <cellStyle name="Normal 3 2 3 2 8" xfId="4713" xr:uid="{00000000-0005-0000-0000-0000AC110000}"/>
    <cellStyle name="Normal 3 2 3 3" xfId="329" xr:uid="{00000000-0005-0000-0000-0000AD110000}"/>
    <cellStyle name="Normal 3 2 3 3 2" xfId="814" xr:uid="{00000000-0005-0000-0000-0000AE110000}"/>
    <cellStyle name="Normal 3 2 3 3 2 2" xfId="3051" xr:uid="{00000000-0005-0000-0000-0000AF110000}"/>
    <cellStyle name="Normal 3 2 3 3 2 2 2" xfId="7274" xr:uid="{00000000-0005-0000-0000-0000B0110000}"/>
    <cellStyle name="Normal 3 2 3 3 2 3" xfId="5129" xr:uid="{00000000-0005-0000-0000-0000B1110000}"/>
    <cellStyle name="Normal 3 2 3 3 3" xfId="1234" xr:uid="{00000000-0005-0000-0000-0000B2110000}"/>
    <cellStyle name="Normal 3 2 3 3 3 2" xfId="3464" xr:uid="{00000000-0005-0000-0000-0000B3110000}"/>
    <cellStyle name="Normal 3 2 3 3 3 2 2" xfId="7687" xr:uid="{00000000-0005-0000-0000-0000B4110000}"/>
    <cellStyle name="Normal 3 2 3 3 3 3" xfId="5542" xr:uid="{00000000-0005-0000-0000-0000B5110000}"/>
    <cellStyle name="Normal 3 2 3 3 4" xfId="1647" xr:uid="{00000000-0005-0000-0000-0000B6110000}"/>
    <cellStyle name="Normal 3 2 3 3 4 2" xfId="3877" xr:uid="{00000000-0005-0000-0000-0000B7110000}"/>
    <cellStyle name="Normal 3 2 3 3 4 2 2" xfId="8100" xr:uid="{00000000-0005-0000-0000-0000B8110000}"/>
    <cellStyle name="Normal 3 2 3 3 4 3" xfId="5955" xr:uid="{00000000-0005-0000-0000-0000B9110000}"/>
    <cellStyle name="Normal 3 2 3 3 5" xfId="2061" xr:uid="{00000000-0005-0000-0000-0000BA110000}"/>
    <cellStyle name="Normal 3 2 3 3 5 2" xfId="4290" xr:uid="{00000000-0005-0000-0000-0000BB110000}"/>
    <cellStyle name="Normal 3 2 3 3 5 2 2" xfId="8513" xr:uid="{00000000-0005-0000-0000-0000BC110000}"/>
    <cellStyle name="Normal 3 2 3 3 5 3" xfId="6368" xr:uid="{00000000-0005-0000-0000-0000BD110000}"/>
    <cellStyle name="Normal 3 2 3 3 6" xfId="2497" xr:uid="{00000000-0005-0000-0000-0000BE110000}"/>
    <cellStyle name="Normal 3 2 3 3 6 2" xfId="6781" xr:uid="{00000000-0005-0000-0000-0000BF110000}"/>
    <cellStyle name="Normal 3 2 3 3 7" xfId="4715" xr:uid="{00000000-0005-0000-0000-0000C0110000}"/>
    <cellStyle name="Normal 3 2 3 4" xfId="811" xr:uid="{00000000-0005-0000-0000-0000C1110000}"/>
    <cellStyle name="Normal 3 2 3 4 2" xfId="3048" xr:uid="{00000000-0005-0000-0000-0000C2110000}"/>
    <cellStyle name="Normal 3 2 3 4 2 2" xfId="7271" xr:uid="{00000000-0005-0000-0000-0000C3110000}"/>
    <cellStyle name="Normal 3 2 3 4 3" xfId="5126" xr:uid="{00000000-0005-0000-0000-0000C4110000}"/>
    <cellStyle name="Normal 3 2 3 5" xfId="1231" xr:uid="{00000000-0005-0000-0000-0000C5110000}"/>
    <cellStyle name="Normal 3 2 3 5 2" xfId="3461" xr:uid="{00000000-0005-0000-0000-0000C6110000}"/>
    <cellStyle name="Normal 3 2 3 5 2 2" xfId="7684" xr:uid="{00000000-0005-0000-0000-0000C7110000}"/>
    <cellStyle name="Normal 3 2 3 5 3" xfId="5539" xr:uid="{00000000-0005-0000-0000-0000C8110000}"/>
    <cellStyle name="Normal 3 2 3 6" xfId="1644" xr:uid="{00000000-0005-0000-0000-0000C9110000}"/>
    <cellStyle name="Normal 3 2 3 6 2" xfId="3874" xr:uid="{00000000-0005-0000-0000-0000CA110000}"/>
    <cellStyle name="Normal 3 2 3 6 2 2" xfId="8097" xr:uid="{00000000-0005-0000-0000-0000CB110000}"/>
    <cellStyle name="Normal 3 2 3 6 3" xfId="5952" xr:uid="{00000000-0005-0000-0000-0000CC110000}"/>
    <cellStyle name="Normal 3 2 3 7" xfId="2058" xr:uid="{00000000-0005-0000-0000-0000CD110000}"/>
    <cellStyle name="Normal 3 2 3 7 2" xfId="4287" xr:uid="{00000000-0005-0000-0000-0000CE110000}"/>
    <cellStyle name="Normal 3 2 3 7 2 2" xfId="8510" xr:uid="{00000000-0005-0000-0000-0000CF110000}"/>
    <cellStyle name="Normal 3 2 3 7 3" xfId="6365" xr:uid="{00000000-0005-0000-0000-0000D0110000}"/>
    <cellStyle name="Normal 3 2 3 8" xfId="2494" xr:uid="{00000000-0005-0000-0000-0000D1110000}"/>
    <cellStyle name="Normal 3 2 3 8 2" xfId="6778" xr:uid="{00000000-0005-0000-0000-0000D2110000}"/>
    <cellStyle name="Normal 3 2 3 9" xfId="4712" xr:uid="{00000000-0005-0000-0000-0000D3110000}"/>
    <cellStyle name="Normal 3 2 4" xfId="809" xr:uid="{00000000-0005-0000-0000-0000D4110000}"/>
    <cellStyle name="Normal 3 2 4 2" xfId="3047" xr:uid="{00000000-0005-0000-0000-0000D5110000}"/>
    <cellStyle name="Normal 3 2 4 2 2" xfId="7270" xr:uid="{00000000-0005-0000-0000-0000D6110000}"/>
    <cellStyle name="Normal 3 2 4 3" xfId="5125" xr:uid="{00000000-0005-0000-0000-0000D7110000}"/>
    <cellStyle name="Normal 3 2 5" xfId="1230" xr:uid="{00000000-0005-0000-0000-0000D8110000}"/>
    <cellStyle name="Normal 3 2 5 2" xfId="3460" xr:uid="{00000000-0005-0000-0000-0000D9110000}"/>
    <cellStyle name="Normal 3 2 5 2 2" xfId="7683" xr:uid="{00000000-0005-0000-0000-0000DA110000}"/>
    <cellStyle name="Normal 3 2 5 3" xfId="5538" xr:uid="{00000000-0005-0000-0000-0000DB110000}"/>
    <cellStyle name="Normal 3 2 6" xfId="1643" xr:uid="{00000000-0005-0000-0000-0000DC110000}"/>
    <cellStyle name="Normal 3 2 6 2" xfId="3873" xr:uid="{00000000-0005-0000-0000-0000DD110000}"/>
    <cellStyle name="Normal 3 2 6 2 2" xfId="8096" xr:uid="{00000000-0005-0000-0000-0000DE110000}"/>
    <cellStyle name="Normal 3 2 6 3" xfId="5951" xr:uid="{00000000-0005-0000-0000-0000DF110000}"/>
    <cellStyle name="Normal 3 2 7" xfId="2057" xr:uid="{00000000-0005-0000-0000-0000E0110000}"/>
    <cellStyle name="Normal 3 2 7 2" xfId="4286" xr:uid="{00000000-0005-0000-0000-0000E1110000}"/>
    <cellStyle name="Normal 3 2 7 2 2" xfId="8509" xr:uid="{00000000-0005-0000-0000-0000E2110000}"/>
    <cellStyle name="Normal 3 2 7 3" xfId="6364" xr:uid="{00000000-0005-0000-0000-0000E3110000}"/>
    <cellStyle name="Normal 3 2 8" xfId="2493" xr:uid="{00000000-0005-0000-0000-0000E4110000}"/>
    <cellStyle name="Normal 3 2 8 2" xfId="6777" xr:uid="{00000000-0005-0000-0000-0000E5110000}"/>
    <cellStyle name="Normal 3 2 9" xfId="4711" xr:uid="{00000000-0005-0000-0000-0000E6110000}"/>
    <cellStyle name="Normal 3 3" xfId="330" xr:uid="{00000000-0005-0000-0000-0000E7110000}"/>
    <cellStyle name="Normal 3 3 2" xfId="331" xr:uid="{00000000-0005-0000-0000-0000E8110000}"/>
    <cellStyle name="Normal 3 3 3" xfId="332" xr:uid="{00000000-0005-0000-0000-0000E9110000}"/>
    <cellStyle name="Normal 3 4" xfId="333" xr:uid="{00000000-0005-0000-0000-0000EA110000}"/>
    <cellStyle name="Normal 3 5" xfId="334" xr:uid="{00000000-0005-0000-0000-0000EB110000}"/>
    <cellStyle name="Normal 3 6" xfId="808" xr:uid="{00000000-0005-0000-0000-0000EC110000}"/>
    <cellStyle name="Normal 4" xfId="335" xr:uid="{00000000-0005-0000-0000-0000ED110000}"/>
    <cellStyle name="Normal 4 2" xfId="336" xr:uid="{00000000-0005-0000-0000-0000EE110000}"/>
    <cellStyle name="Normal 4 2 2" xfId="337" xr:uid="{00000000-0005-0000-0000-0000EF110000}"/>
    <cellStyle name="Normal 4 2 2 10" xfId="2062" xr:uid="{00000000-0005-0000-0000-0000F0110000}"/>
    <cellStyle name="Normal 4 2 2 10 2" xfId="4291" xr:uid="{00000000-0005-0000-0000-0000F1110000}"/>
    <cellStyle name="Normal 4 2 2 10 2 2" xfId="8514" xr:uid="{00000000-0005-0000-0000-0000F2110000}"/>
    <cellStyle name="Normal 4 2 2 10 3" xfId="6369" xr:uid="{00000000-0005-0000-0000-0000F3110000}"/>
    <cellStyle name="Normal 4 2 2 11" xfId="2498" xr:uid="{00000000-0005-0000-0000-0000F4110000}"/>
    <cellStyle name="Normal 4 2 2 11 2" xfId="6782" xr:uid="{00000000-0005-0000-0000-0000F5110000}"/>
    <cellStyle name="Normal 4 2 2 12" xfId="4717" xr:uid="{00000000-0005-0000-0000-0000F6110000}"/>
    <cellStyle name="Normal 4 2 2 2" xfId="338" xr:uid="{00000000-0005-0000-0000-0000F7110000}"/>
    <cellStyle name="Normal 4 2 2 3" xfId="339" xr:uid="{00000000-0005-0000-0000-0000F8110000}"/>
    <cellStyle name="Normal 4 2 2 3 10" xfId="4718" xr:uid="{00000000-0005-0000-0000-0000F9110000}"/>
    <cellStyle name="Normal 4 2 2 3 2" xfId="340" xr:uid="{00000000-0005-0000-0000-0000FA110000}"/>
    <cellStyle name="Normal 4 2 2 3 2 2" xfId="341" xr:uid="{00000000-0005-0000-0000-0000FB110000}"/>
    <cellStyle name="Normal 4 2 2 3 2 2 2" xfId="342" xr:uid="{00000000-0005-0000-0000-0000FC110000}"/>
    <cellStyle name="Normal 4 2 2 3 2 2 2 2" xfId="819" xr:uid="{00000000-0005-0000-0000-0000FD110000}"/>
    <cellStyle name="Normal 4 2 2 3 2 2 2 2 2" xfId="3056" xr:uid="{00000000-0005-0000-0000-0000FE110000}"/>
    <cellStyle name="Normal 4 2 2 3 2 2 2 2 2 2" xfId="7279" xr:uid="{00000000-0005-0000-0000-0000FF110000}"/>
    <cellStyle name="Normal 4 2 2 3 2 2 2 2 3" xfId="5134" xr:uid="{00000000-0005-0000-0000-000000120000}"/>
    <cellStyle name="Normal 4 2 2 3 2 2 2 3" xfId="1239" xr:uid="{00000000-0005-0000-0000-000001120000}"/>
    <cellStyle name="Normal 4 2 2 3 2 2 2 3 2" xfId="3469" xr:uid="{00000000-0005-0000-0000-000002120000}"/>
    <cellStyle name="Normal 4 2 2 3 2 2 2 3 2 2" xfId="7692" xr:uid="{00000000-0005-0000-0000-000003120000}"/>
    <cellStyle name="Normal 4 2 2 3 2 2 2 3 3" xfId="5547" xr:uid="{00000000-0005-0000-0000-000004120000}"/>
    <cellStyle name="Normal 4 2 2 3 2 2 2 4" xfId="1652" xr:uid="{00000000-0005-0000-0000-000005120000}"/>
    <cellStyle name="Normal 4 2 2 3 2 2 2 4 2" xfId="3882" xr:uid="{00000000-0005-0000-0000-000006120000}"/>
    <cellStyle name="Normal 4 2 2 3 2 2 2 4 2 2" xfId="8105" xr:uid="{00000000-0005-0000-0000-000007120000}"/>
    <cellStyle name="Normal 4 2 2 3 2 2 2 4 3" xfId="5960" xr:uid="{00000000-0005-0000-0000-000008120000}"/>
    <cellStyle name="Normal 4 2 2 3 2 2 2 5" xfId="2066" xr:uid="{00000000-0005-0000-0000-000009120000}"/>
    <cellStyle name="Normal 4 2 2 3 2 2 2 5 2" xfId="4295" xr:uid="{00000000-0005-0000-0000-00000A120000}"/>
    <cellStyle name="Normal 4 2 2 3 2 2 2 5 2 2" xfId="8518" xr:uid="{00000000-0005-0000-0000-00000B120000}"/>
    <cellStyle name="Normal 4 2 2 3 2 2 2 5 3" xfId="6373" xr:uid="{00000000-0005-0000-0000-00000C120000}"/>
    <cellStyle name="Normal 4 2 2 3 2 2 2 6" xfId="2502" xr:uid="{00000000-0005-0000-0000-00000D120000}"/>
    <cellStyle name="Normal 4 2 2 3 2 2 2 6 2" xfId="6786" xr:uid="{00000000-0005-0000-0000-00000E120000}"/>
    <cellStyle name="Normal 4 2 2 3 2 2 2 7" xfId="4721" xr:uid="{00000000-0005-0000-0000-00000F120000}"/>
    <cellStyle name="Normal 4 2 2 3 2 2 3" xfId="818" xr:uid="{00000000-0005-0000-0000-000010120000}"/>
    <cellStyle name="Normal 4 2 2 3 2 2 3 2" xfId="3055" xr:uid="{00000000-0005-0000-0000-000011120000}"/>
    <cellStyle name="Normal 4 2 2 3 2 2 3 2 2" xfId="7278" xr:uid="{00000000-0005-0000-0000-000012120000}"/>
    <cellStyle name="Normal 4 2 2 3 2 2 3 3" xfId="5133" xr:uid="{00000000-0005-0000-0000-000013120000}"/>
    <cellStyle name="Normal 4 2 2 3 2 2 4" xfId="1238" xr:uid="{00000000-0005-0000-0000-000014120000}"/>
    <cellStyle name="Normal 4 2 2 3 2 2 4 2" xfId="3468" xr:uid="{00000000-0005-0000-0000-000015120000}"/>
    <cellStyle name="Normal 4 2 2 3 2 2 4 2 2" xfId="7691" xr:uid="{00000000-0005-0000-0000-000016120000}"/>
    <cellStyle name="Normal 4 2 2 3 2 2 4 3" xfId="5546" xr:uid="{00000000-0005-0000-0000-000017120000}"/>
    <cellStyle name="Normal 4 2 2 3 2 2 5" xfId="1651" xr:uid="{00000000-0005-0000-0000-000018120000}"/>
    <cellStyle name="Normal 4 2 2 3 2 2 5 2" xfId="3881" xr:uid="{00000000-0005-0000-0000-000019120000}"/>
    <cellStyle name="Normal 4 2 2 3 2 2 5 2 2" xfId="8104" xr:uid="{00000000-0005-0000-0000-00001A120000}"/>
    <cellStyle name="Normal 4 2 2 3 2 2 5 3" xfId="5959" xr:uid="{00000000-0005-0000-0000-00001B120000}"/>
    <cellStyle name="Normal 4 2 2 3 2 2 6" xfId="2065" xr:uid="{00000000-0005-0000-0000-00001C120000}"/>
    <cellStyle name="Normal 4 2 2 3 2 2 6 2" xfId="4294" xr:uid="{00000000-0005-0000-0000-00001D120000}"/>
    <cellStyle name="Normal 4 2 2 3 2 2 6 2 2" xfId="8517" xr:uid="{00000000-0005-0000-0000-00001E120000}"/>
    <cellStyle name="Normal 4 2 2 3 2 2 6 3" xfId="6372" xr:uid="{00000000-0005-0000-0000-00001F120000}"/>
    <cellStyle name="Normal 4 2 2 3 2 2 7" xfId="2501" xr:uid="{00000000-0005-0000-0000-000020120000}"/>
    <cellStyle name="Normal 4 2 2 3 2 2 7 2" xfId="6785" xr:uid="{00000000-0005-0000-0000-000021120000}"/>
    <cellStyle name="Normal 4 2 2 3 2 2 8" xfId="4720" xr:uid="{00000000-0005-0000-0000-000022120000}"/>
    <cellStyle name="Normal 4 2 2 3 2 3" xfId="343" xr:uid="{00000000-0005-0000-0000-000023120000}"/>
    <cellStyle name="Normal 4 2 2 3 2 3 2" xfId="820" xr:uid="{00000000-0005-0000-0000-000024120000}"/>
    <cellStyle name="Normal 4 2 2 3 2 3 2 2" xfId="3057" xr:uid="{00000000-0005-0000-0000-000025120000}"/>
    <cellStyle name="Normal 4 2 2 3 2 3 2 2 2" xfId="7280" xr:uid="{00000000-0005-0000-0000-000026120000}"/>
    <cellStyle name="Normal 4 2 2 3 2 3 2 3" xfId="5135" xr:uid="{00000000-0005-0000-0000-000027120000}"/>
    <cellStyle name="Normal 4 2 2 3 2 3 3" xfId="1240" xr:uid="{00000000-0005-0000-0000-000028120000}"/>
    <cellStyle name="Normal 4 2 2 3 2 3 3 2" xfId="3470" xr:uid="{00000000-0005-0000-0000-000029120000}"/>
    <cellStyle name="Normal 4 2 2 3 2 3 3 2 2" xfId="7693" xr:uid="{00000000-0005-0000-0000-00002A120000}"/>
    <cellStyle name="Normal 4 2 2 3 2 3 3 3" xfId="5548" xr:uid="{00000000-0005-0000-0000-00002B120000}"/>
    <cellStyle name="Normal 4 2 2 3 2 3 4" xfId="1653" xr:uid="{00000000-0005-0000-0000-00002C120000}"/>
    <cellStyle name="Normal 4 2 2 3 2 3 4 2" xfId="3883" xr:uid="{00000000-0005-0000-0000-00002D120000}"/>
    <cellStyle name="Normal 4 2 2 3 2 3 4 2 2" xfId="8106" xr:uid="{00000000-0005-0000-0000-00002E120000}"/>
    <cellStyle name="Normal 4 2 2 3 2 3 4 3" xfId="5961" xr:uid="{00000000-0005-0000-0000-00002F120000}"/>
    <cellStyle name="Normal 4 2 2 3 2 3 5" xfId="2067" xr:uid="{00000000-0005-0000-0000-000030120000}"/>
    <cellStyle name="Normal 4 2 2 3 2 3 5 2" xfId="4296" xr:uid="{00000000-0005-0000-0000-000031120000}"/>
    <cellStyle name="Normal 4 2 2 3 2 3 5 2 2" xfId="8519" xr:uid="{00000000-0005-0000-0000-000032120000}"/>
    <cellStyle name="Normal 4 2 2 3 2 3 5 3" xfId="6374" xr:uid="{00000000-0005-0000-0000-000033120000}"/>
    <cellStyle name="Normal 4 2 2 3 2 3 6" xfId="2503" xr:uid="{00000000-0005-0000-0000-000034120000}"/>
    <cellStyle name="Normal 4 2 2 3 2 3 6 2" xfId="6787" xr:uid="{00000000-0005-0000-0000-000035120000}"/>
    <cellStyle name="Normal 4 2 2 3 2 3 7" xfId="4722" xr:uid="{00000000-0005-0000-0000-000036120000}"/>
    <cellStyle name="Normal 4 2 2 3 2 4" xfId="817" xr:uid="{00000000-0005-0000-0000-000037120000}"/>
    <cellStyle name="Normal 4 2 2 3 2 4 2" xfId="3054" xr:uid="{00000000-0005-0000-0000-000038120000}"/>
    <cellStyle name="Normal 4 2 2 3 2 4 2 2" xfId="7277" xr:uid="{00000000-0005-0000-0000-000039120000}"/>
    <cellStyle name="Normal 4 2 2 3 2 4 3" xfId="5132" xr:uid="{00000000-0005-0000-0000-00003A120000}"/>
    <cellStyle name="Normal 4 2 2 3 2 5" xfId="1237" xr:uid="{00000000-0005-0000-0000-00003B120000}"/>
    <cellStyle name="Normal 4 2 2 3 2 5 2" xfId="3467" xr:uid="{00000000-0005-0000-0000-00003C120000}"/>
    <cellStyle name="Normal 4 2 2 3 2 5 2 2" xfId="7690" xr:uid="{00000000-0005-0000-0000-00003D120000}"/>
    <cellStyle name="Normal 4 2 2 3 2 5 3" xfId="5545" xr:uid="{00000000-0005-0000-0000-00003E120000}"/>
    <cellStyle name="Normal 4 2 2 3 2 6" xfId="1650" xr:uid="{00000000-0005-0000-0000-00003F120000}"/>
    <cellStyle name="Normal 4 2 2 3 2 6 2" xfId="3880" xr:uid="{00000000-0005-0000-0000-000040120000}"/>
    <cellStyle name="Normal 4 2 2 3 2 6 2 2" xfId="8103" xr:uid="{00000000-0005-0000-0000-000041120000}"/>
    <cellStyle name="Normal 4 2 2 3 2 6 3" xfId="5958" xr:uid="{00000000-0005-0000-0000-000042120000}"/>
    <cellStyle name="Normal 4 2 2 3 2 7" xfId="2064" xr:uid="{00000000-0005-0000-0000-000043120000}"/>
    <cellStyle name="Normal 4 2 2 3 2 7 2" xfId="4293" xr:uid="{00000000-0005-0000-0000-000044120000}"/>
    <cellStyle name="Normal 4 2 2 3 2 7 2 2" xfId="8516" xr:uid="{00000000-0005-0000-0000-000045120000}"/>
    <cellStyle name="Normal 4 2 2 3 2 7 3" xfId="6371" xr:uid="{00000000-0005-0000-0000-000046120000}"/>
    <cellStyle name="Normal 4 2 2 3 2 8" xfId="2500" xr:uid="{00000000-0005-0000-0000-000047120000}"/>
    <cellStyle name="Normal 4 2 2 3 2 8 2" xfId="6784" xr:uid="{00000000-0005-0000-0000-000048120000}"/>
    <cellStyle name="Normal 4 2 2 3 2 9" xfId="4719" xr:uid="{00000000-0005-0000-0000-000049120000}"/>
    <cellStyle name="Normal 4 2 2 3 3" xfId="344" xr:uid="{00000000-0005-0000-0000-00004A120000}"/>
    <cellStyle name="Normal 4 2 2 3 3 2" xfId="345" xr:uid="{00000000-0005-0000-0000-00004B120000}"/>
    <cellStyle name="Normal 4 2 2 3 3 2 2" xfId="822" xr:uid="{00000000-0005-0000-0000-00004C120000}"/>
    <cellStyle name="Normal 4 2 2 3 3 2 2 2" xfId="3059" xr:uid="{00000000-0005-0000-0000-00004D120000}"/>
    <cellStyle name="Normal 4 2 2 3 3 2 2 2 2" xfId="7282" xr:uid="{00000000-0005-0000-0000-00004E120000}"/>
    <cellStyle name="Normal 4 2 2 3 3 2 2 3" xfId="5137" xr:uid="{00000000-0005-0000-0000-00004F120000}"/>
    <cellStyle name="Normal 4 2 2 3 3 2 3" xfId="1242" xr:uid="{00000000-0005-0000-0000-000050120000}"/>
    <cellStyle name="Normal 4 2 2 3 3 2 3 2" xfId="3472" xr:uid="{00000000-0005-0000-0000-000051120000}"/>
    <cellStyle name="Normal 4 2 2 3 3 2 3 2 2" xfId="7695" xr:uid="{00000000-0005-0000-0000-000052120000}"/>
    <cellStyle name="Normal 4 2 2 3 3 2 3 3" xfId="5550" xr:uid="{00000000-0005-0000-0000-000053120000}"/>
    <cellStyle name="Normal 4 2 2 3 3 2 4" xfId="1655" xr:uid="{00000000-0005-0000-0000-000054120000}"/>
    <cellStyle name="Normal 4 2 2 3 3 2 4 2" xfId="3885" xr:uid="{00000000-0005-0000-0000-000055120000}"/>
    <cellStyle name="Normal 4 2 2 3 3 2 4 2 2" xfId="8108" xr:uid="{00000000-0005-0000-0000-000056120000}"/>
    <cellStyle name="Normal 4 2 2 3 3 2 4 3" xfId="5963" xr:uid="{00000000-0005-0000-0000-000057120000}"/>
    <cellStyle name="Normal 4 2 2 3 3 2 5" xfId="2069" xr:uid="{00000000-0005-0000-0000-000058120000}"/>
    <cellStyle name="Normal 4 2 2 3 3 2 5 2" xfId="4298" xr:uid="{00000000-0005-0000-0000-000059120000}"/>
    <cellStyle name="Normal 4 2 2 3 3 2 5 2 2" xfId="8521" xr:uid="{00000000-0005-0000-0000-00005A120000}"/>
    <cellStyle name="Normal 4 2 2 3 3 2 5 3" xfId="6376" xr:uid="{00000000-0005-0000-0000-00005B120000}"/>
    <cellStyle name="Normal 4 2 2 3 3 2 6" xfId="2505" xr:uid="{00000000-0005-0000-0000-00005C120000}"/>
    <cellStyle name="Normal 4 2 2 3 3 2 6 2" xfId="6789" xr:uid="{00000000-0005-0000-0000-00005D120000}"/>
    <cellStyle name="Normal 4 2 2 3 3 2 7" xfId="4724" xr:uid="{00000000-0005-0000-0000-00005E120000}"/>
    <cellStyle name="Normal 4 2 2 3 3 3" xfId="821" xr:uid="{00000000-0005-0000-0000-00005F120000}"/>
    <cellStyle name="Normal 4 2 2 3 3 3 2" xfId="3058" xr:uid="{00000000-0005-0000-0000-000060120000}"/>
    <cellStyle name="Normal 4 2 2 3 3 3 2 2" xfId="7281" xr:uid="{00000000-0005-0000-0000-000061120000}"/>
    <cellStyle name="Normal 4 2 2 3 3 3 3" xfId="5136" xr:uid="{00000000-0005-0000-0000-000062120000}"/>
    <cellStyle name="Normal 4 2 2 3 3 4" xfId="1241" xr:uid="{00000000-0005-0000-0000-000063120000}"/>
    <cellStyle name="Normal 4 2 2 3 3 4 2" xfId="3471" xr:uid="{00000000-0005-0000-0000-000064120000}"/>
    <cellStyle name="Normal 4 2 2 3 3 4 2 2" xfId="7694" xr:uid="{00000000-0005-0000-0000-000065120000}"/>
    <cellStyle name="Normal 4 2 2 3 3 4 3" xfId="5549" xr:uid="{00000000-0005-0000-0000-000066120000}"/>
    <cellStyle name="Normal 4 2 2 3 3 5" xfId="1654" xr:uid="{00000000-0005-0000-0000-000067120000}"/>
    <cellStyle name="Normal 4 2 2 3 3 5 2" xfId="3884" xr:uid="{00000000-0005-0000-0000-000068120000}"/>
    <cellStyle name="Normal 4 2 2 3 3 5 2 2" xfId="8107" xr:uid="{00000000-0005-0000-0000-000069120000}"/>
    <cellStyle name="Normal 4 2 2 3 3 5 3" xfId="5962" xr:uid="{00000000-0005-0000-0000-00006A120000}"/>
    <cellStyle name="Normal 4 2 2 3 3 6" xfId="2068" xr:uid="{00000000-0005-0000-0000-00006B120000}"/>
    <cellStyle name="Normal 4 2 2 3 3 6 2" xfId="4297" xr:uid="{00000000-0005-0000-0000-00006C120000}"/>
    <cellStyle name="Normal 4 2 2 3 3 6 2 2" xfId="8520" xr:uid="{00000000-0005-0000-0000-00006D120000}"/>
    <cellStyle name="Normal 4 2 2 3 3 6 3" xfId="6375" xr:uid="{00000000-0005-0000-0000-00006E120000}"/>
    <cellStyle name="Normal 4 2 2 3 3 7" xfId="2504" xr:uid="{00000000-0005-0000-0000-00006F120000}"/>
    <cellStyle name="Normal 4 2 2 3 3 7 2" xfId="6788" xr:uid="{00000000-0005-0000-0000-000070120000}"/>
    <cellStyle name="Normal 4 2 2 3 3 8" xfId="4723" xr:uid="{00000000-0005-0000-0000-000071120000}"/>
    <cellStyle name="Normal 4 2 2 3 4" xfId="346" xr:uid="{00000000-0005-0000-0000-000072120000}"/>
    <cellStyle name="Normal 4 2 2 3 4 2" xfId="823" xr:uid="{00000000-0005-0000-0000-000073120000}"/>
    <cellStyle name="Normal 4 2 2 3 4 2 2" xfId="3060" xr:uid="{00000000-0005-0000-0000-000074120000}"/>
    <cellStyle name="Normal 4 2 2 3 4 2 2 2" xfId="7283" xr:uid="{00000000-0005-0000-0000-000075120000}"/>
    <cellStyle name="Normal 4 2 2 3 4 2 3" xfId="5138" xr:uid="{00000000-0005-0000-0000-000076120000}"/>
    <cellStyle name="Normal 4 2 2 3 4 3" xfId="1243" xr:uid="{00000000-0005-0000-0000-000077120000}"/>
    <cellStyle name="Normal 4 2 2 3 4 3 2" xfId="3473" xr:uid="{00000000-0005-0000-0000-000078120000}"/>
    <cellStyle name="Normal 4 2 2 3 4 3 2 2" xfId="7696" xr:uid="{00000000-0005-0000-0000-000079120000}"/>
    <cellStyle name="Normal 4 2 2 3 4 3 3" xfId="5551" xr:uid="{00000000-0005-0000-0000-00007A120000}"/>
    <cellStyle name="Normal 4 2 2 3 4 4" xfId="1656" xr:uid="{00000000-0005-0000-0000-00007B120000}"/>
    <cellStyle name="Normal 4 2 2 3 4 4 2" xfId="3886" xr:uid="{00000000-0005-0000-0000-00007C120000}"/>
    <cellStyle name="Normal 4 2 2 3 4 4 2 2" xfId="8109" xr:uid="{00000000-0005-0000-0000-00007D120000}"/>
    <cellStyle name="Normal 4 2 2 3 4 4 3" xfId="5964" xr:uid="{00000000-0005-0000-0000-00007E120000}"/>
    <cellStyle name="Normal 4 2 2 3 4 5" xfId="2070" xr:uid="{00000000-0005-0000-0000-00007F120000}"/>
    <cellStyle name="Normal 4 2 2 3 4 5 2" xfId="4299" xr:uid="{00000000-0005-0000-0000-000080120000}"/>
    <cellStyle name="Normal 4 2 2 3 4 5 2 2" xfId="8522" xr:uid="{00000000-0005-0000-0000-000081120000}"/>
    <cellStyle name="Normal 4 2 2 3 4 5 3" xfId="6377" xr:uid="{00000000-0005-0000-0000-000082120000}"/>
    <cellStyle name="Normal 4 2 2 3 4 6" xfId="2506" xr:uid="{00000000-0005-0000-0000-000083120000}"/>
    <cellStyle name="Normal 4 2 2 3 4 6 2" xfId="6790" xr:uid="{00000000-0005-0000-0000-000084120000}"/>
    <cellStyle name="Normal 4 2 2 3 4 7" xfId="4725" xr:uid="{00000000-0005-0000-0000-000085120000}"/>
    <cellStyle name="Normal 4 2 2 3 5" xfId="816" xr:uid="{00000000-0005-0000-0000-000086120000}"/>
    <cellStyle name="Normal 4 2 2 3 5 2" xfId="3053" xr:uid="{00000000-0005-0000-0000-000087120000}"/>
    <cellStyle name="Normal 4 2 2 3 5 2 2" xfId="7276" xr:uid="{00000000-0005-0000-0000-000088120000}"/>
    <cellStyle name="Normal 4 2 2 3 5 3" xfId="5131" xr:uid="{00000000-0005-0000-0000-000089120000}"/>
    <cellStyle name="Normal 4 2 2 3 6" xfId="1236" xr:uid="{00000000-0005-0000-0000-00008A120000}"/>
    <cellStyle name="Normal 4 2 2 3 6 2" xfId="3466" xr:uid="{00000000-0005-0000-0000-00008B120000}"/>
    <cellStyle name="Normal 4 2 2 3 6 2 2" xfId="7689" xr:uid="{00000000-0005-0000-0000-00008C120000}"/>
    <cellStyle name="Normal 4 2 2 3 6 3" xfId="5544" xr:uid="{00000000-0005-0000-0000-00008D120000}"/>
    <cellStyle name="Normal 4 2 2 3 7" xfId="1649" xr:uid="{00000000-0005-0000-0000-00008E120000}"/>
    <cellStyle name="Normal 4 2 2 3 7 2" xfId="3879" xr:uid="{00000000-0005-0000-0000-00008F120000}"/>
    <cellStyle name="Normal 4 2 2 3 7 2 2" xfId="8102" xr:uid="{00000000-0005-0000-0000-000090120000}"/>
    <cellStyle name="Normal 4 2 2 3 7 3" xfId="5957" xr:uid="{00000000-0005-0000-0000-000091120000}"/>
    <cellStyle name="Normal 4 2 2 3 8" xfId="2063" xr:uid="{00000000-0005-0000-0000-000092120000}"/>
    <cellStyle name="Normal 4 2 2 3 8 2" xfId="4292" xr:uid="{00000000-0005-0000-0000-000093120000}"/>
    <cellStyle name="Normal 4 2 2 3 8 2 2" xfId="8515" xr:uid="{00000000-0005-0000-0000-000094120000}"/>
    <cellStyle name="Normal 4 2 2 3 8 3" xfId="6370" xr:uid="{00000000-0005-0000-0000-000095120000}"/>
    <cellStyle name="Normal 4 2 2 3 9" xfId="2499" xr:uid="{00000000-0005-0000-0000-000096120000}"/>
    <cellStyle name="Normal 4 2 2 3 9 2" xfId="6783" xr:uid="{00000000-0005-0000-0000-000097120000}"/>
    <cellStyle name="Normal 4 2 2 4" xfId="347" xr:uid="{00000000-0005-0000-0000-000098120000}"/>
    <cellStyle name="Normal 4 2 2 4 2" xfId="348" xr:uid="{00000000-0005-0000-0000-000099120000}"/>
    <cellStyle name="Normal 4 2 2 4 2 2" xfId="349" xr:uid="{00000000-0005-0000-0000-00009A120000}"/>
    <cellStyle name="Normal 4 2 2 4 2 2 2" xfId="826" xr:uid="{00000000-0005-0000-0000-00009B120000}"/>
    <cellStyle name="Normal 4 2 2 4 2 2 2 2" xfId="3063" xr:uid="{00000000-0005-0000-0000-00009C120000}"/>
    <cellStyle name="Normal 4 2 2 4 2 2 2 2 2" xfId="7286" xr:uid="{00000000-0005-0000-0000-00009D120000}"/>
    <cellStyle name="Normal 4 2 2 4 2 2 2 3" xfId="5141" xr:uid="{00000000-0005-0000-0000-00009E120000}"/>
    <cellStyle name="Normal 4 2 2 4 2 2 3" xfId="1246" xr:uid="{00000000-0005-0000-0000-00009F120000}"/>
    <cellStyle name="Normal 4 2 2 4 2 2 3 2" xfId="3476" xr:uid="{00000000-0005-0000-0000-0000A0120000}"/>
    <cellStyle name="Normal 4 2 2 4 2 2 3 2 2" xfId="7699" xr:uid="{00000000-0005-0000-0000-0000A1120000}"/>
    <cellStyle name="Normal 4 2 2 4 2 2 3 3" xfId="5554" xr:uid="{00000000-0005-0000-0000-0000A2120000}"/>
    <cellStyle name="Normal 4 2 2 4 2 2 4" xfId="1659" xr:uid="{00000000-0005-0000-0000-0000A3120000}"/>
    <cellStyle name="Normal 4 2 2 4 2 2 4 2" xfId="3889" xr:uid="{00000000-0005-0000-0000-0000A4120000}"/>
    <cellStyle name="Normal 4 2 2 4 2 2 4 2 2" xfId="8112" xr:uid="{00000000-0005-0000-0000-0000A5120000}"/>
    <cellStyle name="Normal 4 2 2 4 2 2 4 3" xfId="5967" xr:uid="{00000000-0005-0000-0000-0000A6120000}"/>
    <cellStyle name="Normal 4 2 2 4 2 2 5" xfId="2073" xr:uid="{00000000-0005-0000-0000-0000A7120000}"/>
    <cellStyle name="Normal 4 2 2 4 2 2 5 2" xfId="4302" xr:uid="{00000000-0005-0000-0000-0000A8120000}"/>
    <cellStyle name="Normal 4 2 2 4 2 2 5 2 2" xfId="8525" xr:uid="{00000000-0005-0000-0000-0000A9120000}"/>
    <cellStyle name="Normal 4 2 2 4 2 2 5 3" xfId="6380" xr:uid="{00000000-0005-0000-0000-0000AA120000}"/>
    <cellStyle name="Normal 4 2 2 4 2 2 6" xfId="2509" xr:uid="{00000000-0005-0000-0000-0000AB120000}"/>
    <cellStyle name="Normal 4 2 2 4 2 2 6 2" xfId="6793" xr:uid="{00000000-0005-0000-0000-0000AC120000}"/>
    <cellStyle name="Normal 4 2 2 4 2 2 7" xfId="4728" xr:uid="{00000000-0005-0000-0000-0000AD120000}"/>
    <cellStyle name="Normal 4 2 2 4 2 3" xfId="825" xr:uid="{00000000-0005-0000-0000-0000AE120000}"/>
    <cellStyle name="Normal 4 2 2 4 2 3 2" xfId="3062" xr:uid="{00000000-0005-0000-0000-0000AF120000}"/>
    <cellStyle name="Normal 4 2 2 4 2 3 2 2" xfId="7285" xr:uid="{00000000-0005-0000-0000-0000B0120000}"/>
    <cellStyle name="Normal 4 2 2 4 2 3 3" xfId="5140" xr:uid="{00000000-0005-0000-0000-0000B1120000}"/>
    <cellStyle name="Normal 4 2 2 4 2 4" xfId="1245" xr:uid="{00000000-0005-0000-0000-0000B2120000}"/>
    <cellStyle name="Normal 4 2 2 4 2 4 2" xfId="3475" xr:uid="{00000000-0005-0000-0000-0000B3120000}"/>
    <cellStyle name="Normal 4 2 2 4 2 4 2 2" xfId="7698" xr:uid="{00000000-0005-0000-0000-0000B4120000}"/>
    <cellStyle name="Normal 4 2 2 4 2 4 3" xfId="5553" xr:uid="{00000000-0005-0000-0000-0000B5120000}"/>
    <cellStyle name="Normal 4 2 2 4 2 5" xfId="1658" xr:uid="{00000000-0005-0000-0000-0000B6120000}"/>
    <cellStyle name="Normal 4 2 2 4 2 5 2" xfId="3888" xr:uid="{00000000-0005-0000-0000-0000B7120000}"/>
    <cellStyle name="Normal 4 2 2 4 2 5 2 2" xfId="8111" xr:uid="{00000000-0005-0000-0000-0000B8120000}"/>
    <cellStyle name="Normal 4 2 2 4 2 5 3" xfId="5966" xr:uid="{00000000-0005-0000-0000-0000B9120000}"/>
    <cellStyle name="Normal 4 2 2 4 2 6" xfId="2072" xr:uid="{00000000-0005-0000-0000-0000BA120000}"/>
    <cellStyle name="Normal 4 2 2 4 2 6 2" xfId="4301" xr:uid="{00000000-0005-0000-0000-0000BB120000}"/>
    <cellStyle name="Normal 4 2 2 4 2 6 2 2" xfId="8524" xr:uid="{00000000-0005-0000-0000-0000BC120000}"/>
    <cellStyle name="Normal 4 2 2 4 2 6 3" xfId="6379" xr:uid="{00000000-0005-0000-0000-0000BD120000}"/>
    <cellStyle name="Normal 4 2 2 4 2 7" xfId="2508" xr:uid="{00000000-0005-0000-0000-0000BE120000}"/>
    <cellStyle name="Normal 4 2 2 4 2 7 2" xfId="6792" xr:uid="{00000000-0005-0000-0000-0000BF120000}"/>
    <cellStyle name="Normal 4 2 2 4 2 8" xfId="4727" xr:uid="{00000000-0005-0000-0000-0000C0120000}"/>
    <cellStyle name="Normal 4 2 2 4 3" xfId="350" xr:uid="{00000000-0005-0000-0000-0000C1120000}"/>
    <cellStyle name="Normal 4 2 2 4 3 2" xfId="827" xr:uid="{00000000-0005-0000-0000-0000C2120000}"/>
    <cellStyle name="Normal 4 2 2 4 3 2 2" xfId="3064" xr:uid="{00000000-0005-0000-0000-0000C3120000}"/>
    <cellStyle name="Normal 4 2 2 4 3 2 2 2" xfId="7287" xr:uid="{00000000-0005-0000-0000-0000C4120000}"/>
    <cellStyle name="Normal 4 2 2 4 3 2 3" xfId="5142" xr:uid="{00000000-0005-0000-0000-0000C5120000}"/>
    <cellStyle name="Normal 4 2 2 4 3 3" xfId="1247" xr:uid="{00000000-0005-0000-0000-0000C6120000}"/>
    <cellStyle name="Normal 4 2 2 4 3 3 2" xfId="3477" xr:uid="{00000000-0005-0000-0000-0000C7120000}"/>
    <cellStyle name="Normal 4 2 2 4 3 3 2 2" xfId="7700" xr:uid="{00000000-0005-0000-0000-0000C8120000}"/>
    <cellStyle name="Normal 4 2 2 4 3 3 3" xfId="5555" xr:uid="{00000000-0005-0000-0000-0000C9120000}"/>
    <cellStyle name="Normal 4 2 2 4 3 4" xfId="1660" xr:uid="{00000000-0005-0000-0000-0000CA120000}"/>
    <cellStyle name="Normal 4 2 2 4 3 4 2" xfId="3890" xr:uid="{00000000-0005-0000-0000-0000CB120000}"/>
    <cellStyle name="Normal 4 2 2 4 3 4 2 2" xfId="8113" xr:uid="{00000000-0005-0000-0000-0000CC120000}"/>
    <cellStyle name="Normal 4 2 2 4 3 4 3" xfId="5968" xr:uid="{00000000-0005-0000-0000-0000CD120000}"/>
    <cellStyle name="Normal 4 2 2 4 3 5" xfId="2074" xr:uid="{00000000-0005-0000-0000-0000CE120000}"/>
    <cellStyle name="Normal 4 2 2 4 3 5 2" xfId="4303" xr:uid="{00000000-0005-0000-0000-0000CF120000}"/>
    <cellStyle name="Normal 4 2 2 4 3 5 2 2" xfId="8526" xr:uid="{00000000-0005-0000-0000-0000D0120000}"/>
    <cellStyle name="Normal 4 2 2 4 3 5 3" xfId="6381" xr:uid="{00000000-0005-0000-0000-0000D1120000}"/>
    <cellStyle name="Normal 4 2 2 4 3 6" xfId="2510" xr:uid="{00000000-0005-0000-0000-0000D2120000}"/>
    <cellStyle name="Normal 4 2 2 4 3 6 2" xfId="6794" xr:uid="{00000000-0005-0000-0000-0000D3120000}"/>
    <cellStyle name="Normal 4 2 2 4 3 7" xfId="4729" xr:uid="{00000000-0005-0000-0000-0000D4120000}"/>
    <cellStyle name="Normal 4 2 2 4 4" xfId="824" xr:uid="{00000000-0005-0000-0000-0000D5120000}"/>
    <cellStyle name="Normal 4 2 2 4 4 2" xfId="3061" xr:uid="{00000000-0005-0000-0000-0000D6120000}"/>
    <cellStyle name="Normal 4 2 2 4 4 2 2" xfId="7284" xr:uid="{00000000-0005-0000-0000-0000D7120000}"/>
    <cellStyle name="Normal 4 2 2 4 4 3" xfId="5139" xr:uid="{00000000-0005-0000-0000-0000D8120000}"/>
    <cellStyle name="Normal 4 2 2 4 5" xfId="1244" xr:uid="{00000000-0005-0000-0000-0000D9120000}"/>
    <cellStyle name="Normal 4 2 2 4 5 2" xfId="3474" xr:uid="{00000000-0005-0000-0000-0000DA120000}"/>
    <cellStyle name="Normal 4 2 2 4 5 2 2" xfId="7697" xr:uid="{00000000-0005-0000-0000-0000DB120000}"/>
    <cellStyle name="Normal 4 2 2 4 5 3" xfId="5552" xr:uid="{00000000-0005-0000-0000-0000DC120000}"/>
    <cellStyle name="Normal 4 2 2 4 6" xfId="1657" xr:uid="{00000000-0005-0000-0000-0000DD120000}"/>
    <cellStyle name="Normal 4 2 2 4 6 2" xfId="3887" xr:uid="{00000000-0005-0000-0000-0000DE120000}"/>
    <cellStyle name="Normal 4 2 2 4 6 2 2" xfId="8110" xr:uid="{00000000-0005-0000-0000-0000DF120000}"/>
    <cellStyle name="Normal 4 2 2 4 6 3" xfId="5965" xr:uid="{00000000-0005-0000-0000-0000E0120000}"/>
    <cellStyle name="Normal 4 2 2 4 7" xfId="2071" xr:uid="{00000000-0005-0000-0000-0000E1120000}"/>
    <cellStyle name="Normal 4 2 2 4 7 2" xfId="4300" xr:uid="{00000000-0005-0000-0000-0000E2120000}"/>
    <cellStyle name="Normal 4 2 2 4 7 2 2" xfId="8523" xr:uid="{00000000-0005-0000-0000-0000E3120000}"/>
    <cellStyle name="Normal 4 2 2 4 7 3" xfId="6378" xr:uid="{00000000-0005-0000-0000-0000E4120000}"/>
    <cellStyle name="Normal 4 2 2 4 8" xfId="2507" xr:uid="{00000000-0005-0000-0000-0000E5120000}"/>
    <cellStyle name="Normal 4 2 2 4 8 2" xfId="6791" xr:uid="{00000000-0005-0000-0000-0000E6120000}"/>
    <cellStyle name="Normal 4 2 2 4 9" xfId="4726" xr:uid="{00000000-0005-0000-0000-0000E7120000}"/>
    <cellStyle name="Normal 4 2 2 5" xfId="351" xr:uid="{00000000-0005-0000-0000-0000E8120000}"/>
    <cellStyle name="Normal 4 2 2 5 2" xfId="352" xr:uid="{00000000-0005-0000-0000-0000E9120000}"/>
    <cellStyle name="Normal 4 2 2 5 2 2" xfId="829" xr:uid="{00000000-0005-0000-0000-0000EA120000}"/>
    <cellStyle name="Normal 4 2 2 5 2 2 2" xfId="3066" xr:uid="{00000000-0005-0000-0000-0000EB120000}"/>
    <cellStyle name="Normal 4 2 2 5 2 2 2 2" xfId="7289" xr:uid="{00000000-0005-0000-0000-0000EC120000}"/>
    <cellStyle name="Normal 4 2 2 5 2 2 3" xfId="5144" xr:uid="{00000000-0005-0000-0000-0000ED120000}"/>
    <cellStyle name="Normal 4 2 2 5 2 3" xfId="1249" xr:uid="{00000000-0005-0000-0000-0000EE120000}"/>
    <cellStyle name="Normal 4 2 2 5 2 3 2" xfId="3479" xr:uid="{00000000-0005-0000-0000-0000EF120000}"/>
    <cellStyle name="Normal 4 2 2 5 2 3 2 2" xfId="7702" xr:uid="{00000000-0005-0000-0000-0000F0120000}"/>
    <cellStyle name="Normal 4 2 2 5 2 3 3" xfId="5557" xr:uid="{00000000-0005-0000-0000-0000F1120000}"/>
    <cellStyle name="Normal 4 2 2 5 2 4" xfId="1662" xr:uid="{00000000-0005-0000-0000-0000F2120000}"/>
    <cellStyle name="Normal 4 2 2 5 2 4 2" xfId="3892" xr:uid="{00000000-0005-0000-0000-0000F3120000}"/>
    <cellStyle name="Normal 4 2 2 5 2 4 2 2" xfId="8115" xr:uid="{00000000-0005-0000-0000-0000F4120000}"/>
    <cellStyle name="Normal 4 2 2 5 2 4 3" xfId="5970" xr:uid="{00000000-0005-0000-0000-0000F5120000}"/>
    <cellStyle name="Normal 4 2 2 5 2 5" xfId="2076" xr:uid="{00000000-0005-0000-0000-0000F6120000}"/>
    <cellStyle name="Normal 4 2 2 5 2 5 2" xfId="4305" xr:uid="{00000000-0005-0000-0000-0000F7120000}"/>
    <cellStyle name="Normal 4 2 2 5 2 5 2 2" xfId="8528" xr:uid="{00000000-0005-0000-0000-0000F8120000}"/>
    <cellStyle name="Normal 4 2 2 5 2 5 3" xfId="6383" xr:uid="{00000000-0005-0000-0000-0000F9120000}"/>
    <cellStyle name="Normal 4 2 2 5 2 6" xfId="2512" xr:uid="{00000000-0005-0000-0000-0000FA120000}"/>
    <cellStyle name="Normal 4 2 2 5 2 6 2" xfId="6796" xr:uid="{00000000-0005-0000-0000-0000FB120000}"/>
    <cellStyle name="Normal 4 2 2 5 2 7" xfId="4731" xr:uid="{00000000-0005-0000-0000-0000FC120000}"/>
    <cellStyle name="Normal 4 2 2 5 3" xfId="828" xr:uid="{00000000-0005-0000-0000-0000FD120000}"/>
    <cellStyle name="Normal 4 2 2 5 3 2" xfId="3065" xr:uid="{00000000-0005-0000-0000-0000FE120000}"/>
    <cellStyle name="Normal 4 2 2 5 3 2 2" xfId="7288" xr:uid="{00000000-0005-0000-0000-0000FF120000}"/>
    <cellStyle name="Normal 4 2 2 5 3 3" xfId="5143" xr:uid="{00000000-0005-0000-0000-000000130000}"/>
    <cellStyle name="Normal 4 2 2 5 4" xfId="1248" xr:uid="{00000000-0005-0000-0000-000001130000}"/>
    <cellStyle name="Normal 4 2 2 5 4 2" xfId="3478" xr:uid="{00000000-0005-0000-0000-000002130000}"/>
    <cellStyle name="Normal 4 2 2 5 4 2 2" xfId="7701" xr:uid="{00000000-0005-0000-0000-000003130000}"/>
    <cellStyle name="Normal 4 2 2 5 4 3" xfId="5556" xr:uid="{00000000-0005-0000-0000-000004130000}"/>
    <cellStyle name="Normal 4 2 2 5 5" xfId="1661" xr:uid="{00000000-0005-0000-0000-000005130000}"/>
    <cellStyle name="Normal 4 2 2 5 5 2" xfId="3891" xr:uid="{00000000-0005-0000-0000-000006130000}"/>
    <cellStyle name="Normal 4 2 2 5 5 2 2" xfId="8114" xr:uid="{00000000-0005-0000-0000-000007130000}"/>
    <cellStyle name="Normal 4 2 2 5 5 3" xfId="5969" xr:uid="{00000000-0005-0000-0000-000008130000}"/>
    <cellStyle name="Normal 4 2 2 5 6" xfId="2075" xr:uid="{00000000-0005-0000-0000-000009130000}"/>
    <cellStyle name="Normal 4 2 2 5 6 2" xfId="4304" xr:uid="{00000000-0005-0000-0000-00000A130000}"/>
    <cellStyle name="Normal 4 2 2 5 6 2 2" xfId="8527" xr:uid="{00000000-0005-0000-0000-00000B130000}"/>
    <cellStyle name="Normal 4 2 2 5 6 3" xfId="6382" xr:uid="{00000000-0005-0000-0000-00000C130000}"/>
    <cellStyle name="Normal 4 2 2 5 7" xfId="2511" xr:uid="{00000000-0005-0000-0000-00000D130000}"/>
    <cellStyle name="Normal 4 2 2 5 7 2" xfId="6795" xr:uid="{00000000-0005-0000-0000-00000E130000}"/>
    <cellStyle name="Normal 4 2 2 5 8" xfId="4730" xr:uid="{00000000-0005-0000-0000-00000F130000}"/>
    <cellStyle name="Normal 4 2 2 6" xfId="353" xr:uid="{00000000-0005-0000-0000-000010130000}"/>
    <cellStyle name="Normal 4 2 2 6 2" xfId="830" xr:uid="{00000000-0005-0000-0000-000011130000}"/>
    <cellStyle name="Normal 4 2 2 6 2 2" xfId="3067" xr:uid="{00000000-0005-0000-0000-000012130000}"/>
    <cellStyle name="Normal 4 2 2 6 2 2 2" xfId="7290" xr:uid="{00000000-0005-0000-0000-000013130000}"/>
    <cellStyle name="Normal 4 2 2 6 2 3" xfId="5145" xr:uid="{00000000-0005-0000-0000-000014130000}"/>
    <cellStyle name="Normal 4 2 2 6 3" xfId="1250" xr:uid="{00000000-0005-0000-0000-000015130000}"/>
    <cellStyle name="Normal 4 2 2 6 3 2" xfId="3480" xr:uid="{00000000-0005-0000-0000-000016130000}"/>
    <cellStyle name="Normal 4 2 2 6 3 2 2" xfId="7703" xr:uid="{00000000-0005-0000-0000-000017130000}"/>
    <cellStyle name="Normal 4 2 2 6 3 3" xfId="5558" xr:uid="{00000000-0005-0000-0000-000018130000}"/>
    <cellStyle name="Normal 4 2 2 6 4" xfId="1663" xr:uid="{00000000-0005-0000-0000-000019130000}"/>
    <cellStyle name="Normal 4 2 2 6 4 2" xfId="3893" xr:uid="{00000000-0005-0000-0000-00001A130000}"/>
    <cellStyle name="Normal 4 2 2 6 4 2 2" xfId="8116" xr:uid="{00000000-0005-0000-0000-00001B130000}"/>
    <cellStyle name="Normal 4 2 2 6 4 3" xfId="5971" xr:uid="{00000000-0005-0000-0000-00001C130000}"/>
    <cellStyle name="Normal 4 2 2 6 5" xfId="2077" xr:uid="{00000000-0005-0000-0000-00001D130000}"/>
    <cellStyle name="Normal 4 2 2 6 5 2" xfId="4306" xr:uid="{00000000-0005-0000-0000-00001E130000}"/>
    <cellStyle name="Normal 4 2 2 6 5 2 2" xfId="8529" xr:uid="{00000000-0005-0000-0000-00001F130000}"/>
    <cellStyle name="Normal 4 2 2 6 5 3" xfId="6384" xr:uid="{00000000-0005-0000-0000-000020130000}"/>
    <cellStyle name="Normal 4 2 2 6 6" xfId="2513" xr:uid="{00000000-0005-0000-0000-000021130000}"/>
    <cellStyle name="Normal 4 2 2 6 6 2" xfId="6797" xr:uid="{00000000-0005-0000-0000-000022130000}"/>
    <cellStyle name="Normal 4 2 2 6 7" xfId="4732" xr:uid="{00000000-0005-0000-0000-000023130000}"/>
    <cellStyle name="Normal 4 2 2 7" xfId="815" xr:uid="{00000000-0005-0000-0000-000024130000}"/>
    <cellStyle name="Normal 4 2 2 7 2" xfId="3052" xr:uid="{00000000-0005-0000-0000-000025130000}"/>
    <cellStyle name="Normal 4 2 2 7 2 2" xfId="7275" xr:uid="{00000000-0005-0000-0000-000026130000}"/>
    <cellStyle name="Normal 4 2 2 7 3" xfId="5130" xr:uid="{00000000-0005-0000-0000-000027130000}"/>
    <cellStyle name="Normal 4 2 2 8" xfId="1235" xr:uid="{00000000-0005-0000-0000-000028130000}"/>
    <cellStyle name="Normal 4 2 2 8 2" xfId="3465" xr:uid="{00000000-0005-0000-0000-000029130000}"/>
    <cellStyle name="Normal 4 2 2 8 2 2" xfId="7688" xr:uid="{00000000-0005-0000-0000-00002A130000}"/>
    <cellStyle name="Normal 4 2 2 8 3" xfId="5543" xr:uid="{00000000-0005-0000-0000-00002B130000}"/>
    <cellStyle name="Normal 4 2 2 9" xfId="1648" xr:uid="{00000000-0005-0000-0000-00002C130000}"/>
    <cellStyle name="Normal 4 2 2 9 2" xfId="3878" xr:uid="{00000000-0005-0000-0000-00002D130000}"/>
    <cellStyle name="Normal 4 2 2 9 2 2" xfId="8101" xr:uid="{00000000-0005-0000-0000-00002E130000}"/>
    <cellStyle name="Normal 4 2 2 9 3" xfId="5956" xr:uid="{00000000-0005-0000-0000-00002F130000}"/>
    <cellStyle name="Normal 4 2 3" xfId="354" xr:uid="{00000000-0005-0000-0000-000030130000}"/>
    <cellStyle name="Normal 4 2 4" xfId="355" xr:uid="{00000000-0005-0000-0000-000031130000}"/>
    <cellStyle name="Normal 4 2 4 10" xfId="4733" xr:uid="{00000000-0005-0000-0000-000032130000}"/>
    <cellStyle name="Normal 4 2 4 2" xfId="356" xr:uid="{00000000-0005-0000-0000-000033130000}"/>
    <cellStyle name="Normal 4 2 4 2 2" xfId="357" xr:uid="{00000000-0005-0000-0000-000034130000}"/>
    <cellStyle name="Normal 4 2 4 2 2 2" xfId="358" xr:uid="{00000000-0005-0000-0000-000035130000}"/>
    <cellStyle name="Normal 4 2 4 2 2 2 2" xfId="834" xr:uid="{00000000-0005-0000-0000-000036130000}"/>
    <cellStyle name="Normal 4 2 4 2 2 2 2 2" xfId="3071" xr:uid="{00000000-0005-0000-0000-000037130000}"/>
    <cellStyle name="Normal 4 2 4 2 2 2 2 2 2" xfId="7294" xr:uid="{00000000-0005-0000-0000-000038130000}"/>
    <cellStyle name="Normal 4 2 4 2 2 2 2 3" xfId="5149" xr:uid="{00000000-0005-0000-0000-000039130000}"/>
    <cellStyle name="Normal 4 2 4 2 2 2 3" xfId="1254" xr:uid="{00000000-0005-0000-0000-00003A130000}"/>
    <cellStyle name="Normal 4 2 4 2 2 2 3 2" xfId="3484" xr:uid="{00000000-0005-0000-0000-00003B130000}"/>
    <cellStyle name="Normal 4 2 4 2 2 2 3 2 2" xfId="7707" xr:uid="{00000000-0005-0000-0000-00003C130000}"/>
    <cellStyle name="Normal 4 2 4 2 2 2 3 3" xfId="5562" xr:uid="{00000000-0005-0000-0000-00003D130000}"/>
    <cellStyle name="Normal 4 2 4 2 2 2 4" xfId="1667" xr:uid="{00000000-0005-0000-0000-00003E130000}"/>
    <cellStyle name="Normal 4 2 4 2 2 2 4 2" xfId="3897" xr:uid="{00000000-0005-0000-0000-00003F130000}"/>
    <cellStyle name="Normal 4 2 4 2 2 2 4 2 2" xfId="8120" xr:uid="{00000000-0005-0000-0000-000040130000}"/>
    <cellStyle name="Normal 4 2 4 2 2 2 4 3" xfId="5975" xr:uid="{00000000-0005-0000-0000-000041130000}"/>
    <cellStyle name="Normal 4 2 4 2 2 2 5" xfId="2081" xr:uid="{00000000-0005-0000-0000-000042130000}"/>
    <cellStyle name="Normal 4 2 4 2 2 2 5 2" xfId="4310" xr:uid="{00000000-0005-0000-0000-000043130000}"/>
    <cellStyle name="Normal 4 2 4 2 2 2 5 2 2" xfId="8533" xr:uid="{00000000-0005-0000-0000-000044130000}"/>
    <cellStyle name="Normal 4 2 4 2 2 2 5 3" xfId="6388" xr:uid="{00000000-0005-0000-0000-000045130000}"/>
    <cellStyle name="Normal 4 2 4 2 2 2 6" xfId="2517" xr:uid="{00000000-0005-0000-0000-000046130000}"/>
    <cellStyle name="Normal 4 2 4 2 2 2 6 2" xfId="6801" xr:uid="{00000000-0005-0000-0000-000047130000}"/>
    <cellStyle name="Normal 4 2 4 2 2 2 7" xfId="4736" xr:uid="{00000000-0005-0000-0000-000048130000}"/>
    <cellStyle name="Normal 4 2 4 2 2 3" xfId="833" xr:uid="{00000000-0005-0000-0000-000049130000}"/>
    <cellStyle name="Normal 4 2 4 2 2 3 2" xfId="3070" xr:uid="{00000000-0005-0000-0000-00004A130000}"/>
    <cellStyle name="Normal 4 2 4 2 2 3 2 2" xfId="7293" xr:uid="{00000000-0005-0000-0000-00004B130000}"/>
    <cellStyle name="Normal 4 2 4 2 2 3 3" xfId="5148" xr:uid="{00000000-0005-0000-0000-00004C130000}"/>
    <cellStyle name="Normal 4 2 4 2 2 4" xfId="1253" xr:uid="{00000000-0005-0000-0000-00004D130000}"/>
    <cellStyle name="Normal 4 2 4 2 2 4 2" xfId="3483" xr:uid="{00000000-0005-0000-0000-00004E130000}"/>
    <cellStyle name="Normal 4 2 4 2 2 4 2 2" xfId="7706" xr:uid="{00000000-0005-0000-0000-00004F130000}"/>
    <cellStyle name="Normal 4 2 4 2 2 4 3" xfId="5561" xr:uid="{00000000-0005-0000-0000-000050130000}"/>
    <cellStyle name="Normal 4 2 4 2 2 5" xfId="1666" xr:uid="{00000000-0005-0000-0000-000051130000}"/>
    <cellStyle name="Normal 4 2 4 2 2 5 2" xfId="3896" xr:uid="{00000000-0005-0000-0000-000052130000}"/>
    <cellStyle name="Normal 4 2 4 2 2 5 2 2" xfId="8119" xr:uid="{00000000-0005-0000-0000-000053130000}"/>
    <cellStyle name="Normal 4 2 4 2 2 5 3" xfId="5974" xr:uid="{00000000-0005-0000-0000-000054130000}"/>
    <cellStyle name="Normal 4 2 4 2 2 6" xfId="2080" xr:uid="{00000000-0005-0000-0000-000055130000}"/>
    <cellStyle name="Normal 4 2 4 2 2 6 2" xfId="4309" xr:uid="{00000000-0005-0000-0000-000056130000}"/>
    <cellStyle name="Normal 4 2 4 2 2 6 2 2" xfId="8532" xr:uid="{00000000-0005-0000-0000-000057130000}"/>
    <cellStyle name="Normal 4 2 4 2 2 6 3" xfId="6387" xr:uid="{00000000-0005-0000-0000-000058130000}"/>
    <cellStyle name="Normal 4 2 4 2 2 7" xfId="2516" xr:uid="{00000000-0005-0000-0000-000059130000}"/>
    <cellStyle name="Normal 4 2 4 2 2 7 2" xfId="6800" xr:uid="{00000000-0005-0000-0000-00005A130000}"/>
    <cellStyle name="Normal 4 2 4 2 2 8" xfId="4735" xr:uid="{00000000-0005-0000-0000-00005B130000}"/>
    <cellStyle name="Normal 4 2 4 2 3" xfId="359" xr:uid="{00000000-0005-0000-0000-00005C130000}"/>
    <cellStyle name="Normal 4 2 4 2 3 2" xfId="835" xr:uid="{00000000-0005-0000-0000-00005D130000}"/>
    <cellStyle name="Normal 4 2 4 2 3 2 2" xfId="3072" xr:uid="{00000000-0005-0000-0000-00005E130000}"/>
    <cellStyle name="Normal 4 2 4 2 3 2 2 2" xfId="7295" xr:uid="{00000000-0005-0000-0000-00005F130000}"/>
    <cellStyle name="Normal 4 2 4 2 3 2 3" xfId="5150" xr:uid="{00000000-0005-0000-0000-000060130000}"/>
    <cellStyle name="Normal 4 2 4 2 3 3" xfId="1255" xr:uid="{00000000-0005-0000-0000-000061130000}"/>
    <cellStyle name="Normal 4 2 4 2 3 3 2" xfId="3485" xr:uid="{00000000-0005-0000-0000-000062130000}"/>
    <cellStyle name="Normal 4 2 4 2 3 3 2 2" xfId="7708" xr:uid="{00000000-0005-0000-0000-000063130000}"/>
    <cellStyle name="Normal 4 2 4 2 3 3 3" xfId="5563" xr:uid="{00000000-0005-0000-0000-000064130000}"/>
    <cellStyle name="Normal 4 2 4 2 3 4" xfId="1668" xr:uid="{00000000-0005-0000-0000-000065130000}"/>
    <cellStyle name="Normal 4 2 4 2 3 4 2" xfId="3898" xr:uid="{00000000-0005-0000-0000-000066130000}"/>
    <cellStyle name="Normal 4 2 4 2 3 4 2 2" xfId="8121" xr:uid="{00000000-0005-0000-0000-000067130000}"/>
    <cellStyle name="Normal 4 2 4 2 3 4 3" xfId="5976" xr:uid="{00000000-0005-0000-0000-000068130000}"/>
    <cellStyle name="Normal 4 2 4 2 3 5" xfId="2082" xr:uid="{00000000-0005-0000-0000-000069130000}"/>
    <cellStyle name="Normal 4 2 4 2 3 5 2" xfId="4311" xr:uid="{00000000-0005-0000-0000-00006A130000}"/>
    <cellStyle name="Normal 4 2 4 2 3 5 2 2" xfId="8534" xr:uid="{00000000-0005-0000-0000-00006B130000}"/>
    <cellStyle name="Normal 4 2 4 2 3 5 3" xfId="6389" xr:uid="{00000000-0005-0000-0000-00006C130000}"/>
    <cellStyle name="Normal 4 2 4 2 3 6" xfId="2518" xr:uid="{00000000-0005-0000-0000-00006D130000}"/>
    <cellStyle name="Normal 4 2 4 2 3 6 2" xfId="6802" xr:uid="{00000000-0005-0000-0000-00006E130000}"/>
    <cellStyle name="Normal 4 2 4 2 3 7" xfId="4737" xr:uid="{00000000-0005-0000-0000-00006F130000}"/>
    <cellStyle name="Normal 4 2 4 2 4" xfId="832" xr:uid="{00000000-0005-0000-0000-000070130000}"/>
    <cellStyle name="Normal 4 2 4 2 4 2" xfId="3069" xr:uid="{00000000-0005-0000-0000-000071130000}"/>
    <cellStyle name="Normal 4 2 4 2 4 2 2" xfId="7292" xr:uid="{00000000-0005-0000-0000-000072130000}"/>
    <cellStyle name="Normal 4 2 4 2 4 3" xfId="5147" xr:uid="{00000000-0005-0000-0000-000073130000}"/>
    <cellStyle name="Normal 4 2 4 2 5" xfId="1252" xr:uid="{00000000-0005-0000-0000-000074130000}"/>
    <cellStyle name="Normal 4 2 4 2 5 2" xfId="3482" xr:uid="{00000000-0005-0000-0000-000075130000}"/>
    <cellStyle name="Normal 4 2 4 2 5 2 2" xfId="7705" xr:uid="{00000000-0005-0000-0000-000076130000}"/>
    <cellStyle name="Normal 4 2 4 2 5 3" xfId="5560" xr:uid="{00000000-0005-0000-0000-000077130000}"/>
    <cellStyle name="Normal 4 2 4 2 6" xfId="1665" xr:uid="{00000000-0005-0000-0000-000078130000}"/>
    <cellStyle name="Normal 4 2 4 2 6 2" xfId="3895" xr:uid="{00000000-0005-0000-0000-000079130000}"/>
    <cellStyle name="Normal 4 2 4 2 6 2 2" xfId="8118" xr:uid="{00000000-0005-0000-0000-00007A130000}"/>
    <cellStyle name="Normal 4 2 4 2 6 3" xfId="5973" xr:uid="{00000000-0005-0000-0000-00007B130000}"/>
    <cellStyle name="Normal 4 2 4 2 7" xfId="2079" xr:uid="{00000000-0005-0000-0000-00007C130000}"/>
    <cellStyle name="Normal 4 2 4 2 7 2" xfId="4308" xr:uid="{00000000-0005-0000-0000-00007D130000}"/>
    <cellStyle name="Normal 4 2 4 2 7 2 2" xfId="8531" xr:uid="{00000000-0005-0000-0000-00007E130000}"/>
    <cellStyle name="Normal 4 2 4 2 7 3" xfId="6386" xr:uid="{00000000-0005-0000-0000-00007F130000}"/>
    <cellStyle name="Normal 4 2 4 2 8" xfId="2515" xr:uid="{00000000-0005-0000-0000-000080130000}"/>
    <cellStyle name="Normal 4 2 4 2 8 2" xfId="6799" xr:uid="{00000000-0005-0000-0000-000081130000}"/>
    <cellStyle name="Normal 4 2 4 2 9" xfId="4734" xr:uid="{00000000-0005-0000-0000-000082130000}"/>
    <cellStyle name="Normal 4 2 4 3" xfId="360" xr:uid="{00000000-0005-0000-0000-000083130000}"/>
    <cellStyle name="Normal 4 2 4 3 2" xfId="361" xr:uid="{00000000-0005-0000-0000-000084130000}"/>
    <cellStyle name="Normal 4 2 4 3 2 2" xfId="837" xr:uid="{00000000-0005-0000-0000-000085130000}"/>
    <cellStyle name="Normal 4 2 4 3 2 2 2" xfId="3074" xr:uid="{00000000-0005-0000-0000-000086130000}"/>
    <cellStyle name="Normal 4 2 4 3 2 2 2 2" xfId="7297" xr:uid="{00000000-0005-0000-0000-000087130000}"/>
    <cellStyle name="Normal 4 2 4 3 2 2 3" xfId="5152" xr:uid="{00000000-0005-0000-0000-000088130000}"/>
    <cellStyle name="Normal 4 2 4 3 2 3" xfId="1257" xr:uid="{00000000-0005-0000-0000-000089130000}"/>
    <cellStyle name="Normal 4 2 4 3 2 3 2" xfId="3487" xr:uid="{00000000-0005-0000-0000-00008A130000}"/>
    <cellStyle name="Normal 4 2 4 3 2 3 2 2" xfId="7710" xr:uid="{00000000-0005-0000-0000-00008B130000}"/>
    <cellStyle name="Normal 4 2 4 3 2 3 3" xfId="5565" xr:uid="{00000000-0005-0000-0000-00008C130000}"/>
    <cellStyle name="Normal 4 2 4 3 2 4" xfId="1670" xr:uid="{00000000-0005-0000-0000-00008D130000}"/>
    <cellStyle name="Normal 4 2 4 3 2 4 2" xfId="3900" xr:uid="{00000000-0005-0000-0000-00008E130000}"/>
    <cellStyle name="Normal 4 2 4 3 2 4 2 2" xfId="8123" xr:uid="{00000000-0005-0000-0000-00008F130000}"/>
    <cellStyle name="Normal 4 2 4 3 2 4 3" xfId="5978" xr:uid="{00000000-0005-0000-0000-000090130000}"/>
    <cellStyle name="Normal 4 2 4 3 2 5" xfId="2084" xr:uid="{00000000-0005-0000-0000-000091130000}"/>
    <cellStyle name="Normal 4 2 4 3 2 5 2" xfId="4313" xr:uid="{00000000-0005-0000-0000-000092130000}"/>
    <cellStyle name="Normal 4 2 4 3 2 5 2 2" xfId="8536" xr:uid="{00000000-0005-0000-0000-000093130000}"/>
    <cellStyle name="Normal 4 2 4 3 2 5 3" xfId="6391" xr:uid="{00000000-0005-0000-0000-000094130000}"/>
    <cellStyle name="Normal 4 2 4 3 2 6" xfId="2520" xr:uid="{00000000-0005-0000-0000-000095130000}"/>
    <cellStyle name="Normal 4 2 4 3 2 6 2" xfId="6804" xr:uid="{00000000-0005-0000-0000-000096130000}"/>
    <cellStyle name="Normal 4 2 4 3 2 7" xfId="4739" xr:uid="{00000000-0005-0000-0000-000097130000}"/>
    <cellStyle name="Normal 4 2 4 3 3" xfId="836" xr:uid="{00000000-0005-0000-0000-000098130000}"/>
    <cellStyle name="Normal 4 2 4 3 3 2" xfId="3073" xr:uid="{00000000-0005-0000-0000-000099130000}"/>
    <cellStyle name="Normal 4 2 4 3 3 2 2" xfId="7296" xr:uid="{00000000-0005-0000-0000-00009A130000}"/>
    <cellStyle name="Normal 4 2 4 3 3 3" xfId="5151" xr:uid="{00000000-0005-0000-0000-00009B130000}"/>
    <cellStyle name="Normal 4 2 4 3 4" xfId="1256" xr:uid="{00000000-0005-0000-0000-00009C130000}"/>
    <cellStyle name="Normal 4 2 4 3 4 2" xfId="3486" xr:uid="{00000000-0005-0000-0000-00009D130000}"/>
    <cellStyle name="Normal 4 2 4 3 4 2 2" xfId="7709" xr:uid="{00000000-0005-0000-0000-00009E130000}"/>
    <cellStyle name="Normal 4 2 4 3 4 3" xfId="5564" xr:uid="{00000000-0005-0000-0000-00009F130000}"/>
    <cellStyle name="Normal 4 2 4 3 5" xfId="1669" xr:uid="{00000000-0005-0000-0000-0000A0130000}"/>
    <cellStyle name="Normal 4 2 4 3 5 2" xfId="3899" xr:uid="{00000000-0005-0000-0000-0000A1130000}"/>
    <cellStyle name="Normal 4 2 4 3 5 2 2" xfId="8122" xr:uid="{00000000-0005-0000-0000-0000A2130000}"/>
    <cellStyle name="Normal 4 2 4 3 5 3" xfId="5977" xr:uid="{00000000-0005-0000-0000-0000A3130000}"/>
    <cellStyle name="Normal 4 2 4 3 6" xfId="2083" xr:uid="{00000000-0005-0000-0000-0000A4130000}"/>
    <cellStyle name="Normal 4 2 4 3 6 2" xfId="4312" xr:uid="{00000000-0005-0000-0000-0000A5130000}"/>
    <cellStyle name="Normal 4 2 4 3 6 2 2" xfId="8535" xr:uid="{00000000-0005-0000-0000-0000A6130000}"/>
    <cellStyle name="Normal 4 2 4 3 6 3" xfId="6390" xr:uid="{00000000-0005-0000-0000-0000A7130000}"/>
    <cellStyle name="Normal 4 2 4 3 7" xfId="2519" xr:uid="{00000000-0005-0000-0000-0000A8130000}"/>
    <cellStyle name="Normal 4 2 4 3 7 2" xfId="6803" xr:uid="{00000000-0005-0000-0000-0000A9130000}"/>
    <cellStyle name="Normal 4 2 4 3 8" xfId="4738" xr:uid="{00000000-0005-0000-0000-0000AA130000}"/>
    <cellStyle name="Normal 4 2 4 4" xfId="362" xr:uid="{00000000-0005-0000-0000-0000AB130000}"/>
    <cellStyle name="Normal 4 2 4 4 2" xfId="838" xr:uid="{00000000-0005-0000-0000-0000AC130000}"/>
    <cellStyle name="Normal 4 2 4 4 2 2" xfId="3075" xr:uid="{00000000-0005-0000-0000-0000AD130000}"/>
    <cellStyle name="Normal 4 2 4 4 2 2 2" xfId="7298" xr:uid="{00000000-0005-0000-0000-0000AE130000}"/>
    <cellStyle name="Normal 4 2 4 4 2 3" xfId="5153" xr:uid="{00000000-0005-0000-0000-0000AF130000}"/>
    <cellStyle name="Normal 4 2 4 4 3" xfId="1258" xr:uid="{00000000-0005-0000-0000-0000B0130000}"/>
    <cellStyle name="Normal 4 2 4 4 3 2" xfId="3488" xr:uid="{00000000-0005-0000-0000-0000B1130000}"/>
    <cellStyle name="Normal 4 2 4 4 3 2 2" xfId="7711" xr:uid="{00000000-0005-0000-0000-0000B2130000}"/>
    <cellStyle name="Normal 4 2 4 4 3 3" xfId="5566" xr:uid="{00000000-0005-0000-0000-0000B3130000}"/>
    <cellStyle name="Normal 4 2 4 4 4" xfId="1671" xr:uid="{00000000-0005-0000-0000-0000B4130000}"/>
    <cellStyle name="Normal 4 2 4 4 4 2" xfId="3901" xr:uid="{00000000-0005-0000-0000-0000B5130000}"/>
    <cellStyle name="Normal 4 2 4 4 4 2 2" xfId="8124" xr:uid="{00000000-0005-0000-0000-0000B6130000}"/>
    <cellStyle name="Normal 4 2 4 4 4 3" xfId="5979" xr:uid="{00000000-0005-0000-0000-0000B7130000}"/>
    <cellStyle name="Normal 4 2 4 4 5" xfId="2085" xr:uid="{00000000-0005-0000-0000-0000B8130000}"/>
    <cellStyle name="Normal 4 2 4 4 5 2" xfId="4314" xr:uid="{00000000-0005-0000-0000-0000B9130000}"/>
    <cellStyle name="Normal 4 2 4 4 5 2 2" xfId="8537" xr:uid="{00000000-0005-0000-0000-0000BA130000}"/>
    <cellStyle name="Normal 4 2 4 4 5 3" xfId="6392" xr:uid="{00000000-0005-0000-0000-0000BB130000}"/>
    <cellStyle name="Normal 4 2 4 4 6" xfId="2521" xr:uid="{00000000-0005-0000-0000-0000BC130000}"/>
    <cellStyle name="Normal 4 2 4 4 6 2" xfId="6805" xr:uid="{00000000-0005-0000-0000-0000BD130000}"/>
    <cellStyle name="Normal 4 2 4 4 7" xfId="4740" xr:uid="{00000000-0005-0000-0000-0000BE130000}"/>
    <cellStyle name="Normal 4 2 4 5" xfId="831" xr:uid="{00000000-0005-0000-0000-0000BF130000}"/>
    <cellStyle name="Normal 4 2 4 5 2" xfId="3068" xr:uid="{00000000-0005-0000-0000-0000C0130000}"/>
    <cellStyle name="Normal 4 2 4 5 2 2" xfId="7291" xr:uid="{00000000-0005-0000-0000-0000C1130000}"/>
    <cellStyle name="Normal 4 2 4 5 3" xfId="5146" xr:uid="{00000000-0005-0000-0000-0000C2130000}"/>
    <cellStyle name="Normal 4 2 4 6" xfId="1251" xr:uid="{00000000-0005-0000-0000-0000C3130000}"/>
    <cellStyle name="Normal 4 2 4 6 2" xfId="3481" xr:uid="{00000000-0005-0000-0000-0000C4130000}"/>
    <cellStyle name="Normal 4 2 4 6 2 2" xfId="7704" xr:uid="{00000000-0005-0000-0000-0000C5130000}"/>
    <cellStyle name="Normal 4 2 4 6 3" xfId="5559" xr:uid="{00000000-0005-0000-0000-0000C6130000}"/>
    <cellStyle name="Normal 4 2 4 7" xfId="1664" xr:uid="{00000000-0005-0000-0000-0000C7130000}"/>
    <cellStyle name="Normal 4 2 4 7 2" xfId="3894" xr:uid="{00000000-0005-0000-0000-0000C8130000}"/>
    <cellStyle name="Normal 4 2 4 7 2 2" xfId="8117" xr:uid="{00000000-0005-0000-0000-0000C9130000}"/>
    <cellStyle name="Normal 4 2 4 7 3" xfId="5972" xr:uid="{00000000-0005-0000-0000-0000CA130000}"/>
    <cellStyle name="Normal 4 2 4 8" xfId="2078" xr:uid="{00000000-0005-0000-0000-0000CB130000}"/>
    <cellStyle name="Normal 4 2 4 8 2" xfId="4307" xr:uid="{00000000-0005-0000-0000-0000CC130000}"/>
    <cellStyle name="Normal 4 2 4 8 2 2" xfId="8530" xr:uid="{00000000-0005-0000-0000-0000CD130000}"/>
    <cellStyle name="Normal 4 2 4 8 3" xfId="6385" xr:uid="{00000000-0005-0000-0000-0000CE130000}"/>
    <cellStyle name="Normal 4 2 4 9" xfId="2514" xr:uid="{00000000-0005-0000-0000-0000CF130000}"/>
    <cellStyle name="Normal 4 2 4 9 2" xfId="6798" xr:uid="{00000000-0005-0000-0000-0000D0130000}"/>
    <cellStyle name="Normal 4 2 5" xfId="363" xr:uid="{00000000-0005-0000-0000-0000D1130000}"/>
    <cellStyle name="Normal 4 2 5 2" xfId="364" xr:uid="{00000000-0005-0000-0000-0000D2130000}"/>
    <cellStyle name="Normal 4 2 5 2 2" xfId="840" xr:uid="{00000000-0005-0000-0000-0000D3130000}"/>
    <cellStyle name="Normal 4 2 5 2 2 2" xfId="3077" xr:uid="{00000000-0005-0000-0000-0000D4130000}"/>
    <cellStyle name="Normal 4 2 5 2 2 2 2" xfId="7300" xr:uid="{00000000-0005-0000-0000-0000D5130000}"/>
    <cellStyle name="Normal 4 2 5 2 2 3" xfId="5155" xr:uid="{00000000-0005-0000-0000-0000D6130000}"/>
    <cellStyle name="Normal 4 2 5 2 3" xfId="1260" xr:uid="{00000000-0005-0000-0000-0000D7130000}"/>
    <cellStyle name="Normal 4 2 5 2 3 2" xfId="3490" xr:uid="{00000000-0005-0000-0000-0000D8130000}"/>
    <cellStyle name="Normal 4 2 5 2 3 2 2" xfId="7713" xr:uid="{00000000-0005-0000-0000-0000D9130000}"/>
    <cellStyle name="Normal 4 2 5 2 3 3" xfId="5568" xr:uid="{00000000-0005-0000-0000-0000DA130000}"/>
    <cellStyle name="Normal 4 2 5 2 4" xfId="1673" xr:uid="{00000000-0005-0000-0000-0000DB130000}"/>
    <cellStyle name="Normal 4 2 5 2 4 2" xfId="3903" xr:uid="{00000000-0005-0000-0000-0000DC130000}"/>
    <cellStyle name="Normal 4 2 5 2 4 2 2" xfId="8126" xr:uid="{00000000-0005-0000-0000-0000DD130000}"/>
    <cellStyle name="Normal 4 2 5 2 4 3" xfId="5981" xr:uid="{00000000-0005-0000-0000-0000DE130000}"/>
    <cellStyle name="Normal 4 2 5 2 5" xfId="2087" xr:uid="{00000000-0005-0000-0000-0000DF130000}"/>
    <cellStyle name="Normal 4 2 5 2 5 2" xfId="4316" xr:uid="{00000000-0005-0000-0000-0000E0130000}"/>
    <cellStyle name="Normal 4 2 5 2 5 2 2" xfId="8539" xr:uid="{00000000-0005-0000-0000-0000E1130000}"/>
    <cellStyle name="Normal 4 2 5 2 5 3" xfId="6394" xr:uid="{00000000-0005-0000-0000-0000E2130000}"/>
    <cellStyle name="Normal 4 2 5 2 6" xfId="2523" xr:uid="{00000000-0005-0000-0000-0000E3130000}"/>
    <cellStyle name="Normal 4 2 5 2 6 2" xfId="6807" xr:uid="{00000000-0005-0000-0000-0000E4130000}"/>
    <cellStyle name="Normal 4 2 5 2 7" xfId="4742" xr:uid="{00000000-0005-0000-0000-0000E5130000}"/>
    <cellStyle name="Normal 4 2 5 3" xfId="839" xr:uid="{00000000-0005-0000-0000-0000E6130000}"/>
    <cellStyle name="Normal 4 2 5 3 2" xfId="3076" xr:uid="{00000000-0005-0000-0000-0000E7130000}"/>
    <cellStyle name="Normal 4 2 5 3 2 2" xfId="7299" xr:uid="{00000000-0005-0000-0000-0000E8130000}"/>
    <cellStyle name="Normal 4 2 5 3 3" xfId="5154" xr:uid="{00000000-0005-0000-0000-0000E9130000}"/>
    <cellStyle name="Normal 4 2 5 4" xfId="1259" xr:uid="{00000000-0005-0000-0000-0000EA130000}"/>
    <cellStyle name="Normal 4 2 5 4 2" xfId="3489" xr:uid="{00000000-0005-0000-0000-0000EB130000}"/>
    <cellStyle name="Normal 4 2 5 4 2 2" xfId="7712" xr:uid="{00000000-0005-0000-0000-0000EC130000}"/>
    <cellStyle name="Normal 4 2 5 4 3" xfId="5567" xr:uid="{00000000-0005-0000-0000-0000ED130000}"/>
    <cellStyle name="Normal 4 2 5 5" xfId="1672" xr:uid="{00000000-0005-0000-0000-0000EE130000}"/>
    <cellStyle name="Normal 4 2 5 5 2" xfId="3902" xr:uid="{00000000-0005-0000-0000-0000EF130000}"/>
    <cellStyle name="Normal 4 2 5 5 2 2" xfId="8125" xr:uid="{00000000-0005-0000-0000-0000F0130000}"/>
    <cellStyle name="Normal 4 2 5 5 3" xfId="5980" xr:uid="{00000000-0005-0000-0000-0000F1130000}"/>
    <cellStyle name="Normal 4 2 5 6" xfId="2086" xr:uid="{00000000-0005-0000-0000-0000F2130000}"/>
    <cellStyle name="Normal 4 2 5 6 2" xfId="4315" xr:uid="{00000000-0005-0000-0000-0000F3130000}"/>
    <cellStyle name="Normal 4 2 5 6 2 2" xfId="8538" xr:uid="{00000000-0005-0000-0000-0000F4130000}"/>
    <cellStyle name="Normal 4 2 5 6 3" xfId="6393" xr:uid="{00000000-0005-0000-0000-0000F5130000}"/>
    <cellStyle name="Normal 4 2 5 7" xfId="2522" xr:uid="{00000000-0005-0000-0000-0000F6130000}"/>
    <cellStyle name="Normal 4 2 5 7 2" xfId="6806" xr:uid="{00000000-0005-0000-0000-0000F7130000}"/>
    <cellStyle name="Normal 4 2 5 8" xfId="4741" xr:uid="{00000000-0005-0000-0000-0000F8130000}"/>
    <cellStyle name="Normal 4 2 6" xfId="365" xr:uid="{00000000-0005-0000-0000-0000F9130000}"/>
    <cellStyle name="Normal 4 2 6 2" xfId="841" xr:uid="{00000000-0005-0000-0000-0000FA130000}"/>
    <cellStyle name="Normal 4 2 6 2 2" xfId="3078" xr:uid="{00000000-0005-0000-0000-0000FB130000}"/>
    <cellStyle name="Normal 4 2 6 2 2 2" xfId="7301" xr:uid="{00000000-0005-0000-0000-0000FC130000}"/>
    <cellStyle name="Normal 4 2 6 2 3" xfId="5156" xr:uid="{00000000-0005-0000-0000-0000FD130000}"/>
    <cellStyle name="Normal 4 2 6 3" xfId="1261" xr:uid="{00000000-0005-0000-0000-0000FE130000}"/>
    <cellStyle name="Normal 4 2 6 3 2" xfId="3491" xr:uid="{00000000-0005-0000-0000-0000FF130000}"/>
    <cellStyle name="Normal 4 2 6 3 2 2" xfId="7714" xr:uid="{00000000-0005-0000-0000-000000140000}"/>
    <cellStyle name="Normal 4 2 6 3 3" xfId="5569" xr:uid="{00000000-0005-0000-0000-000001140000}"/>
    <cellStyle name="Normal 4 2 6 4" xfId="1674" xr:uid="{00000000-0005-0000-0000-000002140000}"/>
    <cellStyle name="Normal 4 2 6 4 2" xfId="3904" xr:uid="{00000000-0005-0000-0000-000003140000}"/>
    <cellStyle name="Normal 4 2 6 4 2 2" xfId="8127" xr:uid="{00000000-0005-0000-0000-000004140000}"/>
    <cellStyle name="Normal 4 2 6 4 3" xfId="5982" xr:uid="{00000000-0005-0000-0000-000005140000}"/>
    <cellStyle name="Normal 4 2 6 5" xfId="2088" xr:uid="{00000000-0005-0000-0000-000006140000}"/>
    <cellStyle name="Normal 4 2 6 5 2" xfId="4317" xr:uid="{00000000-0005-0000-0000-000007140000}"/>
    <cellStyle name="Normal 4 2 6 5 2 2" xfId="8540" xr:uid="{00000000-0005-0000-0000-000008140000}"/>
    <cellStyle name="Normal 4 2 6 5 3" xfId="6395" xr:uid="{00000000-0005-0000-0000-000009140000}"/>
    <cellStyle name="Normal 4 2 6 6" xfId="2524" xr:uid="{00000000-0005-0000-0000-00000A140000}"/>
    <cellStyle name="Normal 4 2 6 6 2" xfId="6808" xr:uid="{00000000-0005-0000-0000-00000B140000}"/>
    <cellStyle name="Normal 4 2 6 7" xfId="4743" xr:uid="{00000000-0005-0000-0000-00000C140000}"/>
    <cellStyle name="Normal 4 3" xfId="366" xr:uid="{00000000-0005-0000-0000-00000D140000}"/>
    <cellStyle name="Normal 4 3 2" xfId="367" xr:uid="{00000000-0005-0000-0000-00000E140000}"/>
    <cellStyle name="Normal 4 3 2 2" xfId="368" xr:uid="{00000000-0005-0000-0000-00000F140000}"/>
    <cellStyle name="Normal 4 3 2 2 2" xfId="369" xr:uid="{00000000-0005-0000-0000-000010140000}"/>
    <cellStyle name="Normal 4 3 2 2 2 2" xfId="370" xr:uid="{00000000-0005-0000-0000-000011140000}"/>
    <cellStyle name="Normal 4 3 2 2 2 2 2" xfId="371" xr:uid="{00000000-0005-0000-0000-000012140000}"/>
    <cellStyle name="Normal 4 3 2 2 2 2 2 2" xfId="846" xr:uid="{00000000-0005-0000-0000-000013140000}"/>
    <cellStyle name="Normal 4 3 2 2 2 2 2 2 2" xfId="3082" xr:uid="{00000000-0005-0000-0000-000014140000}"/>
    <cellStyle name="Normal 4 3 2 2 2 2 2 2 2 2" xfId="7305" xr:uid="{00000000-0005-0000-0000-000015140000}"/>
    <cellStyle name="Normal 4 3 2 2 2 2 2 2 3" xfId="5160" xr:uid="{00000000-0005-0000-0000-000016140000}"/>
    <cellStyle name="Normal 4 3 2 2 2 2 2 3" xfId="1265" xr:uid="{00000000-0005-0000-0000-000017140000}"/>
    <cellStyle name="Normal 4 3 2 2 2 2 2 3 2" xfId="3495" xr:uid="{00000000-0005-0000-0000-000018140000}"/>
    <cellStyle name="Normal 4 3 2 2 2 2 2 3 2 2" xfId="7718" xr:uid="{00000000-0005-0000-0000-000019140000}"/>
    <cellStyle name="Normal 4 3 2 2 2 2 2 3 3" xfId="5573" xr:uid="{00000000-0005-0000-0000-00001A140000}"/>
    <cellStyle name="Normal 4 3 2 2 2 2 2 4" xfId="1678" xr:uid="{00000000-0005-0000-0000-00001B140000}"/>
    <cellStyle name="Normal 4 3 2 2 2 2 2 4 2" xfId="3908" xr:uid="{00000000-0005-0000-0000-00001C140000}"/>
    <cellStyle name="Normal 4 3 2 2 2 2 2 4 2 2" xfId="8131" xr:uid="{00000000-0005-0000-0000-00001D140000}"/>
    <cellStyle name="Normal 4 3 2 2 2 2 2 4 3" xfId="5986" xr:uid="{00000000-0005-0000-0000-00001E140000}"/>
    <cellStyle name="Normal 4 3 2 2 2 2 2 5" xfId="2092" xr:uid="{00000000-0005-0000-0000-00001F140000}"/>
    <cellStyle name="Normal 4 3 2 2 2 2 2 5 2" xfId="4321" xr:uid="{00000000-0005-0000-0000-000020140000}"/>
    <cellStyle name="Normal 4 3 2 2 2 2 2 5 2 2" xfId="8544" xr:uid="{00000000-0005-0000-0000-000021140000}"/>
    <cellStyle name="Normal 4 3 2 2 2 2 2 5 3" xfId="6399" xr:uid="{00000000-0005-0000-0000-000022140000}"/>
    <cellStyle name="Normal 4 3 2 2 2 2 2 6" xfId="2528" xr:uid="{00000000-0005-0000-0000-000023140000}"/>
    <cellStyle name="Normal 4 3 2 2 2 2 2 6 2" xfId="6812" xr:uid="{00000000-0005-0000-0000-000024140000}"/>
    <cellStyle name="Normal 4 3 2 2 2 2 2 7" xfId="4747" xr:uid="{00000000-0005-0000-0000-000025140000}"/>
    <cellStyle name="Normal 4 3 2 2 2 2 3" xfId="845" xr:uid="{00000000-0005-0000-0000-000026140000}"/>
    <cellStyle name="Normal 4 3 2 2 2 2 3 2" xfId="3081" xr:uid="{00000000-0005-0000-0000-000027140000}"/>
    <cellStyle name="Normal 4 3 2 2 2 2 3 2 2" xfId="7304" xr:uid="{00000000-0005-0000-0000-000028140000}"/>
    <cellStyle name="Normal 4 3 2 2 2 2 3 3" xfId="5159" xr:uid="{00000000-0005-0000-0000-000029140000}"/>
    <cellStyle name="Normal 4 3 2 2 2 2 4" xfId="1264" xr:uid="{00000000-0005-0000-0000-00002A140000}"/>
    <cellStyle name="Normal 4 3 2 2 2 2 4 2" xfId="3494" xr:uid="{00000000-0005-0000-0000-00002B140000}"/>
    <cellStyle name="Normal 4 3 2 2 2 2 4 2 2" xfId="7717" xr:uid="{00000000-0005-0000-0000-00002C140000}"/>
    <cellStyle name="Normal 4 3 2 2 2 2 4 3" xfId="5572" xr:uid="{00000000-0005-0000-0000-00002D140000}"/>
    <cellStyle name="Normal 4 3 2 2 2 2 5" xfId="1677" xr:uid="{00000000-0005-0000-0000-00002E140000}"/>
    <cellStyle name="Normal 4 3 2 2 2 2 5 2" xfId="3907" xr:uid="{00000000-0005-0000-0000-00002F140000}"/>
    <cellStyle name="Normal 4 3 2 2 2 2 5 2 2" xfId="8130" xr:uid="{00000000-0005-0000-0000-000030140000}"/>
    <cellStyle name="Normal 4 3 2 2 2 2 5 3" xfId="5985" xr:uid="{00000000-0005-0000-0000-000031140000}"/>
    <cellStyle name="Normal 4 3 2 2 2 2 6" xfId="2091" xr:uid="{00000000-0005-0000-0000-000032140000}"/>
    <cellStyle name="Normal 4 3 2 2 2 2 6 2" xfId="4320" xr:uid="{00000000-0005-0000-0000-000033140000}"/>
    <cellStyle name="Normal 4 3 2 2 2 2 6 2 2" xfId="8543" xr:uid="{00000000-0005-0000-0000-000034140000}"/>
    <cellStyle name="Normal 4 3 2 2 2 2 6 3" xfId="6398" xr:uid="{00000000-0005-0000-0000-000035140000}"/>
    <cellStyle name="Normal 4 3 2 2 2 2 7" xfId="2527" xr:uid="{00000000-0005-0000-0000-000036140000}"/>
    <cellStyle name="Normal 4 3 2 2 2 2 7 2" xfId="6811" xr:uid="{00000000-0005-0000-0000-000037140000}"/>
    <cellStyle name="Normal 4 3 2 2 2 2 8" xfId="4746" xr:uid="{00000000-0005-0000-0000-000038140000}"/>
    <cellStyle name="Normal 4 3 2 2 2 3" xfId="372" xr:uid="{00000000-0005-0000-0000-000039140000}"/>
    <cellStyle name="Normal 4 3 2 2 2 3 2" xfId="847" xr:uid="{00000000-0005-0000-0000-00003A140000}"/>
    <cellStyle name="Normal 4 3 2 2 2 3 2 2" xfId="3083" xr:uid="{00000000-0005-0000-0000-00003B140000}"/>
    <cellStyle name="Normal 4 3 2 2 2 3 2 2 2" xfId="7306" xr:uid="{00000000-0005-0000-0000-00003C140000}"/>
    <cellStyle name="Normal 4 3 2 2 2 3 2 3" xfId="5161" xr:uid="{00000000-0005-0000-0000-00003D140000}"/>
    <cellStyle name="Normal 4 3 2 2 2 3 3" xfId="1266" xr:uid="{00000000-0005-0000-0000-00003E140000}"/>
    <cellStyle name="Normal 4 3 2 2 2 3 3 2" xfId="3496" xr:uid="{00000000-0005-0000-0000-00003F140000}"/>
    <cellStyle name="Normal 4 3 2 2 2 3 3 2 2" xfId="7719" xr:uid="{00000000-0005-0000-0000-000040140000}"/>
    <cellStyle name="Normal 4 3 2 2 2 3 3 3" xfId="5574" xr:uid="{00000000-0005-0000-0000-000041140000}"/>
    <cellStyle name="Normal 4 3 2 2 2 3 4" xfId="1679" xr:uid="{00000000-0005-0000-0000-000042140000}"/>
    <cellStyle name="Normal 4 3 2 2 2 3 4 2" xfId="3909" xr:uid="{00000000-0005-0000-0000-000043140000}"/>
    <cellStyle name="Normal 4 3 2 2 2 3 4 2 2" xfId="8132" xr:uid="{00000000-0005-0000-0000-000044140000}"/>
    <cellStyle name="Normal 4 3 2 2 2 3 4 3" xfId="5987" xr:uid="{00000000-0005-0000-0000-000045140000}"/>
    <cellStyle name="Normal 4 3 2 2 2 3 5" xfId="2093" xr:uid="{00000000-0005-0000-0000-000046140000}"/>
    <cellStyle name="Normal 4 3 2 2 2 3 5 2" xfId="4322" xr:uid="{00000000-0005-0000-0000-000047140000}"/>
    <cellStyle name="Normal 4 3 2 2 2 3 5 2 2" xfId="8545" xr:uid="{00000000-0005-0000-0000-000048140000}"/>
    <cellStyle name="Normal 4 3 2 2 2 3 5 3" xfId="6400" xr:uid="{00000000-0005-0000-0000-000049140000}"/>
    <cellStyle name="Normal 4 3 2 2 2 3 6" xfId="2529" xr:uid="{00000000-0005-0000-0000-00004A140000}"/>
    <cellStyle name="Normal 4 3 2 2 2 3 6 2" xfId="6813" xr:uid="{00000000-0005-0000-0000-00004B140000}"/>
    <cellStyle name="Normal 4 3 2 2 2 3 7" xfId="4748" xr:uid="{00000000-0005-0000-0000-00004C140000}"/>
    <cellStyle name="Normal 4 3 2 2 2 4" xfId="844" xr:uid="{00000000-0005-0000-0000-00004D140000}"/>
    <cellStyle name="Normal 4 3 2 2 2 4 2" xfId="3080" xr:uid="{00000000-0005-0000-0000-00004E140000}"/>
    <cellStyle name="Normal 4 3 2 2 2 4 2 2" xfId="7303" xr:uid="{00000000-0005-0000-0000-00004F140000}"/>
    <cellStyle name="Normal 4 3 2 2 2 4 3" xfId="5158" xr:uid="{00000000-0005-0000-0000-000050140000}"/>
    <cellStyle name="Normal 4 3 2 2 2 5" xfId="1263" xr:uid="{00000000-0005-0000-0000-000051140000}"/>
    <cellStyle name="Normal 4 3 2 2 2 5 2" xfId="3493" xr:uid="{00000000-0005-0000-0000-000052140000}"/>
    <cellStyle name="Normal 4 3 2 2 2 5 2 2" xfId="7716" xr:uid="{00000000-0005-0000-0000-000053140000}"/>
    <cellStyle name="Normal 4 3 2 2 2 5 3" xfId="5571" xr:uid="{00000000-0005-0000-0000-000054140000}"/>
    <cellStyle name="Normal 4 3 2 2 2 6" xfId="1676" xr:uid="{00000000-0005-0000-0000-000055140000}"/>
    <cellStyle name="Normal 4 3 2 2 2 6 2" xfId="3906" xr:uid="{00000000-0005-0000-0000-000056140000}"/>
    <cellStyle name="Normal 4 3 2 2 2 6 2 2" xfId="8129" xr:uid="{00000000-0005-0000-0000-000057140000}"/>
    <cellStyle name="Normal 4 3 2 2 2 6 3" xfId="5984" xr:uid="{00000000-0005-0000-0000-000058140000}"/>
    <cellStyle name="Normal 4 3 2 2 2 7" xfId="2090" xr:uid="{00000000-0005-0000-0000-000059140000}"/>
    <cellStyle name="Normal 4 3 2 2 2 7 2" xfId="4319" xr:uid="{00000000-0005-0000-0000-00005A140000}"/>
    <cellStyle name="Normal 4 3 2 2 2 7 2 2" xfId="8542" xr:uid="{00000000-0005-0000-0000-00005B140000}"/>
    <cellStyle name="Normal 4 3 2 2 2 7 3" xfId="6397" xr:uid="{00000000-0005-0000-0000-00005C140000}"/>
    <cellStyle name="Normal 4 3 2 2 2 8" xfId="2526" xr:uid="{00000000-0005-0000-0000-00005D140000}"/>
    <cellStyle name="Normal 4 3 2 2 2 8 2" xfId="6810" xr:uid="{00000000-0005-0000-0000-00005E140000}"/>
    <cellStyle name="Normal 4 3 2 2 2 9" xfId="4745" xr:uid="{00000000-0005-0000-0000-00005F140000}"/>
    <cellStyle name="Normal 4 3 2 3" xfId="373" xr:uid="{00000000-0005-0000-0000-000060140000}"/>
    <cellStyle name="Normal 4 3 2 3 2" xfId="848" xr:uid="{00000000-0005-0000-0000-000061140000}"/>
    <cellStyle name="Normal 4 3 2 4" xfId="843" xr:uid="{00000000-0005-0000-0000-000062140000}"/>
    <cellStyle name="Normal 4 3 3" xfId="374" xr:uid="{00000000-0005-0000-0000-000063140000}"/>
    <cellStyle name="Normal 4 3 3 2" xfId="375" xr:uid="{00000000-0005-0000-0000-000064140000}"/>
    <cellStyle name="Normal 4 3 3 2 2" xfId="376" xr:uid="{00000000-0005-0000-0000-000065140000}"/>
    <cellStyle name="Normal 4 3 3 2 2 2" xfId="851" xr:uid="{00000000-0005-0000-0000-000066140000}"/>
    <cellStyle name="Normal 4 3 3 2 2 2 2" xfId="3086" xr:uid="{00000000-0005-0000-0000-000067140000}"/>
    <cellStyle name="Normal 4 3 3 2 2 2 2 2" xfId="7309" xr:uid="{00000000-0005-0000-0000-000068140000}"/>
    <cellStyle name="Normal 4 3 3 2 2 2 3" xfId="5164" xr:uid="{00000000-0005-0000-0000-000069140000}"/>
    <cellStyle name="Normal 4 3 3 2 2 3" xfId="1269" xr:uid="{00000000-0005-0000-0000-00006A140000}"/>
    <cellStyle name="Normal 4 3 3 2 2 3 2" xfId="3499" xr:uid="{00000000-0005-0000-0000-00006B140000}"/>
    <cellStyle name="Normal 4 3 3 2 2 3 2 2" xfId="7722" xr:uid="{00000000-0005-0000-0000-00006C140000}"/>
    <cellStyle name="Normal 4 3 3 2 2 3 3" xfId="5577" xr:uid="{00000000-0005-0000-0000-00006D140000}"/>
    <cellStyle name="Normal 4 3 3 2 2 4" xfId="1682" xr:uid="{00000000-0005-0000-0000-00006E140000}"/>
    <cellStyle name="Normal 4 3 3 2 2 4 2" xfId="3912" xr:uid="{00000000-0005-0000-0000-00006F140000}"/>
    <cellStyle name="Normal 4 3 3 2 2 4 2 2" xfId="8135" xr:uid="{00000000-0005-0000-0000-000070140000}"/>
    <cellStyle name="Normal 4 3 3 2 2 4 3" xfId="5990" xr:uid="{00000000-0005-0000-0000-000071140000}"/>
    <cellStyle name="Normal 4 3 3 2 2 5" xfId="2096" xr:uid="{00000000-0005-0000-0000-000072140000}"/>
    <cellStyle name="Normal 4 3 3 2 2 5 2" xfId="4325" xr:uid="{00000000-0005-0000-0000-000073140000}"/>
    <cellStyle name="Normal 4 3 3 2 2 5 2 2" xfId="8548" xr:uid="{00000000-0005-0000-0000-000074140000}"/>
    <cellStyle name="Normal 4 3 3 2 2 5 3" xfId="6403" xr:uid="{00000000-0005-0000-0000-000075140000}"/>
    <cellStyle name="Normal 4 3 3 2 2 6" xfId="2532" xr:uid="{00000000-0005-0000-0000-000076140000}"/>
    <cellStyle name="Normal 4 3 3 2 2 6 2" xfId="6816" xr:uid="{00000000-0005-0000-0000-000077140000}"/>
    <cellStyle name="Normal 4 3 3 2 2 7" xfId="4751" xr:uid="{00000000-0005-0000-0000-000078140000}"/>
    <cellStyle name="Normal 4 3 3 2 3" xfId="850" xr:uid="{00000000-0005-0000-0000-000079140000}"/>
    <cellStyle name="Normal 4 3 3 2 3 2" xfId="3085" xr:uid="{00000000-0005-0000-0000-00007A140000}"/>
    <cellStyle name="Normal 4 3 3 2 3 2 2" xfId="7308" xr:uid="{00000000-0005-0000-0000-00007B140000}"/>
    <cellStyle name="Normal 4 3 3 2 3 3" xfId="5163" xr:uid="{00000000-0005-0000-0000-00007C140000}"/>
    <cellStyle name="Normal 4 3 3 2 4" xfId="1268" xr:uid="{00000000-0005-0000-0000-00007D140000}"/>
    <cellStyle name="Normal 4 3 3 2 4 2" xfId="3498" xr:uid="{00000000-0005-0000-0000-00007E140000}"/>
    <cellStyle name="Normal 4 3 3 2 4 2 2" xfId="7721" xr:uid="{00000000-0005-0000-0000-00007F140000}"/>
    <cellStyle name="Normal 4 3 3 2 4 3" xfId="5576" xr:uid="{00000000-0005-0000-0000-000080140000}"/>
    <cellStyle name="Normal 4 3 3 2 5" xfId="1681" xr:uid="{00000000-0005-0000-0000-000081140000}"/>
    <cellStyle name="Normal 4 3 3 2 5 2" xfId="3911" xr:uid="{00000000-0005-0000-0000-000082140000}"/>
    <cellStyle name="Normal 4 3 3 2 5 2 2" xfId="8134" xr:uid="{00000000-0005-0000-0000-000083140000}"/>
    <cellStyle name="Normal 4 3 3 2 5 3" xfId="5989" xr:uid="{00000000-0005-0000-0000-000084140000}"/>
    <cellStyle name="Normal 4 3 3 2 6" xfId="2095" xr:uid="{00000000-0005-0000-0000-000085140000}"/>
    <cellStyle name="Normal 4 3 3 2 6 2" xfId="4324" xr:uid="{00000000-0005-0000-0000-000086140000}"/>
    <cellStyle name="Normal 4 3 3 2 6 2 2" xfId="8547" xr:uid="{00000000-0005-0000-0000-000087140000}"/>
    <cellStyle name="Normal 4 3 3 2 6 3" xfId="6402" xr:uid="{00000000-0005-0000-0000-000088140000}"/>
    <cellStyle name="Normal 4 3 3 2 7" xfId="2531" xr:uid="{00000000-0005-0000-0000-000089140000}"/>
    <cellStyle name="Normal 4 3 3 2 7 2" xfId="6815" xr:uid="{00000000-0005-0000-0000-00008A140000}"/>
    <cellStyle name="Normal 4 3 3 2 8" xfId="4750" xr:uid="{00000000-0005-0000-0000-00008B140000}"/>
    <cellStyle name="Normal 4 3 3 3" xfId="377" xr:uid="{00000000-0005-0000-0000-00008C140000}"/>
    <cellStyle name="Normal 4 3 3 3 2" xfId="852" xr:uid="{00000000-0005-0000-0000-00008D140000}"/>
    <cellStyle name="Normal 4 3 3 3 2 2" xfId="3087" xr:uid="{00000000-0005-0000-0000-00008E140000}"/>
    <cellStyle name="Normal 4 3 3 3 2 2 2" xfId="7310" xr:uid="{00000000-0005-0000-0000-00008F140000}"/>
    <cellStyle name="Normal 4 3 3 3 2 3" xfId="5165" xr:uid="{00000000-0005-0000-0000-000090140000}"/>
    <cellStyle name="Normal 4 3 3 3 3" xfId="1270" xr:uid="{00000000-0005-0000-0000-000091140000}"/>
    <cellStyle name="Normal 4 3 3 3 3 2" xfId="3500" xr:uid="{00000000-0005-0000-0000-000092140000}"/>
    <cellStyle name="Normal 4 3 3 3 3 2 2" xfId="7723" xr:uid="{00000000-0005-0000-0000-000093140000}"/>
    <cellStyle name="Normal 4 3 3 3 3 3" xfId="5578" xr:uid="{00000000-0005-0000-0000-000094140000}"/>
    <cellStyle name="Normal 4 3 3 3 4" xfId="1683" xr:uid="{00000000-0005-0000-0000-000095140000}"/>
    <cellStyle name="Normal 4 3 3 3 4 2" xfId="3913" xr:uid="{00000000-0005-0000-0000-000096140000}"/>
    <cellStyle name="Normal 4 3 3 3 4 2 2" xfId="8136" xr:uid="{00000000-0005-0000-0000-000097140000}"/>
    <cellStyle name="Normal 4 3 3 3 4 3" xfId="5991" xr:uid="{00000000-0005-0000-0000-000098140000}"/>
    <cellStyle name="Normal 4 3 3 3 5" xfId="2097" xr:uid="{00000000-0005-0000-0000-000099140000}"/>
    <cellStyle name="Normal 4 3 3 3 5 2" xfId="4326" xr:uid="{00000000-0005-0000-0000-00009A140000}"/>
    <cellStyle name="Normal 4 3 3 3 5 2 2" xfId="8549" xr:uid="{00000000-0005-0000-0000-00009B140000}"/>
    <cellStyle name="Normal 4 3 3 3 5 3" xfId="6404" xr:uid="{00000000-0005-0000-0000-00009C140000}"/>
    <cellStyle name="Normal 4 3 3 3 6" xfId="2533" xr:uid="{00000000-0005-0000-0000-00009D140000}"/>
    <cellStyle name="Normal 4 3 3 3 6 2" xfId="6817" xr:uid="{00000000-0005-0000-0000-00009E140000}"/>
    <cellStyle name="Normal 4 3 3 3 7" xfId="4752" xr:uid="{00000000-0005-0000-0000-00009F140000}"/>
    <cellStyle name="Normal 4 3 3 4" xfId="849" xr:uid="{00000000-0005-0000-0000-0000A0140000}"/>
    <cellStyle name="Normal 4 3 3 4 2" xfId="3084" xr:uid="{00000000-0005-0000-0000-0000A1140000}"/>
    <cellStyle name="Normal 4 3 3 4 2 2" xfId="7307" xr:uid="{00000000-0005-0000-0000-0000A2140000}"/>
    <cellStyle name="Normal 4 3 3 4 3" xfId="5162" xr:uid="{00000000-0005-0000-0000-0000A3140000}"/>
    <cellStyle name="Normal 4 3 3 5" xfId="1267" xr:uid="{00000000-0005-0000-0000-0000A4140000}"/>
    <cellStyle name="Normal 4 3 3 5 2" xfId="3497" xr:uid="{00000000-0005-0000-0000-0000A5140000}"/>
    <cellStyle name="Normal 4 3 3 5 2 2" xfId="7720" xr:uid="{00000000-0005-0000-0000-0000A6140000}"/>
    <cellStyle name="Normal 4 3 3 5 3" xfId="5575" xr:uid="{00000000-0005-0000-0000-0000A7140000}"/>
    <cellStyle name="Normal 4 3 3 6" xfId="1680" xr:uid="{00000000-0005-0000-0000-0000A8140000}"/>
    <cellStyle name="Normal 4 3 3 6 2" xfId="3910" xr:uid="{00000000-0005-0000-0000-0000A9140000}"/>
    <cellStyle name="Normal 4 3 3 6 2 2" xfId="8133" xr:uid="{00000000-0005-0000-0000-0000AA140000}"/>
    <cellStyle name="Normal 4 3 3 6 3" xfId="5988" xr:uid="{00000000-0005-0000-0000-0000AB140000}"/>
    <cellStyle name="Normal 4 3 3 7" xfId="2094" xr:uid="{00000000-0005-0000-0000-0000AC140000}"/>
    <cellStyle name="Normal 4 3 3 7 2" xfId="4323" xr:uid="{00000000-0005-0000-0000-0000AD140000}"/>
    <cellStyle name="Normal 4 3 3 7 2 2" xfId="8546" xr:uid="{00000000-0005-0000-0000-0000AE140000}"/>
    <cellStyle name="Normal 4 3 3 7 3" xfId="6401" xr:uid="{00000000-0005-0000-0000-0000AF140000}"/>
    <cellStyle name="Normal 4 3 3 8" xfId="2530" xr:uid="{00000000-0005-0000-0000-0000B0140000}"/>
    <cellStyle name="Normal 4 3 3 8 2" xfId="6814" xr:uid="{00000000-0005-0000-0000-0000B1140000}"/>
    <cellStyle name="Normal 4 3 3 9" xfId="4749" xr:uid="{00000000-0005-0000-0000-0000B2140000}"/>
    <cellStyle name="Normal 4 3 4" xfId="842" xr:uid="{00000000-0005-0000-0000-0000B3140000}"/>
    <cellStyle name="Normal 4 3 4 2" xfId="3079" xr:uid="{00000000-0005-0000-0000-0000B4140000}"/>
    <cellStyle name="Normal 4 3 4 2 2" xfId="7302" xr:uid="{00000000-0005-0000-0000-0000B5140000}"/>
    <cellStyle name="Normal 4 3 4 3" xfId="5157" xr:uid="{00000000-0005-0000-0000-0000B6140000}"/>
    <cellStyle name="Normal 4 3 5" xfId="1262" xr:uid="{00000000-0005-0000-0000-0000B7140000}"/>
    <cellStyle name="Normal 4 3 5 2" xfId="3492" xr:uid="{00000000-0005-0000-0000-0000B8140000}"/>
    <cellStyle name="Normal 4 3 5 2 2" xfId="7715" xr:uid="{00000000-0005-0000-0000-0000B9140000}"/>
    <cellStyle name="Normal 4 3 5 3" xfId="5570" xr:uid="{00000000-0005-0000-0000-0000BA140000}"/>
    <cellStyle name="Normal 4 3 6" xfId="1675" xr:uid="{00000000-0005-0000-0000-0000BB140000}"/>
    <cellStyle name="Normal 4 3 6 2" xfId="3905" xr:uid="{00000000-0005-0000-0000-0000BC140000}"/>
    <cellStyle name="Normal 4 3 6 2 2" xfId="8128" xr:uid="{00000000-0005-0000-0000-0000BD140000}"/>
    <cellStyle name="Normal 4 3 6 3" xfId="5983" xr:uid="{00000000-0005-0000-0000-0000BE140000}"/>
    <cellStyle name="Normal 4 3 7" xfId="2089" xr:uid="{00000000-0005-0000-0000-0000BF140000}"/>
    <cellStyle name="Normal 4 3 7 2" xfId="4318" xr:uid="{00000000-0005-0000-0000-0000C0140000}"/>
    <cellStyle name="Normal 4 3 7 2 2" xfId="8541" xr:uid="{00000000-0005-0000-0000-0000C1140000}"/>
    <cellStyle name="Normal 4 3 7 3" xfId="6396" xr:uid="{00000000-0005-0000-0000-0000C2140000}"/>
    <cellStyle name="Normal 4 3 8" xfId="2525" xr:uid="{00000000-0005-0000-0000-0000C3140000}"/>
    <cellStyle name="Normal 4 3 8 2" xfId="6809" xr:uid="{00000000-0005-0000-0000-0000C4140000}"/>
    <cellStyle name="Normal 4 3 9" xfId="4744" xr:uid="{00000000-0005-0000-0000-0000C5140000}"/>
    <cellStyle name="Normal 4 4" xfId="378" xr:uid="{00000000-0005-0000-0000-0000C6140000}"/>
    <cellStyle name="Normal 4 4 10" xfId="2534" xr:uid="{00000000-0005-0000-0000-0000C7140000}"/>
    <cellStyle name="Normal 4 4 10 2" xfId="6818" xr:uid="{00000000-0005-0000-0000-0000C8140000}"/>
    <cellStyle name="Normal 4 4 11" xfId="4753" xr:uid="{00000000-0005-0000-0000-0000C9140000}"/>
    <cellStyle name="Normal 4 4 2" xfId="379" xr:uid="{00000000-0005-0000-0000-0000CA140000}"/>
    <cellStyle name="Normal 4 4 2 10" xfId="4754" xr:uid="{00000000-0005-0000-0000-0000CB140000}"/>
    <cellStyle name="Normal 4 4 2 2" xfId="380" xr:uid="{00000000-0005-0000-0000-0000CC140000}"/>
    <cellStyle name="Normal 4 4 2 2 2" xfId="381" xr:uid="{00000000-0005-0000-0000-0000CD140000}"/>
    <cellStyle name="Normal 4 4 2 2 2 2" xfId="382" xr:uid="{00000000-0005-0000-0000-0000CE140000}"/>
    <cellStyle name="Normal 4 4 2 2 2 2 2" xfId="857" xr:uid="{00000000-0005-0000-0000-0000CF140000}"/>
    <cellStyle name="Normal 4 4 2 2 2 2 2 2" xfId="3092" xr:uid="{00000000-0005-0000-0000-0000D0140000}"/>
    <cellStyle name="Normal 4 4 2 2 2 2 2 2 2" xfId="7315" xr:uid="{00000000-0005-0000-0000-0000D1140000}"/>
    <cellStyle name="Normal 4 4 2 2 2 2 2 3" xfId="5170" xr:uid="{00000000-0005-0000-0000-0000D2140000}"/>
    <cellStyle name="Normal 4 4 2 2 2 2 3" xfId="1275" xr:uid="{00000000-0005-0000-0000-0000D3140000}"/>
    <cellStyle name="Normal 4 4 2 2 2 2 3 2" xfId="3505" xr:uid="{00000000-0005-0000-0000-0000D4140000}"/>
    <cellStyle name="Normal 4 4 2 2 2 2 3 2 2" xfId="7728" xr:uid="{00000000-0005-0000-0000-0000D5140000}"/>
    <cellStyle name="Normal 4 4 2 2 2 2 3 3" xfId="5583" xr:uid="{00000000-0005-0000-0000-0000D6140000}"/>
    <cellStyle name="Normal 4 4 2 2 2 2 4" xfId="1688" xr:uid="{00000000-0005-0000-0000-0000D7140000}"/>
    <cellStyle name="Normal 4 4 2 2 2 2 4 2" xfId="3918" xr:uid="{00000000-0005-0000-0000-0000D8140000}"/>
    <cellStyle name="Normal 4 4 2 2 2 2 4 2 2" xfId="8141" xr:uid="{00000000-0005-0000-0000-0000D9140000}"/>
    <cellStyle name="Normal 4 4 2 2 2 2 4 3" xfId="5996" xr:uid="{00000000-0005-0000-0000-0000DA140000}"/>
    <cellStyle name="Normal 4 4 2 2 2 2 5" xfId="2102" xr:uid="{00000000-0005-0000-0000-0000DB140000}"/>
    <cellStyle name="Normal 4 4 2 2 2 2 5 2" xfId="4331" xr:uid="{00000000-0005-0000-0000-0000DC140000}"/>
    <cellStyle name="Normal 4 4 2 2 2 2 5 2 2" xfId="8554" xr:uid="{00000000-0005-0000-0000-0000DD140000}"/>
    <cellStyle name="Normal 4 4 2 2 2 2 5 3" xfId="6409" xr:uid="{00000000-0005-0000-0000-0000DE140000}"/>
    <cellStyle name="Normal 4 4 2 2 2 2 6" xfId="2538" xr:uid="{00000000-0005-0000-0000-0000DF140000}"/>
    <cellStyle name="Normal 4 4 2 2 2 2 6 2" xfId="6822" xr:uid="{00000000-0005-0000-0000-0000E0140000}"/>
    <cellStyle name="Normal 4 4 2 2 2 2 7" xfId="4757" xr:uid="{00000000-0005-0000-0000-0000E1140000}"/>
    <cellStyle name="Normal 4 4 2 2 2 3" xfId="856" xr:uid="{00000000-0005-0000-0000-0000E2140000}"/>
    <cellStyle name="Normal 4 4 2 2 2 3 2" xfId="3091" xr:uid="{00000000-0005-0000-0000-0000E3140000}"/>
    <cellStyle name="Normal 4 4 2 2 2 3 2 2" xfId="7314" xr:uid="{00000000-0005-0000-0000-0000E4140000}"/>
    <cellStyle name="Normal 4 4 2 2 2 3 3" xfId="5169" xr:uid="{00000000-0005-0000-0000-0000E5140000}"/>
    <cellStyle name="Normal 4 4 2 2 2 4" xfId="1274" xr:uid="{00000000-0005-0000-0000-0000E6140000}"/>
    <cellStyle name="Normal 4 4 2 2 2 4 2" xfId="3504" xr:uid="{00000000-0005-0000-0000-0000E7140000}"/>
    <cellStyle name="Normal 4 4 2 2 2 4 2 2" xfId="7727" xr:uid="{00000000-0005-0000-0000-0000E8140000}"/>
    <cellStyle name="Normal 4 4 2 2 2 4 3" xfId="5582" xr:uid="{00000000-0005-0000-0000-0000E9140000}"/>
    <cellStyle name="Normal 4 4 2 2 2 5" xfId="1687" xr:uid="{00000000-0005-0000-0000-0000EA140000}"/>
    <cellStyle name="Normal 4 4 2 2 2 5 2" xfId="3917" xr:uid="{00000000-0005-0000-0000-0000EB140000}"/>
    <cellStyle name="Normal 4 4 2 2 2 5 2 2" xfId="8140" xr:uid="{00000000-0005-0000-0000-0000EC140000}"/>
    <cellStyle name="Normal 4 4 2 2 2 5 3" xfId="5995" xr:uid="{00000000-0005-0000-0000-0000ED140000}"/>
    <cellStyle name="Normal 4 4 2 2 2 6" xfId="2101" xr:uid="{00000000-0005-0000-0000-0000EE140000}"/>
    <cellStyle name="Normal 4 4 2 2 2 6 2" xfId="4330" xr:uid="{00000000-0005-0000-0000-0000EF140000}"/>
    <cellStyle name="Normal 4 4 2 2 2 6 2 2" xfId="8553" xr:uid="{00000000-0005-0000-0000-0000F0140000}"/>
    <cellStyle name="Normal 4 4 2 2 2 6 3" xfId="6408" xr:uid="{00000000-0005-0000-0000-0000F1140000}"/>
    <cellStyle name="Normal 4 4 2 2 2 7" xfId="2537" xr:uid="{00000000-0005-0000-0000-0000F2140000}"/>
    <cellStyle name="Normal 4 4 2 2 2 7 2" xfId="6821" xr:uid="{00000000-0005-0000-0000-0000F3140000}"/>
    <cellStyle name="Normal 4 4 2 2 2 8" xfId="4756" xr:uid="{00000000-0005-0000-0000-0000F4140000}"/>
    <cellStyle name="Normal 4 4 2 2 3" xfId="383" xr:uid="{00000000-0005-0000-0000-0000F5140000}"/>
    <cellStyle name="Normal 4 4 2 2 3 2" xfId="858" xr:uid="{00000000-0005-0000-0000-0000F6140000}"/>
    <cellStyle name="Normal 4 4 2 2 3 2 2" xfId="3093" xr:uid="{00000000-0005-0000-0000-0000F7140000}"/>
    <cellStyle name="Normal 4 4 2 2 3 2 2 2" xfId="7316" xr:uid="{00000000-0005-0000-0000-0000F8140000}"/>
    <cellStyle name="Normal 4 4 2 2 3 2 3" xfId="5171" xr:uid="{00000000-0005-0000-0000-0000F9140000}"/>
    <cellStyle name="Normal 4 4 2 2 3 3" xfId="1276" xr:uid="{00000000-0005-0000-0000-0000FA140000}"/>
    <cellStyle name="Normal 4 4 2 2 3 3 2" xfId="3506" xr:uid="{00000000-0005-0000-0000-0000FB140000}"/>
    <cellStyle name="Normal 4 4 2 2 3 3 2 2" xfId="7729" xr:uid="{00000000-0005-0000-0000-0000FC140000}"/>
    <cellStyle name="Normal 4 4 2 2 3 3 3" xfId="5584" xr:uid="{00000000-0005-0000-0000-0000FD140000}"/>
    <cellStyle name="Normal 4 4 2 2 3 4" xfId="1689" xr:uid="{00000000-0005-0000-0000-0000FE140000}"/>
    <cellStyle name="Normal 4 4 2 2 3 4 2" xfId="3919" xr:uid="{00000000-0005-0000-0000-0000FF140000}"/>
    <cellStyle name="Normal 4 4 2 2 3 4 2 2" xfId="8142" xr:uid="{00000000-0005-0000-0000-000000150000}"/>
    <cellStyle name="Normal 4 4 2 2 3 4 3" xfId="5997" xr:uid="{00000000-0005-0000-0000-000001150000}"/>
    <cellStyle name="Normal 4 4 2 2 3 5" xfId="2103" xr:uid="{00000000-0005-0000-0000-000002150000}"/>
    <cellStyle name="Normal 4 4 2 2 3 5 2" xfId="4332" xr:uid="{00000000-0005-0000-0000-000003150000}"/>
    <cellStyle name="Normal 4 4 2 2 3 5 2 2" xfId="8555" xr:uid="{00000000-0005-0000-0000-000004150000}"/>
    <cellStyle name="Normal 4 4 2 2 3 5 3" xfId="6410" xr:uid="{00000000-0005-0000-0000-000005150000}"/>
    <cellStyle name="Normal 4 4 2 2 3 6" xfId="2539" xr:uid="{00000000-0005-0000-0000-000006150000}"/>
    <cellStyle name="Normal 4 4 2 2 3 6 2" xfId="6823" xr:uid="{00000000-0005-0000-0000-000007150000}"/>
    <cellStyle name="Normal 4 4 2 2 3 7" xfId="4758" xr:uid="{00000000-0005-0000-0000-000008150000}"/>
    <cellStyle name="Normal 4 4 2 2 4" xfId="855" xr:uid="{00000000-0005-0000-0000-000009150000}"/>
    <cellStyle name="Normal 4 4 2 2 4 2" xfId="3090" xr:uid="{00000000-0005-0000-0000-00000A150000}"/>
    <cellStyle name="Normal 4 4 2 2 4 2 2" xfId="7313" xr:uid="{00000000-0005-0000-0000-00000B150000}"/>
    <cellStyle name="Normal 4 4 2 2 4 3" xfId="5168" xr:uid="{00000000-0005-0000-0000-00000C150000}"/>
    <cellStyle name="Normal 4 4 2 2 5" xfId="1273" xr:uid="{00000000-0005-0000-0000-00000D150000}"/>
    <cellStyle name="Normal 4 4 2 2 5 2" xfId="3503" xr:uid="{00000000-0005-0000-0000-00000E150000}"/>
    <cellStyle name="Normal 4 4 2 2 5 2 2" xfId="7726" xr:uid="{00000000-0005-0000-0000-00000F150000}"/>
    <cellStyle name="Normal 4 4 2 2 5 3" xfId="5581" xr:uid="{00000000-0005-0000-0000-000010150000}"/>
    <cellStyle name="Normal 4 4 2 2 6" xfId="1686" xr:uid="{00000000-0005-0000-0000-000011150000}"/>
    <cellStyle name="Normal 4 4 2 2 6 2" xfId="3916" xr:uid="{00000000-0005-0000-0000-000012150000}"/>
    <cellStyle name="Normal 4 4 2 2 6 2 2" xfId="8139" xr:uid="{00000000-0005-0000-0000-000013150000}"/>
    <cellStyle name="Normal 4 4 2 2 6 3" xfId="5994" xr:uid="{00000000-0005-0000-0000-000014150000}"/>
    <cellStyle name="Normal 4 4 2 2 7" xfId="2100" xr:uid="{00000000-0005-0000-0000-000015150000}"/>
    <cellStyle name="Normal 4 4 2 2 7 2" xfId="4329" xr:uid="{00000000-0005-0000-0000-000016150000}"/>
    <cellStyle name="Normal 4 4 2 2 7 2 2" xfId="8552" xr:uid="{00000000-0005-0000-0000-000017150000}"/>
    <cellStyle name="Normal 4 4 2 2 7 3" xfId="6407" xr:uid="{00000000-0005-0000-0000-000018150000}"/>
    <cellStyle name="Normal 4 4 2 2 8" xfId="2536" xr:uid="{00000000-0005-0000-0000-000019150000}"/>
    <cellStyle name="Normal 4 4 2 2 8 2" xfId="6820" xr:uid="{00000000-0005-0000-0000-00001A150000}"/>
    <cellStyle name="Normal 4 4 2 2 9" xfId="4755" xr:uid="{00000000-0005-0000-0000-00001B150000}"/>
    <cellStyle name="Normal 4 4 2 3" xfId="384" xr:uid="{00000000-0005-0000-0000-00001C150000}"/>
    <cellStyle name="Normal 4 4 2 3 2" xfId="385" xr:uid="{00000000-0005-0000-0000-00001D150000}"/>
    <cellStyle name="Normal 4 4 2 3 2 2" xfId="860" xr:uid="{00000000-0005-0000-0000-00001E150000}"/>
    <cellStyle name="Normal 4 4 2 3 2 2 2" xfId="3095" xr:uid="{00000000-0005-0000-0000-00001F150000}"/>
    <cellStyle name="Normal 4 4 2 3 2 2 2 2" xfId="7318" xr:uid="{00000000-0005-0000-0000-000020150000}"/>
    <cellStyle name="Normal 4 4 2 3 2 2 3" xfId="5173" xr:uid="{00000000-0005-0000-0000-000021150000}"/>
    <cellStyle name="Normal 4 4 2 3 2 3" xfId="1278" xr:uid="{00000000-0005-0000-0000-000022150000}"/>
    <cellStyle name="Normal 4 4 2 3 2 3 2" xfId="3508" xr:uid="{00000000-0005-0000-0000-000023150000}"/>
    <cellStyle name="Normal 4 4 2 3 2 3 2 2" xfId="7731" xr:uid="{00000000-0005-0000-0000-000024150000}"/>
    <cellStyle name="Normal 4 4 2 3 2 3 3" xfId="5586" xr:uid="{00000000-0005-0000-0000-000025150000}"/>
    <cellStyle name="Normal 4 4 2 3 2 4" xfId="1691" xr:uid="{00000000-0005-0000-0000-000026150000}"/>
    <cellStyle name="Normal 4 4 2 3 2 4 2" xfId="3921" xr:uid="{00000000-0005-0000-0000-000027150000}"/>
    <cellStyle name="Normal 4 4 2 3 2 4 2 2" xfId="8144" xr:uid="{00000000-0005-0000-0000-000028150000}"/>
    <cellStyle name="Normal 4 4 2 3 2 4 3" xfId="5999" xr:uid="{00000000-0005-0000-0000-000029150000}"/>
    <cellStyle name="Normal 4 4 2 3 2 5" xfId="2105" xr:uid="{00000000-0005-0000-0000-00002A150000}"/>
    <cellStyle name="Normal 4 4 2 3 2 5 2" xfId="4334" xr:uid="{00000000-0005-0000-0000-00002B150000}"/>
    <cellStyle name="Normal 4 4 2 3 2 5 2 2" xfId="8557" xr:uid="{00000000-0005-0000-0000-00002C150000}"/>
    <cellStyle name="Normal 4 4 2 3 2 5 3" xfId="6412" xr:uid="{00000000-0005-0000-0000-00002D150000}"/>
    <cellStyle name="Normal 4 4 2 3 2 6" xfId="2541" xr:uid="{00000000-0005-0000-0000-00002E150000}"/>
    <cellStyle name="Normal 4 4 2 3 2 6 2" xfId="6825" xr:uid="{00000000-0005-0000-0000-00002F150000}"/>
    <cellStyle name="Normal 4 4 2 3 2 7" xfId="4760" xr:uid="{00000000-0005-0000-0000-000030150000}"/>
    <cellStyle name="Normal 4 4 2 3 3" xfId="859" xr:uid="{00000000-0005-0000-0000-000031150000}"/>
    <cellStyle name="Normal 4 4 2 3 3 2" xfId="3094" xr:uid="{00000000-0005-0000-0000-000032150000}"/>
    <cellStyle name="Normal 4 4 2 3 3 2 2" xfId="7317" xr:uid="{00000000-0005-0000-0000-000033150000}"/>
    <cellStyle name="Normal 4 4 2 3 3 3" xfId="5172" xr:uid="{00000000-0005-0000-0000-000034150000}"/>
    <cellStyle name="Normal 4 4 2 3 4" xfId="1277" xr:uid="{00000000-0005-0000-0000-000035150000}"/>
    <cellStyle name="Normal 4 4 2 3 4 2" xfId="3507" xr:uid="{00000000-0005-0000-0000-000036150000}"/>
    <cellStyle name="Normal 4 4 2 3 4 2 2" xfId="7730" xr:uid="{00000000-0005-0000-0000-000037150000}"/>
    <cellStyle name="Normal 4 4 2 3 4 3" xfId="5585" xr:uid="{00000000-0005-0000-0000-000038150000}"/>
    <cellStyle name="Normal 4 4 2 3 5" xfId="1690" xr:uid="{00000000-0005-0000-0000-000039150000}"/>
    <cellStyle name="Normal 4 4 2 3 5 2" xfId="3920" xr:uid="{00000000-0005-0000-0000-00003A150000}"/>
    <cellStyle name="Normal 4 4 2 3 5 2 2" xfId="8143" xr:uid="{00000000-0005-0000-0000-00003B150000}"/>
    <cellStyle name="Normal 4 4 2 3 5 3" xfId="5998" xr:uid="{00000000-0005-0000-0000-00003C150000}"/>
    <cellStyle name="Normal 4 4 2 3 6" xfId="2104" xr:uid="{00000000-0005-0000-0000-00003D150000}"/>
    <cellStyle name="Normal 4 4 2 3 6 2" xfId="4333" xr:uid="{00000000-0005-0000-0000-00003E150000}"/>
    <cellStyle name="Normal 4 4 2 3 6 2 2" xfId="8556" xr:uid="{00000000-0005-0000-0000-00003F150000}"/>
    <cellStyle name="Normal 4 4 2 3 6 3" xfId="6411" xr:uid="{00000000-0005-0000-0000-000040150000}"/>
    <cellStyle name="Normal 4 4 2 3 7" xfId="2540" xr:uid="{00000000-0005-0000-0000-000041150000}"/>
    <cellStyle name="Normal 4 4 2 3 7 2" xfId="6824" xr:uid="{00000000-0005-0000-0000-000042150000}"/>
    <cellStyle name="Normal 4 4 2 3 8" xfId="4759" xr:uid="{00000000-0005-0000-0000-000043150000}"/>
    <cellStyle name="Normal 4 4 2 4" xfId="386" xr:uid="{00000000-0005-0000-0000-000044150000}"/>
    <cellStyle name="Normal 4 4 2 4 2" xfId="861" xr:uid="{00000000-0005-0000-0000-000045150000}"/>
    <cellStyle name="Normal 4 4 2 4 2 2" xfId="3096" xr:uid="{00000000-0005-0000-0000-000046150000}"/>
    <cellStyle name="Normal 4 4 2 4 2 2 2" xfId="7319" xr:uid="{00000000-0005-0000-0000-000047150000}"/>
    <cellStyle name="Normal 4 4 2 4 2 3" xfId="5174" xr:uid="{00000000-0005-0000-0000-000048150000}"/>
    <cellStyle name="Normal 4 4 2 4 3" xfId="1279" xr:uid="{00000000-0005-0000-0000-000049150000}"/>
    <cellStyle name="Normal 4 4 2 4 3 2" xfId="3509" xr:uid="{00000000-0005-0000-0000-00004A150000}"/>
    <cellStyle name="Normal 4 4 2 4 3 2 2" xfId="7732" xr:uid="{00000000-0005-0000-0000-00004B150000}"/>
    <cellStyle name="Normal 4 4 2 4 3 3" xfId="5587" xr:uid="{00000000-0005-0000-0000-00004C150000}"/>
    <cellStyle name="Normal 4 4 2 4 4" xfId="1692" xr:uid="{00000000-0005-0000-0000-00004D150000}"/>
    <cellStyle name="Normal 4 4 2 4 4 2" xfId="3922" xr:uid="{00000000-0005-0000-0000-00004E150000}"/>
    <cellStyle name="Normal 4 4 2 4 4 2 2" xfId="8145" xr:uid="{00000000-0005-0000-0000-00004F150000}"/>
    <cellStyle name="Normal 4 4 2 4 4 3" xfId="6000" xr:uid="{00000000-0005-0000-0000-000050150000}"/>
    <cellStyle name="Normal 4 4 2 4 5" xfId="2106" xr:uid="{00000000-0005-0000-0000-000051150000}"/>
    <cellStyle name="Normal 4 4 2 4 5 2" xfId="4335" xr:uid="{00000000-0005-0000-0000-000052150000}"/>
    <cellStyle name="Normal 4 4 2 4 5 2 2" xfId="8558" xr:uid="{00000000-0005-0000-0000-000053150000}"/>
    <cellStyle name="Normal 4 4 2 4 5 3" xfId="6413" xr:uid="{00000000-0005-0000-0000-000054150000}"/>
    <cellStyle name="Normal 4 4 2 4 6" xfId="2542" xr:uid="{00000000-0005-0000-0000-000055150000}"/>
    <cellStyle name="Normal 4 4 2 4 6 2" xfId="6826" xr:uid="{00000000-0005-0000-0000-000056150000}"/>
    <cellStyle name="Normal 4 4 2 4 7" xfId="4761" xr:uid="{00000000-0005-0000-0000-000057150000}"/>
    <cellStyle name="Normal 4 4 2 5" xfId="854" xr:uid="{00000000-0005-0000-0000-000058150000}"/>
    <cellStyle name="Normal 4 4 2 5 2" xfId="3089" xr:uid="{00000000-0005-0000-0000-000059150000}"/>
    <cellStyle name="Normal 4 4 2 5 2 2" xfId="7312" xr:uid="{00000000-0005-0000-0000-00005A150000}"/>
    <cellStyle name="Normal 4 4 2 5 3" xfId="5167" xr:uid="{00000000-0005-0000-0000-00005B150000}"/>
    <cellStyle name="Normal 4 4 2 6" xfId="1272" xr:uid="{00000000-0005-0000-0000-00005C150000}"/>
    <cellStyle name="Normal 4 4 2 6 2" xfId="3502" xr:uid="{00000000-0005-0000-0000-00005D150000}"/>
    <cellStyle name="Normal 4 4 2 6 2 2" xfId="7725" xr:uid="{00000000-0005-0000-0000-00005E150000}"/>
    <cellStyle name="Normal 4 4 2 6 3" xfId="5580" xr:uid="{00000000-0005-0000-0000-00005F150000}"/>
    <cellStyle name="Normal 4 4 2 7" xfId="1685" xr:uid="{00000000-0005-0000-0000-000060150000}"/>
    <cellStyle name="Normal 4 4 2 7 2" xfId="3915" xr:uid="{00000000-0005-0000-0000-000061150000}"/>
    <cellStyle name="Normal 4 4 2 7 2 2" xfId="8138" xr:uid="{00000000-0005-0000-0000-000062150000}"/>
    <cellStyle name="Normal 4 4 2 7 3" xfId="5993" xr:uid="{00000000-0005-0000-0000-000063150000}"/>
    <cellStyle name="Normal 4 4 2 8" xfId="2099" xr:uid="{00000000-0005-0000-0000-000064150000}"/>
    <cellStyle name="Normal 4 4 2 8 2" xfId="4328" xr:uid="{00000000-0005-0000-0000-000065150000}"/>
    <cellStyle name="Normal 4 4 2 8 2 2" xfId="8551" xr:uid="{00000000-0005-0000-0000-000066150000}"/>
    <cellStyle name="Normal 4 4 2 8 3" xfId="6406" xr:uid="{00000000-0005-0000-0000-000067150000}"/>
    <cellStyle name="Normal 4 4 2 9" xfId="2535" xr:uid="{00000000-0005-0000-0000-000068150000}"/>
    <cellStyle name="Normal 4 4 2 9 2" xfId="6819" xr:uid="{00000000-0005-0000-0000-000069150000}"/>
    <cellStyle name="Normal 4 4 3" xfId="387" xr:uid="{00000000-0005-0000-0000-00006A150000}"/>
    <cellStyle name="Normal 4 4 3 2" xfId="388" xr:uid="{00000000-0005-0000-0000-00006B150000}"/>
    <cellStyle name="Normal 4 4 3 2 2" xfId="389" xr:uid="{00000000-0005-0000-0000-00006C150000}"/>
    <cellStyle name="Normal 4 4 3 2 2 2" xfId="864" xr:uid="{00000000-0005-0000-0000-00006D150000}"/>
    <cellStyle name="Normal 4 4 3 2 2 2 2" xfId="3099" xr:uid="{00000000-0005-0000-0000-00006E150000}"/>
    <cellStyle name="Normal 4 4 3 2 2 2 2 2" xfId="7322" xr:uid="{00000000-0005-0000-0000-00006F150000}"/>
    <cellStyle name="Normal 4 4 3 2 2 2 3" xfId="5177" xr:uid="{00000000-0005-0000-0000-000070150000}"/>
    <cellStyle name="Normal 4 4 3 2 2 3" xfId="1282" xr:uid="{00000000-0005-0000-0000-000071150000}"/>
    <cellStyle name="Normal 4 4 3 2 2 3 2" xfId="3512" xr:uid="{00000000-0005-0000-0000-000072150000}"/>
    <cellStyle name="Normal 4 4 3 2 2 3 2 2" xfId="7735" xr:uid="{00000000-0005-0000-0000-000073150000}"/>
    <cellStyle name="Normal 4 4 3 2 2 3 3" xfId="5590" xr:uid="{00000000-0005-0000-0000-000074150000}"/>
    <cellStyle name="Normal 4 4 3 2 2 4" xfId="1695" xr:uid="{00000000-0005-0000-0000-000075150000}"/>
    <cellStyle name="Normal 4 4 3 2 2 4 2" xfId="3925" xr:uid="{00000000-0005-0000-0000-000076150000}"/>
    <cellStyle name="Normal 4 4 3 2 2 4 2 2" xfId="8148" xr:uid="{00000000-0005-0000-0000-000077150000}"/>
    <cellStyle name="Normal 4 4 3 2 2 4 3" xfId="6003" xr:uid="{00000000-0005-0000-0000-000078150000}"/>
    <cellStyle name="Normal 4 4 3 2 2 5" xfId="2109" xr:uid="{00000000-0005-0000-0000-000079150000}"/>
    <cellStyle name="Normal 4 4 3 2 2 5 2" xfId="4338" xr:uid="{00000000-0005-0000-0000-00007A150000}"/>
    <cellStyle name="Normal 4 4 3 2 2 5 2 2" xfId="8561" xr:uid="{00000000-0005-0000-0000-00007B150000}"/>
    <cellStyle name="Normal 4 4 3 2 2 5 3" xfId="6416" xr:uid="{00000000-0005-0000-0000-00007C150000}"/>
    <cellStyle name="Normal 4 4 3 2 2 6" xfId="2545" xr:uid="{00000000-0005-0000-0000-00007D150000}"/>
    <cellStyle name="Normal 4 4 3 2 2 6 2" xfId="6829" xr:uid="{00000000-0005-0000-0000-00007E150000}"/>
    <cellStyle name="Normal 4 4 3 2 2 7" xfId="4764" xr:uid="{00000000-0005-0000-0000-00007F150000}"/>
    <cellStyle name="Normal 4 4 3 2 3" xfId="863" xr:uid="{00000000-0005-0000-0000-000080150000}"/>
    <cellStyle name="Normal 4 4 3 2 3 2" xfId="3098" xr:uid="{00000000-0005-0000-0000-000081150000}"/>
    <cellStyle name="Normal 4 4 3 2 3 2 2" xfId="7321" xr:uid="{00000000-0005-0000-0000-000082150000}"/>
    <cellStyle name="Normal 4 4 3 2 3 3" xfId="5176" xr:uid="{00000000-0005-0000-0000-000083150000}"/>
    <cellStyle name="Normal 4 4 3 2 4" xfId="1281" xr:uid="{00000000-0005-0000-0000-000084150000}"/>
    <cellStyle name="Normal 4 4 3 2 4 2" xfId="3511" xr:uid="{00000000-0005-0000-0000-000085150000}"/>
    <cellStyle name="Normal 4 4 3 2 4 2 2" xfId="7734" xr:uid="{00000000-0005-0000-0000-000086150000}"/>
    <cellStyle name="Normal 4 4 3 2 4 3" xfId="5589" xr:uid="{00000000-0005-0000-0000-000087150000}"/>
    <cellStyle name="Normal 4 4 3 2 5" xfId="1694" xr:uid="{00000000-0005-0000-0000-000088150000}"/>
    <cellStyle name="Normal 4 4 3 2 5 2" xfId="3924" xr:uid="{00000000-0005-0000-0000-000089150000}"/>
    <cellStyle name="Normal 4 4 3 2 5 2 2" xfId="8147" xr:uid="{00000000-0005-0000-0000-00008A150000}"/>
    <cellStyle name="Normal 4 4 3 2 5 3" xfId="6002" xr:uid="{00000000-0005-0000-0000-00008B150000}"/>
    <cellStyle name="Normal 4 4 3 2 6" xfId="2108" xr:uid="{00000000-0005-0000-0000-00008C150000}"/>
    <cellStyle name="Normal 4 4 3 2 6 2" xfId="4337" xr:uid="{00000000-0005-0000-0000-00008D150000}"/>
    <cellStyle name="Normal 4 4 3 2 6 2 2" xfId="8560" xr:uid="{00000000-0005-0000-0000-00008E150000}"/>
    <cellStyle name="Normal 4 4 3 2 6 3" xfId="6415" xr:uid="{00000000-0005-0000-0000-00008F150000}"/>
    <cellStyle name="Normal 4 4 3 2 7" xfId="2544" xr:uid="{00000000-0005-0000-0000-000090150000}"/>
    <cellStyle name="Normal 4 4 3 2 7 2" xfId="6828" xr:uid="{00000000-0005-0000-0000-000091150000}"/>
    <cellStyle name="Normal 4 4 3 2 8" xfId="4763" xr:uid="{00000000-0005-0000-0000-000092150000}"/>
    <cellStyle name="Normal 4 4 3 3" xfId="390" xr:uid="{00000000-0005-0000-0000-000093150000}"/>
    <cellStyle name="Normal 4 4 3 3 2" xfId="865" xr:uid="{00000000-0005-0000-0000-000094150000}"/>
    <cellStyle name="Normal 4 4 3 3 2 2" xfId="3100" xr:uid="{00000000-0005-0000-0000-000095150000}"/>
    <cellStyle name="Normal 4 4 3 3 2 2 2" xfId="7323" xr:uid="{00000000-0005-0000-0000-000096150000}"/>
    <cellStyle name="Normal 4 4 3 3 2 3" xfId="5178" xr:uid="{00000000-0005-0000-0000-000097150000}"/>
    <cellStyle name="Normal 4 4 3 3 3" xfId="1283" xr:uid="{00000000-0005-0000-0000-000098150000}"/>
    <cellStyle name="Normal 4 4 3 3 3 2" xfId="3513" xr:uid="{00000000-0005-0000-0000-000099150000}"/>
    <cellStyle name="Normal 4 4 3 3 3 2 2" xfId="7736" xr:uid="{00000000-0005-0000-0000-00009A150000}"/>
    <cellStyle name="Normal 4 4 3 3 3 3" xfId="5591" xr:uid="{00000000-0005-0000-0000-00009B150000}"/>
    <cellStyle name="Normal 4 4 3 3 4" xfId="1696" xr:uid="{00000000-0005-0000-0000-00009C150000}"/>
    <cellStyle name="Normal 4 4 3 3 4 2" xfId="3926" xr:uid="{00000000-0005-0000-0000-00009D150000}"/>
    <cellStyle name="Normal 4 4 3 3 4 2 2" xfId="8149" xr:uid="{00000000-0005-0000-0000-00009E150000}"/>
    <cellStyle name="Normal 4 4 3 3 4 3" xfId="6004" xr:uid="{00000000-0005-0000-0000-00009F150000}"/>
    <cellStyle name="Normal 4 4 3 3 5" xfId="2110" xr:uid="{00000000-0005-0000-0000-0000A0150000}"/>
    <cellStyle name="Normal 4 4 3 3 5 2" xfId="4339" xr:uid="{00000000-0005-0000-0000-0000A1150000}"/>
    <cellStyle name="Normal 4 4 3 3 5 2 2" xfId="8562" xr:uid="{00000000-0005-0000-0000-0000A2150000}"/>
    <cellStyle name="Normal 4 4 3 3 5 3" xfId="6417" xr:uid="{00000000-0005-0000-0000-0000A3150000}"/>
    <cellStyle name="Normal 4 4 3 3 6" xfId="2546" xr:uid="{00000000-0005-0000-0000-0000A4150000}"/>
    <cellStyle name="Normal 4 4 3 3 6 2" xfId="6830" xr:uid="{00000000-0005-0000-0000-0000A5150000}"/>
    <cellStyle name="Normal 4 4 3 3 7" xfId="4765" xr:uid="{00000000-0005-0000-0000-0000A6150000}"/>
    <cellStyle name="Normal 4 4 3 4" xfId="862" xr:uid="{00000000-0005-0000-0000-0000A7150000}"/>
    <cellStyle name="Normal 4 4 3 4 2" xfId="3097" xr:uid="{00000000-0005-0000-0000-0000A8150000}"/>
    <cellStyle name="Normal 4 4 3 4 2 2" xfId="7320" xr:uid="{00000000-0005-0000-0000-0000A9150000}"/>
    <cellStyle name="Normal 4 4 3 4 3" xfId="5175" xr:uid="{00000000-0005-0000-0000-0000AA150000}"/>
    <cellStyle name="Normal 4 4 3 5" xfId="1280" xr:uid="{00000000-0005-0000-0000-0000AB150000}"/>
    <cellStyle name="Normal 4 4 3 5 2" xfId="3510" xr:uid="{00000000-0005-0000-0000-0000AC150000}"/>
    <cellStyle name="Normal 4 4 3 5 2 2" xfId="7733" xr:uid="{00000000-0005-0000-0000-0000AD150000}"/>
    <cellStyle name="Normal 4 4 3 5 3" xfId="5588" xr:uid="{00000000-0005-0000-0000-0000AE150000}"/>
    <cellStyle name="Normal 4 4 3 6" xfId="1693" xr:uid="{00000000-0005-0000-0000-0000AF150000}"/>
    <cellStyle name="Normal 4 4 3 6 2" xfId="3923" xr:uid="{00000000-0005-0000-0000-0000B0150000}"/>
    <cellStyle name="Normal 4 4 3 6 2 2" xfId="8146" xr:uid="{00000000-0005-0000-0000-0000B1150000}"/>
    <cellStyle name="Normal 4 4 3 6 3" xfId="6001" xr:uid="{00000000-0005-0000-0000-0000B2150000}"/>
    <cellStyle name="Normal 4 4 3 7" xfId="2107" xr:uid="{00000000-0005-0000-0000-0000B3150000}"/>
    <cellStyle name="Normal 4 4 3 7 2" xfId="4336" xr:uid="{00000000-0005-0000-0000-0000B4150000}"/>
    <cellStyle name="Normal 4 4 3 7 2 2" xfId="8559" xr:uid="{00000000-0005-0000-0000-0000B5150000}"/>
    <cellStyle name="Normal 4 4 3 7 3" xfId="6414" xr:uid="{00000000-0005-0000-0000-0000B6150000}"/>
    <cellStyle name="Normal 4 4 3 8" xfId="2543" xr:uid="{00000000-0005-0000-0000-0000B7150000}"/>
    <cellStyle name="Normal 4 4 3 8 2" xfId="6827" xr:uid="{00000000-0005-0000-0000-0000B8150000}"/>
    <cellStyle name="Normal 4 4 3 9" xfId="4762" xr:uid="{00000000-0005-0000-0000-0000B9150000}"/>
    <cellStyle name="Normal 4 4 4" xfId="391" xr:uid="{00000000-0005-0000-0000-0000BA150000}"/>
    <cellStyle name="Normal 4 4 4 2" xfId="392" xr:uid="{00000000-0005-0000-0000-0000BB150000}"/>
    <cellStyle name="Normal 4 4 4 2 2" xfId="867" xr:uid="{00000000-0005-0000-0000-0000BC150000}"/>
    <cellStyle name="Normal 4 4 4 2 2 2" xfId="3102" xr:uid="{00000000-0005-0000-0000-0000BD150000}"/>
    <cellStyle name="Normal 4 4 4 2 2 2 2" xfId="7325" xr:uid="{00000000-0005-0000-0000-0000BE150000}"/>
    <cellStyle name="Normal 4 4 4 2 2 3" xfId="5180" xr:uid="{00000000-0005-0000-0000-0000BF150000}"/>
    <cellStyle name="Normal 4 4 4 2 3" xfId="1285" xr:uid="{00000000-0005-0000-0000-0000C0150000}"/>
    <cellStyle name="Normal 4 4 4 2 3 2" xfId="3515" xr:uid="{00000000-0005-0000-0000-0000C1150000}"/>
    <cellStyle name="Normal 4 4 4 2 3 2 2" xfId="7738" xr:uid="{00000000-0005-0000-0000-0000C2150000}"/>
    <cellStyle name="Normal 4 4 4 2 3 3" xfId="5593" xr:uid="{00000000-0005-0000-0000-0000C3150000}"/>
    <cellStyle name="Normal 4 4 4 2 4" xfId="1698" xr:uid="{00000000-0005-0000-0000-0000C4150000}"/>
    <cellStyle name="Normal 4 4 4 2 4 2" xfId="3928" xr:uid="{00000000-0005-0000-0000-0000C5150000}"/>
    <cellStyle name="Normal 4 4 4 2 4 2 2" xfId="8151" xr:uid="{00000000-0005-0000-0000-0000C6150000}"/>
    <cellStyle name="Normal 4 4 4 2 4 3" xfId="6006" xr:uid="{00000000-0005-0000-0000-0000C7150000}"/>
    <cellStyle name="Normal 4 4 4 2 5" xfId="2112" xr:uid="{00000000-0005-0000-0000-0000C8150000}"/>
    <cellStyle name="Normal 4 4 4 2 5 2" xfId="4341" xr:uid="{00000000-0005-0000-0000-0000C9150000}"/>
    <cellStyle name="Normal 4 4 4 2 5 2 2" xfId="8564" xr:uid="{00000000-0005-0000-0000-0000CA150000}"/>
    <cellStyle name="Normal 4 4 4 2 5 3" xfId="6419" xr:uid="{00000000-0005-0000-0000-0000CB150000}"/>
    <cellStyle name="Normal 4 4 4 2 6" xfId="2548" xr:uid="{00000000-0005-0000-0000-0000CC150000}"/>
    <cellStyle name="Normal 4 4 4 2 6 2" xfId="6832" xr:uid="{00000000-0005-0000-0000-0000CD150000}"/>
    <cellStyle name="Normal 4 4 4 2 7" xfId="4767" xr:uid="{00000000-0005-0000-0000-0000CE150000}"/>
    <cellStyle name="Normal 4 4 4 3" xfId="866" xr:uid="{00000000-0005-0000-0000-0000CF150000}"/>
    <cellStyle name="Normal 4 4 4 3 2" xfId="3101" xr:uid="{00000000-0005-0000-0000-0000D0150000}"/>
    <cellStyle name="Normal 4 4 4 3 2 2" xfId="7324" xr:uid="{00000000-0005-0000-0000-0000D1150000}"/>
    <cellStyle name="Normal 4 4 4 3 3" xfId="5179" xr:uid="{00000000-0005-0000-0000-0000D2150000}"/>
    <cellStyle name="Normal 4 4 4 4" xfId="1284" xr:uid="{00000000-0005-0000-0000-0000D3150000}"/>
    <cellStyle name="Normal 4 4 4 4 2" xfId="3514" xr:uid="{00000000-0005-0000-0000-0000D4150000}"/>
    <cellStyle name="Normal 4 4 4 4 2 2" xfId="7737" xr:uid="{00000000-0005-0000-0000-0000D5150000}"/>
    <cellStyle name="Normal 4 4 4 4 3" xfId="5592" xr:uid="{00000000-0005-0000-0000-0000D6150000}"/>
    <cellStyle name="Normal 4 4 4 5" xfId="1697" xr:uid="{00000000-0005-0000-0000-0000D7150000}"/>
    <cellStyle name="Normal 4 4 4 5 2" xfId="3927" xr:uid="{00000000-0005-0000-0000-0000D8150000}"/>
    <cellStyle name="Normal 4 4 4 5 2 2" xfId="8150" xr:uid="{00000000-0005-0000-0000-0000D9150000}"/>
    <cellStyle name="Normal 4 4 4 5 3" xfId="6005" xr:uid="{00000000-0005-0000-0000-0000DA150000}"/>
    <cellStyle name="Normal 4 4 4 6" xfId="2111" xr:uid="{00000000-0005-0000-0000-0000DB150000}"/>
    <cellStyle name="Normal 4 4 4 6 2" xfId="4340" xr:uid="{00000000-0005-0000-0000-0000DC150000}"/>
    <cellStyle name="Normal 4 4 4 6 2 2" xfId="8563" xr:uid="{00000000-0005-0000-0000-0000DD150000}"/>
    <cellStyle name="Normal 4 4 4 6 3" xfId="6418" xr:uid="{00000000-0005-0000-0000-0000DE150000}"/>
    <cellStyle name="Normal 4 4 4 7" xfId="2547" xr:uid="{00000000-0005-0000-0000-0000DF150000}"/>
    <cellStyle name="Normal 4 4 4 7 2" xfId="6831" xr:uid="{00000000-0005-0000-0000-0000E0150000}"/>
    <cellStyle name="Normal 4 4 4 8" xfId="4766" xr:uid="{00000000-0005-0000-0000-0000E1150000}"/>
    <cellStyle name="Normal 4 4 5" xfId="393" xr:uid="{00000000-0005-0000-0000-0000E2150000}"/>
    <cellStyle name="Normal 4 4 5 2" xfId="868" xr:uid="{00000000-0005-0000-0000-0000E3150000}"/>
    <cellStyle name="Normal 4 4 5 2 2" xfId="3103" xr:uid="{00000000-0005-0000-0000-0000E4150000}"/>
    <cellStyle name="Normal 4 4 5 2 2 2" xfId="7326" xr:uid="{00000000-0005-0000-0000-0000E5150000}"/>
    <cellStyle name="Normal 4 4 5 2 3" xfId="5181" xr:uid="{00000000-0005-0000-0000-0000E6150000}"/>
    <cellStyle name="Normal 4 4 5 3" xfId="1286" xr:uid="{00000000-0005-0000-0000-0000E7150000}"/>
    <cellStyle name="Normal 4 4 5 3 2" xfId="3516" xr:uid="{00000000-0005-0000-0000-0000E8150000}"/>
    <cellStyle name="Normal 4 4 5 3 2 2" xfId="7739" xr:uid="{00000000-0005-0000-0000-0000E9150000}"/>
    <cellStyle name="Normal 4 4 5 3 3" xfId="5594" xr:uid="{00000000-0005-0000-0000-0000EA150000}"/>
    <cellStyle name="Normal 4 4 5 4" xfId="1699" xr:uid="{00000000-0005-0000-0000-0000EB150000}"/>
    <cellStyle name="Normal 4 4 5 4 2" xfId="3929" xr:uid="{00000000-0005-0000-0000-0000EC150000}"/>
    <cellStyle name="Normal 4 4 5 4 2 2" xfId="8152" xr:uid="{00000000-0005-0000-0000-0000ED150000}"/>
    <cellStyle name="Normal 4 4 5 4 3" xfId="6007" xr:uid="{00000000-0005-0000-0000-0000EE150000}"/>
    <cellStyle name="Normal 4 4 5 5" xfId="2113" xr:uid="{00000000-0005-0000-0000-0000EF150000}"/>
    <cellStyle name="Normal 4 4 5 5 2" xfId="4342" xr:uid="{00000000-0005-0000-0000-0000F0150000}"/>
    <cellStyle name="Normal 4 4 5 5 2 2" xfId="8565" xr:uid="{00000000-0005-0000-0000-0000F1150000}"/>
    <cellStyle name="Normal 4 4 5 5 3" xfId="6420" xr:uid="{00000000-0005-0000-0000-0000F2150000}"/>
    <cellStyle name="Normal 4 4 5 6" xfId="2549" xr:uid="{00000000-0005-0000-0000-0000F3150000}"/>
    <cellStyle name="Normal 4 4 5 6 2" xfId="6833" xr:uid="{00000000-0005-0000-0000-0000F4150000}"/>
    <cellStyle name="Normal 4 4 5 7" xfId="4768" xr:uid="{00000000-0005-0000-0000-0000F5150000}"/>
    <cellStyle name="Normal 4 4 6" xfId="853" xr:uid="{00000000-0005-0000-0000-0000F6150000}"/>
    <cellStyle name="Normal 4 4 6 2" xfId="3088" xr:uid="{00000000-0005-0000-0000-0000F7150000}"/>
    <cellStyle name="Normal 4 4 6 2 2" xfId="7311" xr:uid="{00000000-0005-0000-0000-0000F8150000}"/>
    <cellStyle name="Normal 4 4 6 3" xfId="5166" xr:uid="{00000000-0005-0000-0000-0000F9150000}"/>
    <cellStyle name="Normal 4 4 7" xfId="1271" xr:uid="{00000000-0005-0000-0000-0000FA150000}"/>
    <cellStyle name="Normal 4 4 7 2" xfId="3501" xr:uid="{00000000-0005-0000-0000-0000FB150000}"/>
    <cellStyle name="Normal 4 4 7 2 2" xfId="7724" xr:uid="{00000000-0005-0000-0000-0000FC150000}"/>
    <cellStyle name="Normal 4 4 7 3" xfId="5579" xr:uid="{00000000-0005-0000-0000-0000FD150000}"/>
    <cellStyle name="Normal 4 4 8" xfId="1684" xr:uid="{00000000-0005-0000-0000-0000FE150000}"/>
    <cellStyle name="Normal 4 4 8 2" xfId="3914" xr:uid="{00000000-0005-0000-0000-0000FF150000}"/>
    <cellStyle name="Normal 4 4 8 2 2" xfId="8137" xr:uid="{00000000-0005-0000-0000-000000160000}"/>
    <cellStyle name="Normal 4 4 8 3" xfId="5992" xr:uid="{00000000-0005-0000-0000-000001160000}"/>
    <cellStyle name="Normal 4 4 9" xfId="2098" xr:uid="{00000000-0005-0000-0000-000002160000}"/>
    <cellStyle name="Normal 4 4 9 2" xfId="4327" xr:uid="{00000000-0005-0000-0000-000003160000}"/>
    <cellStyle name="Normal 4 4 9 2 2" xfId="8550" xr:uid="{00000000-0005-0000-0000-000004160000}"/>
    <cellStyle name="Normal 4 4 9 3" xfId="6405" xr:uid="{00000000-0005-0000-0000-000005160000}"/>
    <cellStyle name="Normal 4 5" xfId="394" xr:uid="{00000000-0005-0000-0000-000006160000}"/>
    <cellStyle name="Normal 4 6" xfId="395" xr:uid="{00000000-0005-0000-0000-000007160000}"/>
    <cellStyle name="Normal 4 6 10" xfId="4769" xr:uid="{00000000-0005-0000-0000-000008160000}"/>
    <cellStyle name="Normal 4 6 2" xfId="396" xr:uid="{00000000-0005-0000-0000-000009160000}"/>
    <cellStyle name="Normal 4 6 2 2" xfId="397" xr:uid="{00000000-0005-0000-0000-00000A160000}"/>
    <cellStyle name="Normal 4 6 2 2 2" xfId="398" xr:uid="{00000000-0005-0000-0000-00000B160000}"/>
    <cellStyle name="Normal 4 6 2 2 2 2" xfId="872" xr:uid="{00000000-0005-0000-0000-00000C160000}"/>
    <cellStyle name="Normal 4 6 2 2 2 2 2" xfId="3107" xr:uid="{00000000-0005-0000-0000-00000D160000}"/>
    <cellStyle name="Normal 4 6 2 2 2 2 2 2" xfId="7330" xr:uid="{00000000-0005-0000-0000-00000E160000}"/>
    <cellStyle name="Normal 4 6 2 2 2 2 3" xfId="5185" xr:uid="{00000000-0005-0000-0000-00000F160000}"/>
    <cellStyle name="Normal 4 6 2 2 2 3" xfId="1290" xr:uid="{00000000-0005-0000-0000-000010160000}"/>
    <cellStyle name="Normal 4 6 2 2 2 3 2" xfId="3520" xr:uid="{00000000-0005-0000-0000-000011160000}"/>
    <cellStyle name="Normal 4 6 2 2 2 3 2 2" xfId="7743" xr:uid="{00000000-0005-0000-0000-000012160000}"/>
    <cellStyle name="Normal 4 6 2 2 2 3 3" xfId="5598" xr:uid="{00000000-0005-0000-0000-000013160000}"/>
    <cellStyle name="Normal 4 6 2 2 2 4" xfId="1703" xr:uid="{00000000-0005-0000-0000-000014160000}"/>
    <cellStyle name="Normal 4 6 2 2 2 4 2" xfId="3933" xr:uid="{00000000-0005-0000-0000-000015160000}"/>
    <cellStyle name="Normal 4 6 2 2 2 4 2 2" xfId="8156" xr:uid="{00000000-0005-0000-0000-000016160000}"/>
    <cellStyle name="Normal 4 6 2 2 2 4 3" xfId="6011" xr:uid="{00000000-0005-0000-0000-000017160000}"/>
    <cellStyle name="Normal 4 6 2 2 2 5" xfId="2117" xr:uid="{00000000-0005-0000-0000-000018160000}"/>
    <cellStyle name="Normal 4 6 2 2 2 5 2" xfId="4346" xr:uid="{00000000-0005-0000-0000-000019160000}"/>
    <cellStyle name="Normal 4 6 2 2 2 5 2 2" xfId="8569" xr:uid="{00000000-0005-0000-0000-00001A160000}"/>
    <cellStyle name="Normal 4 6 2 2 2 5 3" xfId="6424" xr:uid="{00000000-0005-0000-0000-00001B160000}"/>
    <cellStyle name="Normal 4 6 2 2 2 6" xfId="2553" xr:uid="{00000000-0005-0000-0000-00001C160000}"/>
    <cellStyle name="Normal 4 6 2 2 2 6 2" xfId="6837" xr:uid="{00000000-0005-0000-0000-00001D160000}"/>
    <cellStyle name="Normal 4 6 2 2 2 7" xfId="4772" xr:uid="{00000000-0005-0000-0000-00001E160000}"/>
    <cellStyle name="Normal 4 6 2 2 3" xfId="871" xr:uid="{00000000-0005-0000-0000-00001F160000}"/>
    <cellStyle name="Normal 4 6 2 2 3 2" xfId="3106" xr:uid="{00000000-0005-0000-0000-000020160000}"/>
    <cellStyle name="Normal 4 6 2 2 3 2 2" xfId="7329" xr:uid="{00000000-0005-0000-0000-000021160000}"/>
    <cellStyle name="Normal 4 6 2 2 3 3" xfId="5184" xr:uid="{00000000-0005-0000-0000-000022160000}"/>
    <cellStyle name="Normal 4 6 2 2 4" xfId="1289" xr:uid="{00000000-0005-0000-0000-000023160000}"/>
    <cellStyle name="Normal 4 6 2 2 4 2" xfId="3519" xr:uid="{00000000-0005-0000-0000-000024160000}"/>
    <cellStyle name="Normal 4 6 2 2 4 2 2" xfId="7742" xr:uid="{00000000-0005-0000-0000-000025160000}"/>
    <cellStyle name="Normal 4 6 2 2 4 3" xfId="5597" xr:uid="{00000000-0005-0000-0000-000026160000}"/>
    <cellStyle name="Normal 4 6 2 2 5" xfId="1702" xr:uid="{00000000-0005-0000-0000-000027160000}"/>
    <cellStyle name="Normal 4 6 2 2 5 2" xfId="3932" xr:uid="{00000000-0005-0000-0000-000028160000}"/>
    <cellStyle name="Normal 4 6 2 2 5 2 2" xfId="8155" xr:uid="{00000000-0005-0000-0000-000029160000}"/>
    <cellStyle name="Normal 4 6 2 2 5 3" xfId="6010" xr:uid="{00000000-0005-0000-0000-00002A160000}"/>
    <cellStyle name="Normal 4 6 2 2 6" xfId="2116" xr:uid="{00000000-0005-0000-0000-00002B160000}"/>
    <cellStyle name="Normal 4 6 2 2 6 2" xfId="4345" xr:uid="{00000000-0005-0000-0000-00002C160000}"/>
    <cellStyle name="Normal 4 6 2 2 6 2 2" xfId="8568" xr:uid="{00000000-0005-0000-0000-00002D160000}"/>
    <cellStyle name="Normal 4 6 2 2 6 3" xfId="6423" xr:uid="{00000000-0005-0000-0000-00002E160000}"/>
    <cellStyle name="Normal 4 6 2 2 7" xfId="2552" xr:uid="{00000000-0005-0000-0000-00002F160000}"/>
    <cellStyle name="Normal 4 6 2 2 7 2" xfId="6836" xr:uid="{00000000-0005-0000-0000-000030160000}"/>
    <cellStyle name="Normal 4 6 2 2 8" xfId="4771" xr:uid="{00000000-0005-0000-0000-000031160000}"/>
    <cellStyle name="Normal 4 6 2 3" xfId="399" xr:uid="{00000000-0005-0000-0000-000032160000}"/>
    <cellStyle name="Normal 4 6 2 3 2" xfId="873" xr:uid="{00000000-0005-0000-0000-000033160000}"/>
    <cellStyle name="Normal 4 6 2 3 2 2" xfId="3108" xr:uid="{00000000-0005-0000-0000-000034160000}"/>
    <cellStyle name="Normal 4 6 2 3 2 2 2" xfId="7331" xr:uid="{00000000-0005-0000-0000-000035160000}"/>
    <cellStyle name="Normal 4 6 2 3 2 3" xfId="5186" xr:uid="{00000000-0005-0000-0000-000036160000}"/>
    <cellStyle name="Normal 4 6 2 3 3" xfId="1291" xr:uid="{00000000-0005-0000-0000-000037160000}"/>
    <cellStyle name="Normal 4 6 2 3 3 2" xfId="3521" xr:uid="{00000000-0005-0000-0000-000038160000}"/>
    <cellStyle name="Normal 4 6 2 3 3 2 2" xfId="7744" xr:uid="{00000000-0005-0000-0000-000039160000}"/>
    <cellStyle name="Normal 4 6 2 3 3 3" xfId="5599" xr:uid="{00000000-0005-0000-0000-00003A160000}"/>
    <cellStyle name="Normal 4 6 2 3 4" xfId="1704" xr:uid="{00000000-0005-0000-0000-00003B160000}"/>
    <cellStyle name="Normal 4 6 2 3 4 2" xfId="3934" xr:uid="{00000000-0005-0000-0000-00003C160000}"/>
    <cellStyle name="Normal 4 6 2 3 4 2 2" xfId="8157" xr:uid="{00000000-0005-0000-0000-00003D160000}"/>
    <cellStyle name="Normal 4 6 2 3 4 3" xfId="6012" xr:uid="{00000000-0005-0000-0000-00003E160000}"/>
    <cellStyle name="Normal 4 6 2 3 5" xfId="2118" xr:uid="{00000000-0005-0000-0000-00003F160000}"/>
    <cellStyle name="Normal 4 6 2 3 5 2" xfId="4347" xr:uid="{00000000-0005-0000-0000-000040160000}"/>
    <cellStyle name="Normal 4 6 2 3 5 2 2" xfId="8570" xr:uid="{00000000-0005-0000-0000-000041160000}"/>
    <cellStyle name="Normal 4 6 2 3 5 3" xfId="6425" xr:uid="{00000000-0005-0000-0000-000042160000}"/>
    <cellStyle name="Normal 4 6 2 3 6" xfId="2554" xr:uid="{00000000-0005-0000-0000-000043160000}"/>
    <cellStyle name="Normal 4 6 2 3 6 2" xfId="6838" xr:uid="{00000000-0005-0000-0000-000044160000}"/>
    <cellStyle name="Normal 4 6 2 3 7" xfId="4773" xr:uid="{00000000-0005-0000-0000-000045160000}"/>
    <cellStyle name="Normal 4 6 2 4" xfId="870" xr:uid="{00000000-0005-0000-0000-000046160000}"/>
    <cellStyle name="Normal 4 6 2 4 2" xfId="3105" xr:uid="{00000000-0005-0000-0000-000047160000}"/>
    <cellStyle name="Normal 4 6 2 4 2 2" xfId="7328" xr:uid="{00000000-0005-0000-0000-000048160000}"/>
    <cellStyle name="Normal 4 6 2 4 3" xfId="5183" xr:uid="{00000000-0005-0000-0000-000049160000}"/>
    <cellStyle name="Normal 4 6 2 5" xfId="1288" xr:uid="{00000000-0005-0000-0000-00004A160000}"/>
    <cellStyle name="Normal 4 6 2 5 2" xfId="3518" xr:uid="{00000000-0005-0000-0000-00004B160000}"/>
    <cellStyle name="Normal 4 6 2 5 2 2" xfId="7741" xr:uid="{00000000-0005-0000-0000-00004C160000}"/>
    <cellStyle name="Normal 4 6 2 5 3" xfId="5596" xr:uid="{00000000-0005-0000-0000-00004D160000}"/>
    <cellStyle name="Normal 4 6 2 6" xfId="1701" xr:uid="{00000000-0005-0000-0000-00004E160000}"/>
    <cellStyle name="Normal 4 6 2 6 2" xfId="3931" xr:uid="{00000000-0005-0000-0000-00004F160000}"/>
    <cellStyle name="Normal 4 6 2 6 2 2" xfId="8154" xr:uid="{00000000-0005-0000-0000-000050160000}"/>
    <cellStyle name="Normal 4 6 2 6 3" xfId="6009" xr:uid="{00000000-0005-0000-0000-000051160000}"/>
    <cellStyle name="Normal 4 6 2 7" xfId="2115" xr:uid="{00000000-0005-0000-0000-000052160000}"/>
    <cellStyle name="Normal 4 6 2 7 2" xfId="4344" xr:uid="{00000000-0005-0000-0000-000053160000}"/>
    <cellStyle name="Normal 4 6 2 7 2 2" xfId="8567" xr:uid="{00000000-0005-0000-0000-000054160000}"/>
    <cellStyle name="Normal 4 6 2 7 3" xfId="6422" xr:uid="{00000000-0005-0000-0000-000055160000}"/>
    <cellStyle name="Normal 4 6 2 8" xfId="2551" xr:uid="{00000000-0005-0000-0000-000056160000}"/>
    <cellStyle name="Normal 4 6 2 8 2" xfId="6835" xr:uid="{00000000-0005-0000-0000-000057160000}"/>
    <cellStyle name="Normal 4 6 2 9" xfId="4770" xr:uid="{00000000-0005-0000-0000-000058160000}"/>
    <cellStyle name="Normal 4 6 3" xfId="400" xr:uid="{00000000-0005-0000-0000-000059160000}"/>
    <cellStyle name="Normal 4 6 3 2" xfId="401" xr:uid="{00000000-0005-0000-0000-00005A160000}"/>
    <cellStyle name="Normal 4 6 3 2 2" xfId="875" xr:uid="{00000000-0005-0000-0000-00005B160000}"/>
    <cellStyle name="Normal 4 6 3 2 2 2" xfId="3110" xr:uid="{00000000-0005-0000-0000-00005C160000}"/>
    <cellStyle name="Normal 4 6 3 2 2 2 2" xfId="7333" xr:uid="{00000000-0005-0000-0000-00005D160000}"/>
    <cellStyle name="Normal 4 6 3 2 2 3" xfId="5188" xr:uid="{00000000-0005-0000-0000-00005E160000}"/>
    <cellStyle name="Normal 4 6 3 2 3" xfId="1293" xr:uid="{00000000-0005-0000-0000-00005F160000}"/>
    <cellStyle name="Normal 4 6 3 2 3 2" xfId="3523" xr:uid="{00000000-0005-0000-0000-000060160000}"/>
    <cellStyle name="Normal 4 6 3 2 3 2 2" xfId="7746" xr:uid="{00000000-0005-0000-0000-000061160000}"/>
    <cellStyle name="Normal 4 6 3 2 3 3" xfId="5601" xr:uid="{00000000-0005-0000-0000-000062160000}"/>
    <cellStyle name="Normal 4 6 3 2 4" xfId="1706" xr:uid="{00000000-0005-0000-0000-000063160000}"/>
    <cellStyle name="Normal 4 6 3 2 4 2" xfId="3936" xr:uid="{00000000-0005-0000-0000-000064160000}"/>
    <cellStyle name="Normal 4 6 3 2 4 2 2" xfId="8159" xr:uid="{00000000-0005-0000-0000-000065160000}"/>
    <cellStyle name="Normal 4 6 3 2 4 3" xfId="6014" xr:uid="{00000000-0005-0000-0000-000066160000}"/>
    <cellStyle name="Normal 4 6 3 2 5" xfId="2120" xr:uid="{00000000-0005-0000-0000-000067160000}"/>
    <cellStyle name="Normal 4 6 3 2 5 2" xfId="4349" xr:uid="{00000000-0005-0000-0000-000068160000}"/>
    <cellStyle name="Normal 4 6 3 2 5 2 2" xfId="8572" xr:uid="{00000000-0005-0000-0000-000069160000}"/>
    <cellStyle name="Normal 4 6 3 2 5 3" xfId="6427" xr:uid="{00000000-0005-0000-0000-00006A160000}"/>
    <cellStyle name="Normal 4 6 3 2 6" xfId="2556" xr:uid="{00000000-0005-0000-0000-00006B160000}"/>
    <cellStyle name="Normal 4 6 3 2 6 2" xfId="6840" xr:uid="{00000000-0005-0000-0000-00006C160000}"/>
    <cellStyle name="Normal 4 6 3 2 7" xfId="4775" xr:uid="{00000000-0005-0000-0000-00006D160000}"/>
    <cellStyle name="Normal 4 6 3 3" xfId="874" xr:uid="{00000000-0005-0000-0000-00006E160000}"/>
    <cellStyle name="Normal 4 6 3 3 2" xfId="3109" xr:uid="{00000000-0005-0000-0000-00006F160000}"/>
    <cellStyle name="Normal 4 6 3 3 2 2" xfId="7332" xr:uid="{00000000-0005-0000-0000-000070160000}"/>
    <cellStyle name="Normal 4 6 3 3 3" xfId="5187" xr:uid="{00000000-0005-0000-0000-000071160000}"/>
    <cellStyle name="Normal 4 6 3 4" xfId="1292" xr:uid="{00000000-0005-0000-0000-000072160000}"/>
    <cellStyle name="Normal 4 6 3 4 2" xfId="3522" xr:uid="{00000000-0005-0000-0000-000073160000}"/>
    <cellStyle name="Normal 4 6 3 4 2 2" xfId="7745" xr:uid="{00000000-0005-0000-0000-000074160000}"/>
    <cellStyle name="Normal 4 6 3 4 3" xfId="5600" xr:uid="{00000000-0005-0000-0000-000075160000}"/>
    <cellStyle name="Normal 4 6 3 5" xfId="1705" xr:uid="{00000000-0005-0000-0000-000076160000}"/>
    <cellStyle name="Normal 4 6 3 5 2" xfId="3935" xr:uid="{00000000-0005-0000-0000-000077160000}"/>
    <cellStyle name="Normal 4 6 3 5 2 2" xfId="8158" xr:uid="{00000000-0005-0000-0000-000078160000}"/>
    <cellStyle name="Normal 4 6 3 5 3" xfId="6013" xr:uid="{00000000-0005-0000-0000-000079160000}"/>
    <cellStyle name="Normal 4 6 3 6" xfId="2119" xr:uid="{00000000-0005-0000-0000-00007A160000}"/>
    <cellStyle name="Normal 4 6 3 6 2" xfId="4348" xr:uid="{00000000-0005-0000-0000-00007B160000}"/>
    <cellStyle name="Normal 4 6 3 6 2 2" xfId="8571" xr:uid="{00000000-0005-0000-0000-00007C160000}"/>
    <cellStyle name="Normal 4 6 3 6 3" xfId="6426" xr:uid="{00000000-0005-0000-0000-00007D160000}"/>
    <cellStyle name="Normal 4 6 3 7" xfId="2555" xr:uid="{00000000-0005-0000-0000-00007E160000}"/>
    <cellStyle name="Normal 4 6 3 7 2" xfId="6839" xr:uid="{00000000-0005-0000-0000-00007F160000}"/>
    <cellStyle name="Normal 4 6 3 8" xfId="4774" xr:uid="{00000000-0005-0000-0000-000080160000}"/>
    <cellStyle name="Normal 4 6 4" xfId="402" xr:uid="{00000000-0005-0000-0000-000081160000}"/>
    <cellStyle name="Normal 4 6 4 2" xfId="876" xr:uid="{00000000-0005-0000-0000-000082160000}"/>
    <cellStyle name="Normal 4 6 4 2 2" xfId="3111" xr:uid="{00000000-0005-0000-0000-000083160000}"/>
    <cellStyle name="Normal 4 6 4 2 2 2" xfId="7334" xr:uid="{00000000-0005-0000-0000-000084160000}"/>
    <cellStyle name="Normal 4 6 4 2 3" xfId="5189" xr:uid="{00000000-0005-0000-0000-000085160000}"/>
    <cellStyle name="Normal 4 6 4 3" xfId="1294" xr:uid="{00000000-0005-0000-0000-000086160000}"/>
    <cellStyle name="Normal 4 6 4 3 2" xfId="3524" xr:uid="{00000000-0005-0000-0000-000087160000}"/>
    <cellStyle name="Normal 4 6 4 3 2 2" xfId="7747" xr:uid="{00000000-0005-0000-0000-000088160000}"/>
    <cellStyle name="Normal 4 6 4 3 3" xfId="5602" xr:uid="{00000000-0005-0000-0000-000089160000}"/>
    <cellStyle name="Normal 4 6 4 4" xfId="1707" xr:uid="{00000000-0005-0000-0000-00008A160000}"/>
    <cellStyle name="Normal 4 6 4 4 2" xfId="3937" xr:uid="{00000000-0005-0000-0000-00008B160000}"/>
    <cellStyle name="Normal 4 6 4 4 2 2" xfId="8160" xr:uid="{00000000-0005-0000-0000-00008C160000}"/>
    <cellStyle name="Normal 4 6 4 4 3" xfId="6015" xr:uid="{00000000-0005-0000-0000-00008D160000}"/>
    <cellStyle name="Normal 4 6 4 5" xfId="2121" xr:uid="{00000000-0005-0000-0000-00008E160000}"/>
    <cellStyle name="Normal 4 6 4 5 2" xfId="4350" xr:uid="{00000000-0005-0000-0000-00008F160000}"/>
    <cellStyle name="Normal 4 6 4 5 2 2" xfId="8573" xr:uid="{00000000-0005-0000-0000-000090160000}"/>
    <cellStyle name="Normal 4 6 4 5 3" xfId="6428" xr:uid="{00000000-0005-0000-0000-000091160000}"/>
    <cellStyle name="Normal 4 6 4 6" xfId="2557" xr:uid="{00000000-0005-0000-0000-000092160000}"/>
    <cellStyle name="Normal 4 6 4 6 2" xfId="6841" xr:uid="{00000000-0005-0000-0000-000093160000}"/>
    <cellStyle name="Normal 4 6 4 7" xfId="4776" xr:uid="{00000000-0005-0000-0000-000094160000}"/>
    <cellStyle name="Normal 4 6 5" xfId="869" xr:uid="{00000000-0005-0000-0000-000095160000}"/>
    <cellStyle name="Normal 4 6 5 2" xfId="3104" xr:uid="{00000000-0005-0000-0000-000096160000}"/>
    <cellStyle name="Normal 4 6 5 2 2" xfId="7327" xr:uid="{00000000-0005-0000-0000-000097160000}"/>
    <cellStyle name="Normal 4 6 5 3" xfId="5182" xr:uid="{00000000-0005-0000-0000-000098160000}"/>
    <cellStyle name="Normal 4 6 6" xfId="1287" xr:uid="{00000000-0005-0000-0000-000099160000}"/>
    <cellStyle name="Normal 4 6 6 2" xfId="3517" xr:uid="{00000000-0005-0000-0000-00009A160000}"/>
    <cellStyle name="Normal 4 6 6 2 2" xfId="7740" xr:uid="{00000000-0005-0000-0000-00009B160000}"/>
    <cellStyle name="Normal 4 6 6 3" xfId="5595" xr:uid="{00000000-0005-0000-0000-00009C160000}"/>
    <cellStyle name="Normal 4 6 7" xfId="1700" xr:uid="{00000000-0005-0000-0000-00009D160000}"/>
    <cellStyle name="Normal 4 6 7 2" xfId="3930" xr:uid="{00000000-0005-0000-0000-00009E160000}"/>
    <cellStyle name="Normal 4 6 7 2 2" xfId="8153" xr:uid="{00000000-0005-0000-0000-00009F160000}"/>
    <cellStyle name="Normal 4 6 7 3" xfId="6008" xr:uid="{00000000-0005-0000-0000-0000A0160000}"/>
    <cellStyle name="Normal 4 6 8" xfId="2114" xr:uid="{00000000-0005-0000-0000-0000A1160000}"/>
    <cellStyle name="Normal 4 6 8 2" xfId="4343" xr:uid="{00000000-0005-0000-0000-0000A2160000}"/>
    <cellStyle name="Normal 4 6 8 2 2" xfId="8566" xr:uid="{00000000-0005-0000-0000-0000A3160000}"/>
    <cellStyle name="Normal 4 6 8 3" xfId="6421" xr:uid="{00000000-0005-0000-0000-0000A4160000}"/>
    <cellStyle name="Normal 4 6 9" xfId="2550" xr:uid="{00000000-0005-0000-0000-0000A5160000}"/>
    <cellStyle name="Normal 4 6 9 2" xfId="6834" xr:uid="{00000000-0005-0000-0000-0000A6160000}"/>
    <cellStyle name="Normal 4 7" xfId="403" xr:uid="{00000000-0005-0000-0000-0000A7160000}"/>
    <cellStyle name="Normal 4 7 2" xfId="404" xr:uid="{00000000-0005-0000-0000-0000A8160000}"/>
    <cellStyle name="Normal 4 7 2 2" xfId="878" xr:uid="{00000000-0005-0000-0000-0000A9160000}"/>
    <cellStyle name="Normal 4 7 2 2 2" xfId="3113" xr:uid="{00000000-0005-0000-0000-0000AA160000}"/>
    <cellStyle name="Normal 4 7 2 2 2 2" xfId="7336" xr:uid="{00000000-0005-0000-0000-0000AB160000}"/>
    <cellStyle name="Normal 4 7 2 2 3" xfId="5191" xr:uid="{00000000-0005-0000-0000-0000AC160000}"/>
    <cellStyle name="Normal 4 7 2 3" xfId="1296" xr:uid="{00000000-0005-0000-0000-0000AD160000}"/>
    <cellStyle name="Normal 4 7 2 3 2" xfId="3526" xr:uid="{00000000-0005-0000-0000-0000AE160000}"/>
    <cellStyle name="Normal 4 7 2 3 2 2" xfId="7749" xr:uid="{00000000-0005-0000-0000-0000AF160000}"/>
    <cellStyle name="Normal 4 7 2 3 3" xfId="5604" xr:uid="{00000000-0005-0000-0000-0000B0160000}"/>
    <cellStyle name="Normal 4 7 2 4" xfId="1709" xr:uid="{00000000-0005-0000-0000-0000B1160000}"/>
    <cellStyle name="Normal 4 7 2 4 2" xfId="3939" xr:uid="{00000000-0005-0000-0000-0000B2160000}"/>
    <cellStyle name="Normal 4 7 2 4 2 2" xfId="8162" xr:uid="{00000000-0005-0000-0000-0000B3160000}"/>
    <cellStyle name="Normal 4 7 2 4 3" xfId="6017" xr:uid="{00000000-0005-0000-0000-0000B4160000}"/>
    <cellStyle name="Normal 4 7 2 5" xfId="2123" xr:uid="{00000000-0005-0000-0000-0000B5160000}"/>
    <cellStyle name="Normal 4 7 2 5 2" xfId="4352" xr:uid="{00000000-0005-0000-0000-0000B6160000}"/>
    <cellStyle name="Normal 4 7 2 5 2 2" xfId="8575" xr:uid="{00000000-0005-0000-0000-0000B7160000}"/>
    <cellStyle name="Normal 4 7 2 5 3" xfId="6430" xr:uid="{00000000-0005-0000-0000-0000B8160000}"/>
    <cellStyle name="Normal 4 7 2 6" xfId="2559" xr:uid="{00000000-0005-0000-0000-0000B9160000}"/>
    <cellStyle name="Normal 4 7 2 6 2" xfId="6843" xr:uid="{00000000-0005-0000-0000-0000BA160000}"/>
    <cellStyle name="Normal 4 7 2 7" xfId="4778" xr:uid="{00000000-0005-0000-0000-0000BB160000}"/>
    <cellStyle name="Normal 4 7 3" xfId="877" xr:uid="{00000000-0005-0000-0000-0000BC160000}"/>
    <cellStyle name="Normal 4 7 3 2" xfId="3112" xr:uid="{00000000-0005-0000-0000-0000BD160000}"/>
    <cellStyle name="Normal 4 7 3 2 2" xfId="7335" xr:uid="{00000000-0005-0000-0000-0000BE160000}"/>
    <cellStyle name="Normal 4 7 3 3" xfId="5190" xr:uid="{00000000-0005-0000-0000-0000BF160000}"/>
    <cellStyle name="Normal 4 7 4" xfId="1295" xr:uid="{00000000-0005-0000-0000-0000C0160000}"/>
    <cellStyle name="Normal 4 7 4 2" xfId="3525" xr:uid="{00000000-0005-0000-0000-0000C1160000}"/>
    <cellStyle name="Normal 4 7 4 2 2" xfId="7748" xr:uid="{00000000-0005-0000-0000-0000C2160000}"/>
    <cellStyle name="Normal 4 7 4 3" xfId="5603" xr:uid="{00000000-0005-0000-0000-0000C3160000}"/>
    <cellStyle name="Normal 4 7 5" xfId="1708" xr:uid="{00000000-0005-0000-0000-0000C4160000}"/>
    <cellStyle name="Normal 4 7 5 2" xfId="3938" xr:uid="{00000000-0005-0000-0000-0000C5160000}"/>
    <cellStyle name="Normal 4 7 5 2 2" xfId="8161" xr:uid="{00000000-0005-0000-0000-0000C6160000}"/>
    <cellStyle name="Normal 4 7 5 3" xfId="6016" xr:uid="{00000000-0005-0000-0000-0000C7160000}"/>
    <cellStyle name="Normal 4 7 6" xfId="2122" xr:uid="{00000000-0005-0000-0000-0000C8160000}"/>
    <cellStyle name="Normal 4 7 6 2" xfId="4351" xr:uid="{00000000-0005-0000-0000-0000C9160000}"/>
    <cellStyle name="Normal 4 7 6 2 2" xfId="8574" xr:uid="{00000000-0005-0000-0000-0000CA160000}"/>
    <cellStyle name="Normal 4 7 6 3" xfId="6429" xr:uid="{00000000-0005-0000-0000-0000CB160000}"/>
    <cellStyle name="Normal 4 7 7" xfId="2558" xr:uid="{00000000-0005-0000-0000-0000CC160000}"/>
    <cellStyle name="Normal 4 7 7 2" xfId="6842" xr:uid="{00000000-0005-0000-0000-0000CD160000}"/>
    <cellStyle name="Normal 4 7 8" xfId="4777" xr:uid="{00000000-0005-0000-0000-0000CE160000}"/>
    <cellStyle name="Normal 4 8" xfId="405" xr:uid="{00000000-0005-0000-0000-0000CF160000}"/>
    <cellStyle name="Normal 4 8 2" xfId="879" xr:uid="{00000000-0005-0000-0000-0000D0160000}"/>
    <cellStyle name="Normal 4 8 2 2" xfId="3114" xr:uid="{00000000-0005-0000-0000-0000D1160000}"/>
    <cellStyle name="Normal 4 8 2 2 2" xfId="7337" xr:uid="{00000000-0005-0000-0000-0000D2160000}"/>
    <cellStyle name="Normal 4 8 2 3" xfId="5192" xr:uid="{00000000-0005-0000-0000-0000D3160000}"/>
    <cellStyle name="Normal 4 8 3" xfId="1297" xr:uid="{00000000-0005-0000-0000-0000D4160000}"/>
    <cellStyle name="Normal 4 8 3 2" xfId="3527" xr:uid="{00000000-0005-0000-0000-0000D5160000}"/>
    <cellStyle name="Normal 4 8 3 2 2" xfId="7750" xr:uid="{00000000-0005-0000-0000-0000D6160000}"/>
    <cellStyle name="Normal 4 8 3 3" xfId="5605" xr:uid="{00000000-0005-0000-0000-0000D7160000}"/>
    <cellStyle name="Normal 4 8 4" xfId="1710" xr:uid="{00000000-0005-0000-0000-0000D8160000}"/>
    <cellStyle name="Normal 4 8 4 2" xfId="3940" xr:uid="{00000000-0005-0000-0000-0000D9160000}"/>
    <cellStyle name="Normal 4 8 4 2 2" xfId="8163" xr:uid="{00000000-0005-0000-0000-0000DA160000}"/>
    <cellStyle name="Normal 4 8 4 3" xfId="6018" xr:uid="{00000000-0005-0000-0000-0000DB160000}"/>
    <cellStyle name="Normal 4 8 5" xfId="2124" xr:uid="{00000000-0005-0000-0000-0000DC160000}"/>
    <cellStyle name="Normal 4 8 5 2" xfId="4353" xr:uid="{00000000-0005-0000-0000-0000DD160000}"/>
    <cellStyle name="Normal 4 8 5 2 2" xfId="8576" xr:uid="{00000000-0005-0000-0000-0000DE160000}"/>
    <cellStyle name="Normal 4 8 5 3" xfId="6431" xr:uid="{00000000-0005-0000-0000-0000DF160000}"/>
    <cellStyle name="Normal 4 8 6" xfId="2560" xr:uid="{00000000-0005-0000-0000-0000E0160000}"/>
    <cellStyle name="Normal 4 8 6 2" xfId="6844" xr:uid="{00000000-0005-0000-0000-0000E1160000}"/>
    <cellStyle name="Normal 4 8 7" xfId="4779" xr:uid="{00000000-0005-0000-0000-0000E2160000}"/>
    <cellStyle name="Normal 4 9" xfId="4716" xr:uid="{00000000-0005-0000-0000-0000E3160000}"/>
    <cellStyle name="Normal 5" xfId="406" xr:uid="{00000000-0005-0000-0000-0000E4160000}"/>
    <cellStyle name="Normal 5 10" xfId="1711" xr:uid="{00000000-0005-0000-0000-0000E5160000}"/>
    <cellStyle name="Normal 5 10 2" xfId="3941" xr:uid="{00000000-0005-0000-0000-0000E6160000}"/>
    <cellStyle name="Normal 5 10 2 2" xfId="8164" xr:uid="{00000000-0005-0000-0000-0000E7160000}"/>
    <cellStyle name="Normal 5 10 3" xfId="6019" xr:uid="{00000000-0005-0000-0000-0000E8160000}"/>
    <cellStyle name="Normal 5 11" xfId="2125" xr:uid="{00000000-0005-0000-0000-0000E9160000}"/>
    <cellStyle name="Normal 5 11 2" xfId="4354" xr:uid="{00000000-0005-0000-0000-0000EA160000}"/>
    <cellStyle name="Normal 5 11 2 2" xfId="8577" xr:uid="{00000000-0005-0000-0000-0000EB160000}"/>
    <cellStyle name="Normal 5 11 3" xfId="6432" xr:uid="{00000000-0005-0000-0000-0000EC160000}"/>
    <cellStyle name="Normal 5 12" xfId="2561" xr:uid="{00000000-0005-0000-0000-0000ED160000}"/>
    <cellStyle name="Normal 5 12 2" xfId="6845" xr:uid="{00000000-0005-0000-0000-0000EE160000}"/>
    <cellStyle name="Normal 5 13" xfId="4780" xr:uid="{00000000-0005-0000-0000-0000EF160000}"/>
    <cellStyle name="Normal 5 2" xfId="407" xr:uid="{00000000-0005-0000-0000-0000F0160000}"/>
    <cellStyle name="Normal 5 2 10" xfId="2126" xr:uid="{00000000-0005-0000-0000-0000F1160000}"/>
    <cellStyle name="Normal 5 2 10 2" xfId="4355" xr:uid="{00000000-0005-0000-0000-0000F2160000}"/>
    <cellStyle name="Normal 5 2 10 2 2" xfId="8578" xr:uid="{00000000-0005-0000-0000-0000F3160000}"/>
    <cellStyle name="Normal 5 2 10 3" xfId="6433" xr:uid="{00000000-0005-0000-0000-0000F4160000}"/>
    <cellStyle name="Normal 5 2 11" xfId="2562" xr:uid="{00000000-0005-0000-0000-0000F5160000}"/>
    <cellStyle name="Normal 5 2 11 2" xfId="6846" xr:uid="{00000000-0005-0000-0000-0000F6160000}"/>
    <cellStyle name="Normal 5 2 12" xfId="4781" xr:uid="{00000000-0005-0000-0000-0000F7160000}"/>
    <cellStyle name="Normal 5 2 2" xfId="408" xr:uid="{00000000-0005-0000-0000-0000F8160000}"/>
    <cellStyle name="Normal 5 2 2 10" xfId="2563" xr:uid="{00000000-0005-0000-0000-0000F9160000}"/>
    <cellStyle name="Normal 5 2 2 10 2" xfId="6847" xr:uid="{00000000-0005-0000-0000-0000FA160000}"/>
    <cellStyle name="Normal 5 2 2 11" xfId="4782" xr:uid="{00000000-0005-0000-0000-0000FB160000}"/>
    <cellStyle name="Normal 5 2 2 2" xfId="409" xr:uid="{00000000-0005-0000-0000-0000FC160000}"/>
    <cellStyle name="Normal 5 2 2 2 10" xfId="4783" xr:uid="{00000000-0005-0000-0000-0000FD160000}"/>
    <cellStyle name="Normal 5 2 2 2 2" xfId="410" xr:uid="{00000000-0005-0000-0000-0000FE160000}"/>
    <cellStyle name="Normal 5 2 2 2 2 2" xfId="411" xr:uid="{00000000-0005-0000-0000-0000FF160000}"/>
    <cellStyle name="Normal 5 2 2 2 2 2 2" xfId="412" xr:uid="{00000000-0005-0000-0000-000000170000}"/>
    <cellStyle name="Normal 5 2 2 2 2 2 2 2" xfId="886" xr:uid="{00000000-0005-0000-0000-000001170000}"/>
    <cellStyle name="Normal 5 2 2 2 2 2 2 2 2" xfId="3121" xr:uid="{00000000-0005-0000-0000-000002170000}"/>
    <cellStyle name="Normal 5 2 2 2 2 2 2 2 2 2" xfId="7344" xr:uid="{00000000-0005-0000-0000-000003170000}"/>
    <cellStyle name="Normal 5 2 2 2 2 2 2 2 3" xfId="5199" xr:uid="{00000000-0005-0000-0000-000004170000}"/>
    <cellStyle name="Normal 5 2 2 2 2 2 2 3" xfId="1304" xr:uid="{00000000-0005-0000-0000-000005170000}"/>
    <cellStyle name="Normal 5 2 2 2 2 2 2 3 2" xfId="3534" xr:uid="{00000000-0005-0000-0000-000006170000}"/>
    <cellStyle name="Normal 5 2 2 2 2 2 2 3 2 2" xfId="7757" xr:uid="{00000000-0005-0000-0000-000007170000}"/>
    <cellStyle name="Normal 5 2 2 2 2 2 2 3 3" xfId="5612" xr:uid="{00000000-0005-0000-0000-000008170000}"/>
    <cellStyle name="Normal 5 2 2 2 2 2 2 4" xfId="1717" xr:uid="{00000000-0005-0000-0000-000009170000}"/>
    <cellStyle name="Normal 5 2 2 2 2 2 2 4 2" xfId="3947" xr:uid="{00000000-0005-0000-0000-00000A170000}"/>
    <cellStyle name="Normal 5 2 2 2 2 2 2 4 2 2" xfId="8170" xr:uid="{00000000-0005-0000-0000-00000B170000}"/>
    <cellStyle name="Normal 5 2 2 2 2 2 2 4 3" xfId="6025" xr:uid="{00000000-0005-0000-0000-00000C170000}"/>
    <cellStyle name="Normal 5 2 2 2 2 2 2 5" xfId="2131" xr:uid="{00000000-0005-0000-0000-00000D170000}"/>
    <cellStyle name="Normal 5 2 2 2 2 2 2 5 2" xfId="4360" xr:uid="{00000000-0005-0000-0000-00000E170000}"/>
    <cellStyle name="Normal 5 2 2 2 2 2 2 5 2 2" xfId="8583" xr:uid="{00000000-0005-0000-0000-00000F170000}"/>
    <cellStyle name="Normal 5 2 2 2 2 2 2 5 3" xfId="6438" xr:uid="{00000000-0005-0000-0000-000010170000}"/>
    <cellStyle name="Normal 5 2 2 2 2 2 2 6" xfId="2567" xr:uid="{00000000-0005-0000-0000-000011170000}"/>
    <cellStyle name="Normal 5 2 2 2 2 2 2 6 2" xfId="6851" xr:uid="{00000000-0005-0000-0000-000012170000}"/>
    <cellStyle name="Normal 5 2 2 2 2 2 2 7" xfId="4786" xr:uid="{00000000-0005-0000-0000-000013170000}"/>
    <cellStyle name="Normal 5 2 2 2 2 2 3" xfId="885" xr:uid="{00000000-0005-0000-0000-000014170000}"/>
    <cellStyle name="Normal 5 2 2 2 2 2 3 2" xfId="3120" xr:uid="{00000000-0005-0000-0000-000015170000}"/>
    <cellStyle name="Normal 5 2 2 2 2 2 3 2 2" xfId="7343" xr:uid="{00000000-0005-0000-0000-000016170000}"/>
    <cellStyle name="Normal 5 2 2 2 2 2 3 3" xfId="5198" xr:uid="{00000000-0005-0000-0000-000017170000}"/>
    <cellStyle name="Normal 5 2 2 2 2 2 4" xfId="1303" xr:uid="{00000000-0005-0000-0000-000018170000}"/>
    <cellStyle name="Normal 5 2 2 2 2 2 4 2" xfId="3533" xr:uid="{00000000-0005-0000-0000-000019170000}"/>
    <cellStyle name="Normal 5 2 2 2 2 2 4 2 2" xfId="7756" xr:uid="{00000000-0005-0000-0000-00001A170000}"/>
    <cellStyle name="Normal 5 2 2 2 2 2 4 3" xfId="5611" xr:uid="{00000000-0005-0000-0000-00001B170000}"/>
    <cellStyle name="Normal 5 2 2 2 2 2 5" xfId="1716" xr:uid="{00000000-0005-0000-0000-00001C170000}"/>
    <cellStyle name="Normal 5 2 2 2 2 2 5 2" xfId="3946" xr:uid="{00000000-0005-0000-0000-00001D170000}"/>
    <cellStyle name="Normal 5 2 2 2 2 2 5 2 2" xfId="8169" xr:uid="{00000000-0005-0000-0000-00001E170000}"/>
    <cellStyle name="Normal 5 2 2 2 2 2 5 3" xfId="6024" xr:uid="{00000000-0005-0000-0000-00001F170000}"/>
    <cellStyle name="Normal 5 2 2 2 2 2 6" xfId="2130" xr:uid="{00000000-0005-0000-0000-000020170000}"/>
    <cellStyle name="Normal 5 2 2 2 2 2 6 2" xfId="4359" xr:uid="{00000000-0005-0000-0000-000021170000}"/>
    <cellStyle name="Normal 5 2 2 2 2 2 6 2 2" xfId="8582" xr:uid="{00000000-0005-0000-0000-000022170000}"/>
    <cellStyle name="Normal 5 2 2 2 2 2 6 3" xfId="6437" xr:uid="{00000000-0005-0000-0000-000023170000}"/>
    <cellStyle name="Normal 5 2 2 2 2 2 7" xfId="2566" xr:uid="{00000000-0005-0000-0000-000024170000}"/>
    <cellStyle name="Normal 5 2 2 2 2 2 7 2" xfId="6850" xr:uid="{00000000-0005-0000-0000-000025170000}"/>
    <cellStyle name="Normal 5 2 2 2 2 2 8" xfId="4785" xr:uid="{00000000-0005-0000-0000-000026170000}"/>
    <cellStyle name="Normal 5 2 2 2 2 3" xfId="413" xr:uid="{00000000-0005-0000-0000-000027170000}"/>
    <cellStyle name="Normal 5 2 2 2 2 3 2" xfId="887" xr:uid="{00000000-0005-0000-0000-000028170000}"/>
    <cellStyle name="Normal 5 2 2 2 2 3 2 2" xfId="3122" xr:uid="{00000000-0005-0000-0000-000029170000}"/>
    <cellStyle name="Normal 5 2 2 2 2 3 2 2 2" xfId="7345" xr:uid="{00000000-0005-0000-0000-00002A170000}"/>
    <cellStyle name="Normal 5 2 2 2 2 3 2 3" xfId="5200" xr:uid="{00000000-0005-0000-0000-00002B170000}"/>
    <cellStyle name="Normal 5 2 2 2 2 3 3" xfId="1305" xr:uid="{00000000-0005-0000-0000-00002C170000}"/>
    <cellStyle name="Normal 5 2 2 2 2 3 3 2" xfId="3535" xr:uid="{00000000-0005-0000-0000-00002D170000}"/>
    <cellStyle name="Normal 5 2 2 2 2 3 3 2 2" xfId="7758" xr:uid="{00000000-0005-0000-0000-00002E170000}"/>
    <cellStyle name="Normal 5 2 2 2 2 3 3 3" xfId="5613" xr:uid="{00000000-0005-0000-0000-00002F170000}"/>
    <cellStyle name="Normal 5 2 2 2 2 3 4" xfId="1718" xr:uid="{00000000-0005-0000-0000-000030170000}"/>
    <cellStyle name="Normal 5 2 2 2 2 3 4 2" xfId="3948" xr:uid="{00000000-0005-0000-0000-000031170000}"/>
    <cellStyle name="Normal 5 2 2 2 2 3 4 2 2" xfId="8171" xr:uid="{00000000-0005-0000-0000-000032170000}"/>
    <cellStyle name="Normal 5 2 2 2 2 3 4 3" xfId="6026" xr:uid="{00000000-0005-0000-0000-000033170000}"/>
    <cellStyle name="Normal 5 2 2 2 2 3 5" xfId="2132" xr:uid="{00000000-0005-0000-0000-000034170000}"/>
    <cellStyle name="Normal 5 2 2 2 2 3 5 2" xfId="4361" xr:uid="{00000000-0005-0000-0000-000035170000}"/>
    <cellStyle name="Normal 5 2 2 2 2 3 5 2 2" xfId="8584" xr:uid="{00000000-0005-0000-0000-000036170000}"/>
    <cellStyle name="Normal 5 2 2 2 2 3 5 3" xfId="6439" xr:uid="{00000000-0005-0000-0000-000037170000}"/>
    <cellStyle name="Normal 5 2 2 2 2 3 6" xfId="2568" xr:uid="{00000000-0005-0000-0000-000038170000}"/>
    <cellStyle name="Normal 5 2 2 2 2 3 6 2" xfId="6852" xr:uid="{00000000-0005-0000-0000-000039170000}"/>
    <cellStyle name="Normal 5 2 2 2 2 3 7" xfId="4787" xr:uid="{00000000-0005-0000-0000-00003A170000}"/>
    <cellStyle name="Normal 5 2 2 2 2 4" xfId="884" xr:uid="{00000000-0005-0000-0000-00003B170000}"/>
    <cellStyle name="Normal 5 2 2 2 2 4 2" xfId="3119" xr:uid="{00000000-0005-0000-0000-00003C170000}"/>
    <cellStyle name="Normal 5 2 2 2 2 4 2 2" xfId="7342" xr:uid="{00000000-0005-0000-0000-00003D170000}"/>
    <cellStyle name="Normal 5 2 2 2 2 4 3" xfId="5197" xr:uid="{00000000-0005-0000-0000-00003E170000}"/>
    <cellStyle name="Normal 5 2 2 2 2 5" xfId="1302" xr:uid="{00000000-0005-0000-0000-00003F170000}"/>
    <cellStyle name="Normal 5 2 2 2 2 5 2" xfId="3532" xr:uid="{00000000-0005-0000-0000-000040170000}"/>
    <cellStyle name="Normal 5 2 2 2 2 5 2 2" xfId="7755" xr:uid="{00000000-0005-0000-0000-000041170000}"/>
    <cellStyle name="Normal 5 2 2 2 2 5 3" xfId="5610" xr:uid="{00000000-0005-0000-0000-000042170000}"/>
    <cellStyle name="Normal 5 2 2 2 2 6" xfId="1715" xr:uid="{00000000-0005-0000-0000-000043170000}"/>
    <cellStyle name="Normal 5 2 2 2 2 6 2" xfId="3945" xr:uid="{00000000-0005-0000-0000-000044170000}"/>
    <cellStyle name="Normal 5 2 2 2 2 6 2 2" xfId="8168" xr:uid="{00000000-0005-0000-0000-000045170000}"/>
    <cellStyle name="Normal 5 2 2 2 2 6 3" xfId="6023" xr:uid="{00000000-0005-0000-0000-000046170000}"/>
    <cellStyle name="Normal 5 2 2 2 2 7" xfId="2129" xr:uid="{00000000-0005-0000-0000-000047170000}"/>
    <cellStyle name="Normal 5 2 2 2 2 7 2" xfId="4358" xr:uid="{00000000-0005-0000-0000-000048170000}"/>
    <cellStyle name="Normal 5 2 2 2 2 7 2 2" xfId="8581" xr:uid="{00000000-0005-0000-0000-000049170000}"/>
    <cellStyle name="Normal 5 2 2 2 2 7 3" xfId="6436" xr:uid="{00000000-0005-0000-0000-00004A170000}"/>
    <cellStyle name="Normal 5 2 2 2 2 8" xfId="2565" xr:uid="{00000000-0005-0000-0000-00004B170000}"/>
    <cellStyle name="Normal 5 2 2 2 2 8 2" xfId="6849" xr:uid="{00000000-0005-0000-0000-00004C170000}"/>
    <cellStyle name="Normal 5 2 2 2 2 9" xfId="4784" xr:uid="{00000000-0005-0000-0000-00004D170000}"/>
    <cellStyle name="Normal 5 2 2 2 3" xfId="414" xr:uid="{00000000-0005-0000-0000-00004E170000}"/>
    <cellStyle name="Normal 5 2 2 2 3 2" xfId="415" xr:uid="{00000000-0005-0000-0000-00004F170000}"/>
    <cellStyle name="Normal 5 2 2 2 3 2 2" xfId="889" xr:uid="{00000000-0005-0000-0000-000050170000}"/>
    <cellStyle name="Normal 5 2 2 2 3 2 2 2" xfId="3124" xr:uid="{00000000-0005-0000-0000-000051170000}"/>
    <cellStyle name="Normal 5 2 2 2 3 2 2 2 2" xfId="7347" xr:uid="{00000000-0005-0000-0000-000052170000}"/>
    <cellStyle name="Normal 5 2 2 2 3 2 2 3" xfId="5202" xr:uid="{00000000-0005-0000-0000-000053170000}"/>
    <cellStyle name="Normal 5 2 2 2 3 2 3" xfId="1307" xr:uid="{00000000-0005-0000-0000-000054170000}"/>
    <cellStyle name="Normal 5 2 2 2 3 2 3 2" xfId="3537" xr:uid="{00000000-0005-0000-0000-000055170000}"/>
    <cellStyle name="Normal 5 2 2 2 3 2 3 2 2" xfId="7760" xr:uid="{00000000-0005-0000-0000-000056170000}"/>
    <cellStyle name="Normal 5 2 2 2 3 2 3 3" xfId="5615" xr:uid="{00000000-0005-0000-0000-000057170000}"/>
    <cellStyle name="Normal 5 2 2 2 3 2 4" xfId="1720" xr:uid="{00000000-0005-0000-0000-000058170000}"/>
    <cellStyle name="Normal 5 2 2 2 3 2 4 2" xfId="3950" xr:uid="{00000000-0005-0000-0000-000059170000}"/>
    <cellStyle name="Normal 5 2 2 2 3 2 4 2 2" xfId="8173" xr:uid="{00000000-0005-0000-0000-00005A170000}"/>
    <cellStyle name="Normal 5 2 2 2 3 2 4 3" xfId="6028" xr:uid="{00000000-0005-0000-0000-00005B170000}"/>
    <cellStyle name="Normal 5 2 2 2 3 2 5" xfId="2134" xr:uid="{00000000-0005-0000-0000-00005C170000}"/>
    <cellStyle name="Normal 5 2 2 2 3 2 5 2" xfId="4363" xr:uid="{00000000-0005-0000-0000-00005D170000}"/>
    <cellStyle name="Normal 5 2 2 2 3 2 5 2 2" xfId="8586" xr:uid="{00000000-0005-0000-0000-00005E170000}"/>
    <cellStyle name="Normal 5 2 2 2 3 2 5 3" xfId="6441" xr:uid="{00000000-0005-0000-0000-00005F170000}"/>
    <cellStyle name="Normal 5 2 2 2 3 2 6" xfId="2570" xr:uid="{00000000-0005-0000-0000-000060170000}"/>
    <cellStyle name="Normal 5 2 2 2 3 2 6 2" xfId="6854" xr:uid="{00000000-0005-0000-0000-000061170000}"/>
    <cellStyle name="Normal 5 2 2 2 3 2 7" xfId="4789" xr:uid="{00000000-0005-0000-0000-000062170000}"/>
    <cellStyle name="Normal 5 2 2 2 3 3" xfId="888" xr:uid="{00000000-0005-0000-0000-000063170000}"/>
    <cellStyle name="Normal 5 2 2 2 3 3 2" xfId="3123" xr:uid="{00000000-0005-0000-0000-000064170000}"/>
    <cellStyle name="Normal 5 2 2 2 3 3 2 2" xfId="7346" xr:uid="{00000000-0005-0000-0000-000065170000}"/>
    <cellStyle name="Normal 5 2 2 2 3 3 3" xfId="5201" xr:uid="{00000000-0005-0000-0000-000066170000}"/>
    <cellStyle name="Normal 5 2 2 2 3 4" xfId="1306" xr:uid="{00000000-0005-0000-0000-000067170000}"/>
    <cellStyle name="Normal 5 2 2 2 3 4 2" xfId="3536" xr:uid="{00000000-0005-0000-0000-000068170000}"/>
    <cellStyle name="Normal 5 2 2 2 3 4 2 2" xfId="7759" xr:uid="{00000000-0005-0000-0000-000069170000}"/>
    <cellStyle name="Normal 5 2 2 2 3 4 3" xfId="5614" xr:uid="{00000000-0005-0000-0000-00006A170000}"/>
    <cellStyle name="Normal 5 2 2 2 3 5" xfId="1719" xr:uid="{00000000-0005-0000-0000-00006B170000}"/>
    <cellStyle name="Normal 5 2 2 2 3 5 2" xfId="3949" xr:uid="{00000000-0005-0000-0000-00006C170000}"/>
    <cellStyle name="Normal 5 2 2 2 3 5 2 2" xfId="8172" xr:uid="{00000000-0005-0000-0000-00006D170000}"/>
    <cellStyle name="Normal 5 2 2 2 3 5 3" xfId="6027" xr:uid="{00000000-0005-0000-0000-00006E170000}"/>
    <cellStyle name="Normal 5 2 2 2 3 6" xfId="2133" xr:uid="{00000000-0005-0000-0000-00006F170000}"/>
    <cellStyle name="Normal 5 2 2 2 3 6 2" xfId="4362" xr:uid="{00000000-0005-0000-0000-000070170000}"/>
    <cellStyle name="Normal 5 2 2 2 3 6 2 2" xfId="8585" xr:uid="{00000000-0005-0000-0000-000071170000}"/>
    <cellStyle name="Normal 5 2 2 2 3 6 3" xfId="6440" xr:uid="{00000000-0005-0000-0000-000072170000}"/>
    <cellStyle name="Normal 5 2 2 2 3 7" xfId="2569" xr:uid="{00000000-0005-0000-0000-000073170000}"/>
    <cellStyle name="Normal 5 2 2 2 3 7 2" xfId="6853" xr:uid="{00000000-0005-0000-0000-000074170000}"/>
    <cellStyle name="Normal 5 2 2 2 3 8" xfId="4788" xr:uid="{00000000-0005-0000-0000-000075170000}"/>
    <cellStyle name="Normal 5 2 2 2 4" xfId="416" xr:uid="{00000000-0005-0000-0000-000076170000}"/>
    <cellStyle name="Normal 5 2 2 2 4 2" xfId="890" xr:uid="{00000000-0005-0000-0000-000077170000}"/>
    <cellStyle name="Normal 5 2 2 2 4 2 2" xfId="3125" xr:uid="{00000000-0005-0000-0000-000078170000}"/>
    <cellStyle name="Normal 5 2 2 2 4 2 2 2" xfId="7348" xr:uid="{00000000-0005-0000-0000-000079170000}"/>
    <cellStyle name="Normal 5 2 2 2 4 2 3" xfId="5203" xr:uid="{00000000-0005-0000-0000-00007A170000}"/>
    <cellStyle name="Normal 5 2 2 2 4 3" xfId="1308" xr:uid="{00000000-0005-0000-0000-00007B170000}"/>
    <cellStyle name="Normal 5 2 2 2 4 3 2" xfId="3538" xr:uid="{00000000-0005-0000-0000-00007C170000}"/>
    <cellStyle name="Normal 5 2 2 2 4 3 2 2" xfId="7761" xr:uid="{00000000-0005-0000-0000-00007D170000}"/>
    <cellStyle name="Normal 5 2 2 2 4 3 3" xfId="5616" xr:uid="{00000000-0005-0000-0000-00007E170000}"/>
    <cellStyle name="Normal 5 2 2 2 4 4" xfId="1721" xr:uid="{00000000-0005-0000-0000-00007F170000}"/>
    <cellStyle name="Normal 5 2 2 2 4 4 2" xfId="3951" xr:uid="{00000000-0005-0000-0000-000080170000}"/>
    <cellStyle name="Normal 5 2 2 2 4 4 2 2" xfId="8174" xr:uid="{00000000-0005-0000-0000-000081170000}"/>
    <cellStyle name="Normal 5 2 2 2 4 4 3" xfId="6029" xr:uid="{00000000-0005-0000-0000-000082170000}"/>
    <cellStyle name="Normal 5 2 2 2 4 5" xfId="2135" xr:uid="{00000000-0005-0000-0000-000083170000}"/>
    <cellStyle name="Normal 5 2 2 2 4 5 2" xfId="4364" xr:uid="{00000000-0005-0000-0000-000084170000}"/>
    <cellStyle name="Normal 5 2 2 2 4 5 2 2" xfId="8587" xr:uid="{00000000-0005-0000-0000-000085170000}"/>
    <cellStyle name="Normal 5 2 2 2 4 5 3" xfId="6442" xr:uid="{00000000-0005-0000-0000-000086170000}"/>
    <cellStyle name="Normal 5 2 2 2 4 6" xfId="2571" xr:uid="{00000000-0005-0000-0000-000087170000}"/>
    <cellStyle name="Normal 5 2 2 2 4 6 2" xfId="6855" xr:uid="{00000000-0005-0000-0000-000088170000}"/>
    <cellStyle name="Normal 5 2 2 2 4 7" xfId="4790" xr:uid="{00000000-0005-0000-0000-000089170000}"/>
    <cellStyle name="Normal 5 2 2 2 5" xfId="883" xr:uid="{00000000-0005-0000-0000-00008A170000}"/>
    <cellStyle name="Normal 5 2 2 2 5 2" xfId="3118" xr:uid="{00000000-0005-0000-0000-00008B170000}"/>
    <cellStyle name="Normal 5 2 2 2 5 2 2" xfId="7341" xr:uid="{00000000-0005-0000-0000-00008C170000}"/>
    <cellStyle name="Normal 5 2 2 2 5 3" xfId="5196" xr:uid="{00000000-0005-0000-0000-00008D170000}"/>
    <cellStyle name="Normal 5 2 2 2 6" xfId="1301" xr:uid="{00000000-0005-0000-0000-00008E170000}"/>
    <cellStyle name="Normal 5 2 2 2 6 2" xfId="3531" xr:uid="{00000000-0005-0000-0000-00008F170000}"/>
    <cellStyle name="Normal 5 2 2 2 6 2 2" xfId="7754" xr:uid="{00000000-0005-0000-0000-000090170000}"/>
    <cellStyle name="Normal 5 2 2 2 6 3" xfId="5609" xr:uid="{00000000-0005-0000-0000-000091170000}"/>
    <cellStyle name="Normal 5 2 2 2 7" xfId="1714" xr:uid="{00000000-0005-0000-0000-000092170000}"/>
    <cellStyle name="Normal 5 2 2 2 7 2" xfId="3944" xr:uid="{00000000-0005-0000-0000-000093170000}"/>
    <cellStyle name="Normal 5 2 2 2 7 2 2" xfId="8167" xr:uid="{00000000-0005-0000-0000-000094170000}"/>
    <cellStyle name="Normal 5 2 2 2 7 3" xfId="6022" xr:uid="{00000000-0005-0000-0000-000095170000}"/>
    <cellStyle name="Normal 5 2 2 2 8" xfId="2128" xr:uid="{00000000-0005-0000-0000-000096170000}"/>
    <cellStyle name="Normal 5 2 2 2 8 2" xfId="4357" xr:uid="{00000000-0005-0000-0000-000097170000}"/>
    <cellStyle name="Normal 5 2 2 2 8 2 2" xfId="8580" xr:uid="{00000000-0005-0000-0000-000098170000}"/>
    <cellStyle name="Normal 5 2 2 2 8 3" xfId="6435" xr:uid="{00000000-0005-0000-0000-000099170000}"/>
    <cellStyle name="Normal 5 2 2 2 9" xfId="2564" xr:uid="{00000000-0005-0000-0000-00009A170000}"/>
    <cellStyle name="Normal 5 2 2 2 9 2" xfId="6848" xr:uid="{00000000-0005-0000-0000-00009B170000}"/>
    <cellStyle name="Normal 5 2 2 3" xfId="417" xr:uid="{00000000-0005-0000-0000-00009C170000}"/>
    <cellStyle name="Normal 5 2 2 3 2" xfId="418" xr:uid="{00000000-0005-0000-0000-00009D170000}"/>
    <cellStyle name="Normal 5 2 2 3 2 2" xfId="419" xr:uid="{00000000-0005-0000-0000-00009E170000}"/>
    <cellStyle name="Normal 5 2 2 3 2 2 2" xfId="893" xr:uid="{00000000-0005-0000-0000-00009F170000}"/>
    <cellStyle name="Normal 5 2 2 3 2 2 2 2" xfId="3128" xr:uid="{00000000-0005-0000-0000-0000A0170000}"/>
    <cellStyle name="Normal 5 2 2 3 2 2 2 2 2" xfId="7351" xr:uid="{00000000-0005-0000-0000-0000A1170000}"/>
    <cellStyle name="Normal 5 2 2 3 2 2 2 3" xfId="5206" xr:uid="{00000000-0005-0000-0000-0000A2170000}"/>
    <cellStyle name="Normal 5 2 2 3 2 2 3" xfId="1311" xr:uid="{00000000-0005-0000-0000-0000A3170000}"/>
    <cellStyle name="Normal 5 2 2 3 2 2 3 2" xfId="3541" xr:uid="{00000000-0005-0000-0000-0000A4170000}"/>
    <cellStyle name="Normal 5 2 2 3 2 2 3 2 2" xfId="7764" xr:uid="{00000000-0005-0000-0000-0000A5170000}"/>
    <cellStyle name="Normal 5 2 2 3 2 2 3 3" xfId="5619" xr:uid="{00000000-0005-0000-0000-0000A6170000}"/>
    <cellStyle name="Normal 5 2 2 3 2 2 4" xfId="1724" xr:uid="{00000000-0005-0000-0000-0000A7170000}"/>
    <cellStyle name="Normal 5 2 2 3 2 2 4 2" xfId="3954" xr:uid="{00000000-0005-0000-0000-0000A8170000}"/>
    <cellStyle name="Normal 5 2 2 3 2 2 4 2 2" xfId="8177" xr:uid="{00000000-0005-0000-0000-0000A9170000}"/>
    <cellStyle name="Normal 5 2 2 3 2 2 4 3" xfId="6032" xr:uid="{00000000-0005-0000-0000-0000AA170000}"/>
    <cellStyle name="Normal 5 2 2 3 2 2 5" xfId="2138" xr:uid="{00000000-0005-0000-0000-0000AB170000}"/>
    <cellStyle name="Normal 5 2 2 3 2 2 5 2" xfId="4367" xr:uid="{00000000-0005-0000-0000-0000AC170000}"/>
    <cellStyle name="Normal 5 2 2 3 2 2 5 2 2" xfId="8590" xr:uid="{00000000-0005-0000-0000-0000AD170000}"/>
    <cellStyle name="Normal 5 2 2 3 2 2 5 3" xfId="6445" xr:uid="{00000000-0005-0000-0000-0000AE170000}"/>
    <cellStyle name="Normal 5 2 2 3 2 2 6" xfId="2574" xr:uid="{00000000-0005-0000-0000-0000AF170000}"/>
    <cellStyle name="Normal 5 2 2 3 2 2 6 2" xfId="6858" xr:uid="{00000000-0005-0000-0000-0000B0170000}"/>
    <cellStyle name="Normal 5 2 2 3 2 2 7" xfId="4793" xr:uid="{00000000-0005-0000-0000-0000B1170000}"/>
    <cellStyle name="Normal 5 2 2 3 2 3" xfId="892" xr:uid="{00000000-0005-0000-0000-0000B2170000}"/>
    <cellStyle name="Normal 5 2 2 3 2 3 2" xfId="3127" xr:uid="{00000000-0005-0000-0000-0000B3170000}"/>
    <cellStyle name="Normal 5 2 2 3 2 3 2 2" xfId="7350" xr:uid="{00000000-0005-0000-0000-0000B4170000}"/>
    <cellStyle name="Normal 5 2 2 3 2 3 3" xfId="5205" xr:uid="{00000000-0005-0000-0000-0000B5170000}"/>
    <cellStyle name="Normal 5 2 2 3 2 4" xfId="1310" xr:uid="{00000000-0005-0000-0000-0000B6170000}"/>
    <cellStyle name="Normal 5 2 2 3 2 4 2" xfId="3540" xr:uid="{00000000-0005-0000-0000-0000B7170000}"/>
    <cellStyle name="Normal 5 2 2 3 2 4 2 2" xfId="7763" xr:uid="{00000000-0005-0000-0000-0000B8170000}"/>
    <cellStyle name="Normal 5 2 2 3 2 4 3" xfId="5618" xr:uid="{00000000-0005-0000-0000-0000B9170000}"/>
    <cellStyle name="Normal 5 2 2 3 2 5" xfId="1723" xr:uid="{00000000-0005-0000-0000-0000BA170000}"/>
    <cellStyle name="Normal 5 2 2 3 2 5 2" xfId="3953" xr:uid="{00000000-0005-0000-0000-0000BB170000}"/>
    <cellStyle name="Normal 5 2 2 3 2 5 2 2" xfId="8176" xr:uid="{00000000-0005-0000-0000-0000BC170000}"/>
    <cellStyle name="Normal 5 2 2 3 2 5 3" xfId="6031" xr:uid="{00000000-0005-0000-0000-0000BD170000}"/>
    <cellStyle name="Normal 5 2 2 3 2 6" xfId="2137" xr:uid="{00000000-0005-0000-0000-0000BE170000}"/>
    <cellStyle name="Normal 5 2 2 3 2 6 2" xfId="4366" xr:uid="{00000000-0005-0000-0000-0000BF170000}"/>
    <cellStyle name="Normal 5 2 2 3 2 6 2 2" xfId="8589" xr:uid="{00000000-0005-0000-0000-0000C0170000}"/>
    <cellStyle name="Normal 5 2 2 3 2 6 3" xfId="6444" xr:uid="{00000000-0005-0000-0000-0000C1170000}"/>
    <cellStyle name="Normal 5 2 2 3 2 7" xfId="2573" xr:uid="{00000000-0005-0000-0000-0000C2170000}"/>
    <cellStyle name="Normal 5 2 2 3 2 7 2" xfId="6857" xr:uid="{00000000-0005-0000-0000-0000C3170000}"/>
    <cellStyle name="Normal 5 2 2 3 2 8" xfId="4792" xr:uid="{00000000-0005-0000-0000-0000C4170000}"/>
    <cellStyle name="Normal 5 2 2 3 3" xfId="420" xr:uid="{00000000-0005-0000-0000-0000C5170000}"/>
    <cellStyle name="Normal 5 2 2 3 3 2" xfId="894" xr:uid="{00000000-0005-0000-0000-0000C6170000}"/>
    <cellStyle name="Normal 5 2 2 3 3 2 2" xfId="3129" xr:uid="{00000000-0005-0000-0000-0000C7170000}"/>
    <cellStyle name="Normal 5 2 2 3 3 2 2 2" xfId="7352" xr:uid="{00000000-0005-0000-0000-0000C8170000}"/>
    <cellStyle name="Normal 5 2 2 3 3 2 3" xfId="5207" xr:uid="{00000000-0005-0000-0000-0000C9170000}"/>
    <cellStyle name="Normal 5 2 2 3 3 3" xfId="1312" xr:uid="{00000000-0005-0000-0000-0000CA170000}"/>
    <cellStyle name="Normal 5 2 2 3 3 3 2" xfId="3542" xr:uid="{00000000-0005-0000-0000-0000CB170000}"/>
    <cellStyle name="Normal 5 2 2 3 3 3 2 2" xfId="7765" xr:uid="{00000000-0005-0000-0000-0000CC170000}"/>
    <cellStyle name="Normal 5 2 2 3 3 3 3" xfId="5620" xr:uid="{00000000-0005-0000-0000-0000CD170000}"/>
    <cellStyle name="Normal 5 2 2 3 3 4" xfId="1725" xr:uid="{00000000-0005-0000-0000-0000CE170000}"/>
    <cellStyle name="Normal 5 2 2 3 3 4 2" xfId="3955" xr:uid="{00000000-0005-0000-0000-0000CF170000}"/>
    <cellStyle name="Normal 5 2 2 3 3 4 2 2" xfId="8178" xr:uid="{00000000-0005-0000-0000-0000D0170000}"/>
    <cellStyle name="Normal 5 2 2 3 3 4 3" xfId="6033" xr:uid="{00000000-0005-0000-0000-0000D1170000}"/>
    <cellStyle name="Normal 5 2 2 3 3 5" xfId="2139" xr:uid="{00000000-0005-0000-0000-0000D2170000}"/>
    <cellStyle name="Normal 5 2 2 3 3 5 2" xfId="4368" xr:uid="{00000000-0005-0000-0000-0000D3170000}"/>
    <cellStyle name="Normal 5 2 2 3 3 5 2 2" xfId="8591" xr:uid="{00000000-0005-0000-0000-0000D4170000}"/>
    <cellStyle name="Normal 5 2 2 3 3 5 3" xfId="6446" xr:uid="{00000000-0005-0000-0000-0000D5170000}"/>
    <cellStyle name="Normal 5 2 2 3 3 6" xfId="2575" xr:uid="{00000000-0005-0000-0000-0000D6170000}"/>
    <cellStyle name="Normal 5 2 2 3 3 6 2" xfId="6859" xr:uid="{00000000-0005-0000-0000-0000D7170000}"/>
    <cellStyle name="Normal 5 2 2 3 3 7" xfId="4794" xr:uid="{00000000-0005-0000-0000-0000D8170000}"/>
    <cellStyle name="Normal 5 2 2 3 4" xfId="891" xr:uid="{00000000-0005-0000-0000-0000D9170000}"/>
    <cellStyle name="Normal 5 2 2 3 4 2" xfId="3126" xr:uid="{00000000-0005-0000-0000-0000DA170000}"/>
    <cellStyle name="Normal 5 2 2 3 4 2 2" xfId="7349" xr:uid="{00000000-0005-0000-0000-0000DB170000}"/>
    <cellStyle name="Normal 5 2 2 3 4 3" xfId="5204" xr:uid="{00000000-0005-0000-0000-0000DC170000}"/>
    <cellStyle name="Normal 5 2 2 3 5" xfId="1309" xr:uid="{00000000-0005-0000-0000-0000DD170000}"/>
    <cellStyle name="Normal 5 2 2 3 5 2" xfId="3539" xr:uid="{00000000-0005-0000-0000-0000DE170000}"/>
    <cellStyle name="Normal 5 2 2 3 5 2 2" xfId="7762" xr:uid="{00000000-0005-0000-0000-0000DF170000}"/>
    <cellStyle name="Normal 5 2 2 3 5 3" xfId="5617" xr:uid="{00000000-0005-0000-0000-0000E0170000}"/>
    <cellStyle name="Normal 5 2 2 3 6" xfId="1722" xr:uid="{00000000-0005-0000-0000-0000E1170000}"/>
    <cellStyle name="Normal 5 2 2 3 6 2" xfId="3952" xr:uid="{00000000-0005-0000-0000-0000E2170000}"/>
    <cellStyle name="Normal 5 2 2 3 6 2 2" xfId="8175" xr:uid="{00000000-0005-0000-0000-0000E3170000}"/>
    <cellStyle name="Normal 5 2 2 3 6 3" xfId="6030" xr:uid="{00000000-0005-0000-0000-0000E4170000}"/>
    <cellStyle name="Normal 5 2 2 3 7" xfId="2136" xr:uid="{00000000-0005-0000-0000-0000E5170000}"/>
    <cellStyle name="Normal 5 2 2 3 7 2" xfId="4365" xr:uid="{00000000-0005-0000-0000-0000E6170000}"/>
    <cellStyle name="Normal 5 2 2 3 7 2 2" xfId="8588" xr:uid="{00000000-0005-0000-0000-0000E7170000}"/>
    <cellStyle name="Normal 5 2 2 3 7 3" xfId="6443" xr:uid="{00000000-0005-0000-0000-0000E8170000}"/>
    <cellStyle name="Normal 5 2 2 3 8" xfId="2572" xr:uid="{00000000-0005-0000-0000-0000E9170000}"/>
    <cellStyle name="Normal 5 2 2 3 8 2" xfId="6856" xr:uid="{00000000-0005-0000-0000-0000EA170000}"/>
    <cellStyle name="Normal 5 2 2 3 9" xfId="4791" xr:uid="{00000000-0005-0000-0000-0000EB170000}"/>
    <cellStyle name="Normal 5 2 2 4" xfId="421" xr:uid="{00000000-0005-0000-0000-0000EC170000}"/>
    <cellStyle name="Normal 5 2 2 4 2" xfId="422" xr:uid="{00000000-0005-0000-0000-0000ED170000}"/>
    <cellStyle name="Normal 5 2 2 4 2 2" xfId="896" xr:uid="{00000000-0005-0000-0000-0000EE170000}"/>
    <cellStyle name="Normal 5 2 2 4 2 2 2" xfId="3131" xr:uid="{00000000-0005-0000-0000-0000EF170000}"/>
    <cellStyle name="Normal 5 2 2 4 2 2 2 2" xfId="7354" xr:uid="{00000000-0005-0000-0000-0000F0170000}"/>
    <cellStyle name="Normal 5 2 2 4 2 2 3" xfId="5209" xr:uid="{00000000-0005-0000-0000-0000F1170000}"/>
    <cellStyle name="Normal 5 2 2 4 2 3" xfId="1314" xr:uid="{00000000-0005-0000-0000-0000F2170000}"/>
    <cellStyle name="Normal 5 2 2 4 2 3 2" xfId="3544" xr:uid="{00000000-0005-0000-0000-0000F3170000}"/>
    <cellStyle name="Normal 5 2 2 4 2 3 2 2" xfId="7767" xr:uid="{00000000-0005-0000-0000-0000F4170000}"/>
    <cellStyle name="Normal 5 2 2 4 2 3 3" xfId="5622" xr:uid="{00000000-0005-0000-0000-0000F5170000}"/>
    <cellStyle name="Normal 5 2 2 4 2 4" xfId="1727" xr:uid="{00000000-0005-0000-0000-0000F6170000}"/>
    <cellStyle name="Normal 5 2 2 4 2 4 2" xfId="3957" xr:uid="{00000000-0005-0000-0000-0000F7170000}"/>
    <cellStyle name="Normal 5 2 2 4 2 4 2 2" xfId="8180" xr:uid="{00000000-0005-0000-0000-0000F8170000}"/>
    <cellStyle name="Normal 5 2 2 4 2 4 3" xfId="6035" xr:uid="{00000000-0005-0000-0000-0000F9170000}"/>
    <cellStyle name="Normal 5 2 2 4 2 5" xfId="2141" xr:uid="{00000000-0005-0000-0000-0000FA170000}"/>
    <cellStyle name="Normal 5 2 2 4 2 5 2" xfId="4370" xr:uid="{00000000-0005-0000-0000-0000FB170000}"/>
    <cellStyle name="Normal 5 2 2 4 2 5 2 2" xfId="8593" xr:uid="{00000000-0005-0000-0000-0000FC170000}"/>
    <cellStyle name="Normal 5 2 2 4 2 5 3" xfId="6448" xr:uid="{00000000-0005-0000-0000-0000FD170000}"/>
    <cellStyle name="Normal 5 2 2 4 2 6" xfId="2577" xr:uid="{00000000-0005-0000-0000-0000FE170000}"/>
    <cellStyle name="Normal 5 2 2 4 2 6 2" xfId="6861" xr:uid="{00000000-0005-0000-0000-0000FF170000}"/>
    <cellStyle name="Normal 5 2 2 4 2 7" xfId="4796" xr:uid="{00000000-0005-0000-0000-000000180000}"/>
    <cellStyle name="Normal 5 2 2 4 3" xfId="895" xr:uid="{00000000-0005-0000-0000-000001180000}"/>
    <cellStyle name="Normal 5 2 2 4 3 2" xfId="3130" xr:uid="{00000000-0005-0000-0000-000002180000}"/>
    <cellStyle name="Normal 5 2 2 4 3 2 2" xfId="7353" xr:uid="{00000000-0005-0000-0000-000003180000}"/>
    <cellStyle name="Normal 5 2 2 4 3 3" xfId="5208" xr:uid="{00000000-0005-0000-0000-000004180000}"/>
    <cellStyle name="Normal 5 2 2 4 4" xfId="1313" xr:uid="{00000000-0005-0000-0000-000005180000}"/>
    <cellStyle name="Normal 5 2 2 4 4 2" xfId="3543" xr:uid="{00000000-0005-0000-0000-000006180000}"/>
    <cellStyle name="Normal 5 2 2 4 4 2 2" xfId="7766" xr:uid="{00000000-0005-0000-0000-000007180000}"/>
    <cellStyle name="Normal 5 2 2 4 4 3" xfId="5621" xr:uid="{00000000-0005-0000-0000-000008180000}"/>
    <cellStyle name="Normal 5 2 2 4 5" xfId="1726" xr:uid="{00000000-0005-0000-0000-000009180000}"/>
    <cellStyle name="Normal 5 2 2 4 5 2" xfId="3956" xr:uid="{00000000-0005-0000-0000-00000A180000}"/>
    <cellStyle name="Normal 5 2 2 4 5 2 2" xfId="8179" xr:uid="{00000000-0005-0000-0000-00000B180000}"/>
    <cellStyle name="Normal 5 2 2 4 5 3" xfId="6034" xr:uid="{00000000-0005-0000-0000-00000C180000}"/>
    <cellStyle name="Normal 5 2 2 4 6" xfId="2140" xr:uid="{00000000-0005-0000-0000-00000D180000}"/>
    <cellStyle name="Normal 5 2 2 4 6 2" xfId="4369" xr:uid="{00000000-0005-0000-0000-00000E180000}"/>
    <cellStyle name="Normal 5 2 2 4 6 2 2" xfId="8592" xr:uid="{00000000-0005-0000-0000-00000F180000}"/>
    <cellStyle name="Normal 5 2 2 4 6 3" xfId="6447" xr:uid="{00000000-0005-0000-0000-000010180000}"/>
    <cellStyle name="Normal 5 2 2 4 7" xfId="2576" xr:uid="{00000000-0005-0000-0000-000011180000}"/>
    <cellStyle name="Normal 5 2 2 4 7 2" xfId="6860" xr:uid="{00000000-0005-0000-0000-000012180000}"/>
    <cellStyle name="Normal 5 2 2 4 8" xfId="4795" xr:uid="{00000000-0005-0000-0000-000013180000}"/>
    <cellStyle name="Normal 5 2 2 5" xfId="423" xr:uid="{00000000-0005-0000-0000-000014180000}"/>
    <cellStyle name="Normal 5 2 2 5 2" xfId="897" xr:uid="{00000000-0005-0000-0000-000015180000}"/>
    <cellStyle name="Normal 5 2 2 5 2 2" xfId="3132" xr:uid="{00000000-0005-0000-0000-000016180000}"/>
    <cellStyle name="Normal 5 2 2 5 2 2 2" xfId="7355" xr:uid="{00000000-0005-0000-0000-000017180000}"/>
    <cellStyle name="Normal 5 2 2 5 2 3" xfId="5210" xr:uid="{00000000-0005-0000-0000-000018180000}"/>
    <cellStyle name="Normal 5 2 2 5 3" xfId="1315" xr:uid="{00000000-0005-0000-0000-000019180000}"/>
    <cellStyle name="Normal 5 2 2 5 3 2" xfId="3545" xr:uid="{00000000-0005-0000-0000-00001A180000}"/>
    <cellStyle name="Normal 5 2 2 5 3 2 2" xfId="7768" xr:uid="{00000000-0005-0000-0000-00001B180000}"/>
    <cellStyle name="Normal 5 2 2 5 3 3" xfId="5623" xr:uid="{00000000-0005-0000-0000-00001C180000}"/>
    <cellStyle name="Normal 5 2 2 5 4" xfId="1728" xr:uid="{00000000-0005-0000-0000-00001D180000}"/>
    <cellStyle name="Normal 5 2 2 5 4 2" xfId="3958" xr:uid="{00000000-0005-0000-0000-00001E180000}"/>
    <cellStyle name="Normal 5 2 2 5 4 2 2" xfId="8181" xr:uid="{00000000-0005-0000-0000-00001F180000}"/>
    <cellStyle name="Normal 5 2 2 5 4 3" xfId="6036" xr:uid="{00000000-0005-0000-0000-000020180000}"/>
    <cellStyle name="Normal 5 2 2 5 5" xfId="2142" xr:uid="{00000000-0005-0000-0000-000021180000}"/>
    <cellStyle name="Normal 5 2 2 5 5 2" xfId="4371" xr:uid="{00000000-0005-0000-0000-000022180000}"/>
    <cellStyle name="Normal 5 2 2 5 5 2 2" xfId="8594" xr:uid="{00000000-0005-0000-0000-000023180000}"/>
    <cellStyle name="Normal 5 2 2 5 5 3" xfId="6449" xr:uid="{00000000-0005-0000-0000-000024180000}"/>
    <cellStyle name="Normal 5 2 2 5 6" xfId="2578" xr:uid="{00000000-0005-0000-0000-000025180000}"/>
    <cellStyle name="Normal 5 2 2 5 6 2" xfId="6862" xr:uid="{00000000-0005-0000-0000-000026180000}"/>
    <cellStyle name="Normal 5 2 2 5 7" xfId="4797" xr:uid="{00000000-0005-0000-0000-000027180000}"/>
    <cellStyle name="Normal 5 2 2 6" xfId="882" xr:uid="{00000000-0005-0000-0000-000028180000}"/>
    <cellStyle name="Normal 5 2 2 6 2" xfId="3117" xr:uid="{00000000-0005-0000-0000-000029180000}"/>
    <cellStyle name="Normal 5 2 2 6 2 2" xfId="7340" xr:uid="{00000000-0005-0000-0000-00002A180000}"/>
    <cellStyle name="Normal 5 2 2 6 3" xfId="5195" xr:uid="{00000000-0005-0000-0000-00002B180000}"/>
    <cellStyle name="Normal 5 2 2 7" xfId="1300" xr:uid="{00000000-0005-0000-0000-00002C180000}"/>
    <cellStyle name="Normal 5 2 2 7 2" xfId="3530" xr:uid="{00000000-0005-0000-0000-00002D180000}"/>
    <cellStyle name="Normal 5 2 2 7 2 2" xfId="7753" xr:uid="{00000000-0005-0000-0000-00002E180000}"/>
    <cellStyle name="Normal 5 2 2 7 3" xfId="5608" xr:uid="{00000000-0005-0000-0000-00002F180000}"/>
    <cellStyle name="Normal 5 2 2 8" xfId="1713" xr:uid="{00000000-0005-0000-0000-000030180000}"/>
    <cellStyle name="Normal 5 2 2 8 2" xfId="3943" xr:uid="{00000000-0005-0000-0000-000031180000}"/>
    <cellStyle name="Normal 5 2 2 8 2 2" xfId="8166" xr:uid="{00000000-0005-0000-0000-000032180000}"/>
    <cellStyle name="Normal 5 2 2 8 3" xfId="6021" xr:uid="{00000000-0005-0000-0000-000033180000}"/>
    <cellStyle name="Normal 5 2 2 9" xfId="2127" xr:uid="{00000000-0005-0000-0000-000034180000}"/>
    <cellStyle name="Normal 5 2 2 9 2" xfId="4356" xr:uid="{00000000-0005-0000-0000-000035180000}"/>
    <cellStyle name="Normal 5 2 2 9 2 2" xfId="8579" xr:uid="{00000000-0005-0000-0000-000036180000}"/>
    <cellStyle name="Normal 5 2 2 9 3" xfId="6434" xr:uid="{00000000-0005-0000-0000-000037180000}"/>
    <cellStyle name="Normal 5 2 3" xfId="424" xr:uid="{00000000-0005-0000-0000-000038180000}"/>
    <cellStyle name="Normal 5 2 3 10" xfId="4798" xr:uid="{00000000-0005-0000-0000-000039180000}"/>
    <cellStyle name="Normal 5 2 3 2" xfId="425" xr:uid="{00000000-0005-0000-0000-00003A180000}"/>
    <cellStyle name="Normal 5 2 3 2 2" xfId="426" xr:uid="{00000000-0005-0000-0000-00003B180000}"/>
    <cellStyle name="Normal 5 2 3 2 2 2" xfId="427" xr:uid="{00000000-0005-0000-0000-00003C180000}"/>
    <cellStyle name="Normal 5 2 3 2 2 2 2" xfId="901" xr:uid="{00000000-0005-0000-0000-00003D180000}"/>
    <cellStyle name="Normal 5 2 3 2 2 2 2 2" xfId="3136" xr:uid="{00000000-0005-0000-0000-00003E180000}"/>
    <cellStyle name="Normal 5 2 3 2 2 2 2 2 2" xfId="7359" xr:uid="{00000000-0005-0000-0000-00003F180000}"/>
    <cellStyle name="Normal 5 2 3 2 2 2 2 3" xfId="5214" xr:uid="{00000000-0005-0000-0000-000040180000}"/>
    <cellStyle name="Normal 5 2 3 2 2 2 3" xfId="1319" xr:uid="{00000000-0005-0000-0000-000041180000}"/>
    <cellStyle name="Normal 5 2 3 2 2 2 3 2" xfId="3549" xr:uid="{00000000-0005-0000-0000-000042180000}"/>
    <cellStyle name="Normal 5 2 3 2 2 2 3 2 2" xfId="7772" xr:uid="{00000000-0005-0000-0000-000043180000}"/>
    <cellStyle name="Normal 5 2 3 2 2 2 3 3" xfId="5627" xr:uid="{00000000-0005-0000-0000-000044180000}"/>
    <cellStyle name="Normal 5 2 3 2 2 2 4" xfId="1732" xr:uid="{00000000-0005-0000-0000-000045180000}"/>
    <cellStyle name="Normal 5 2 3 2 2 2 4 2" xfId="3962" xr:uid="{00000000-0005-0000-0000-000046180000}"/>
    <cellStyle name="Normal 5 2 3 2 2 2 4 2 2" xfId="8185" xr:uid="{00000000-0005-0000-0000-000047180000}"/>
    <cellStyle name="Normal 5 2 3 2 2 2 4 3" xfId="6040" xr:uid="{00000000-0005-0000-0000-000048180000}"/>
    <cellStyle name="Normal 5 2 3 2 2 2 5" xfId="2146" xr:uid="{00000000-0005-0000-0000-000049180000}"/>
    <cellStyle name="Normal 5 2 3 2 2 2 5 2" xfId="4375" xr:uid="{00000000-0005-0000-0000-00004A180000}"/>
    <cellStyle name="Normal 5 2 3 2 2 2 5 2 2" xfId="8598" xr:uid="{00000000-0005-0000-0000-00004B180000}"/>
    <cellStyle name="Normal 5 2 3 2 2 2 5 3" xfId="6453" xr:uid="{00000000-0005-0000-0000-00004C180000}"/>
    <cellStyle name="Normal 5 2 3 2 2 2 6" xfId="2582" xr:uid="{00000000-0005-0000-0000-00004D180000}"/>
    <cellStyle name="Normal 5 2 3 2 2 2 6 2" xfId="6866" xr:uid="{00000000-0005-0000-0000-00004E180000}"/>
    <cellStyle name="Normal 5 2 3 2 2 2 7" xfId="4801" xr:uid="{00000000-0005-0000-0000-00004F180000}"/>
    <cellStyle name="Normal 5 2 3 2 2 3" xfId="900" xr:uid="{00000000-0005-0000-0000-000050180000}"/>
    <cellStyle name="Normal 5 2 3 2 2 3 2" xfId="3135" xr:uid="{00000000-0005-0000-0000-000051180000}"/>
    <cellStyle name="Normal 5 2 3 2 2 3 2 2" xfId="7358" xr:uid="{00000000-0005-0000-0000-000052180000}"/>
    <cellStyle name="Normal 5 2 3 2 2 3 3" xfId="5213" xr:uid="{00000000-0005-0000-0000-000053180000}"/>
    <cellStyle name="Normal 5 2 3 2 2 4" xfId="1318" xr:uid="{00000000-0005-0000-0000-000054180000}"/>
    <cellStyle name="Normal 5 2 3 2 2 4 2" xfId="3548" xr:uid="{00000000-0005-0000-0000-000055180000}"/>
    <cellStyle name="Normal 5 2 3 2 2 4 2 2" xfId="7771" xr:uid="{00000000-0005-0000-0000-000056180000}"/>
    <cellStyle name="Normal 5 2 3 2 2 4 3" xfId="5626" xr:uid="{00000000-0005-0000-0000-000057180000}"/>
    <cellStyle name="Normal 5 2 3 2 2 5" xfId="1731" xr:uid="{00000000-0005-0000-0000-000058180000}"/>
    <cellStyle name="Normal 5 2 3 2 2 5 2" xfId="3961" xr:uid="{00000000-0005-0000-0000-000059180000}"/>
    <cellStyle name="Normal 5 2 3 2 2 5 2 2" xfId="8184" xr:uid="{00000000-0005-0000-0000-00005A180000}"/>
    <cellStyle name="Normal 5 2 3 2 2 5 3" xfId="6039" xr:uid="{00000000-0005-0000-0000-00005B180000}"/>
    <cellStyle name="Normal 5 2 3 2 2 6" xfId="2145" xr:uid="{00000000-0005-0000-0000-00005C180000}"/>
    <cellStyle name="Normal 5 2 3 2 2 6 2" xfId="4374" xr:uid="{00000000-0005-0000-0000-00005D180000}"/>
    <cellStyle name="Normal 5 2 3 2 2 6 2 2" xfId="8597" xr:uid="{00000000-0005-0000-0000-00005E180000}"/>
    <cellStyle name="Normal 5 2 3 2 2 6 3" xfId="6452" xr:uid="{00000000-0005-0000-0000-00005F180000}"/>
    <cellStyle name="Normal 5 2 3 2 2 7" xfId="2581" xr:uid="{00000000-0005-0000-0000-000060180000}"/>
    <cellStyle name="Normal 5 2 3 2 2 7 2" xfId="6865" xr:uid="{00000000-0005-0000-0000-000061180000}"/>
    <cellStyle name="Normal 5 2 3 2 2 8" xfId="4800" xr:uid="{00000000-0005-0000-0000-000062180000}"/>
    <cellStyle name="Normal 5 2 3 2 3" xfId="428" xr:uid="{00000000-0005-0000-0000-000063180000}"/>
    <cellStyle name="Normal 5 2 3 2 3 2" xfId="902" xr:uid="{00000000-0005-0000-0000-000064180000}"/>
    <cellStyle name="Normal 5 2 3 2 3 2 2" xfId="3137" xr:uid="{00000000-0005-0000-0000-000065180000}"/>
    <cellStyle name="Normal 5 2 3 2 3 2 2 2" xfId="7360" xr:uid="{00000000-0005-0000-0000-000066180000}"/>
    <cellStyle name="Normal 5 2 3 2 3 2 3" xfId="5215" xr:uid="{00000000-0005-0000-0000-000067180000}"/>
    <cellStyle name="Normal 5 2 3 2 3 3" xfId="1320" xr:uid="{00000000-0005-0000-0000-000068180000}"/>
    <cellStyle name="Normal 5 2 3 2 3 3 2" xfId="3550" xr:uid="{00000000-0005-0000-0000-000069180000}"/>
    <cellStyle name="Normal 5 2 3 2 3 3 2 2" xfId="7773" xr:uid="{00000000-0005-0000-0000-00006A180000}"/>
    <cellStyle name="Normal 5 2 3 2 3 3 3" xfId="5628" xr:uid="{00000000-0005-0000-0000-00006B180000}"/>
    <cellStyle name="Normal 5 2 3 2 3 4" xfId="1733" xr:uid="{00000000-0005-0000-0000-00006C180000}"/>
    <cellStyle name="Normal 5 2 3 2 3 4 2" xfId="3963" xr:uid="{00000000-0005-0000-0000-00006D180000}"/>
    <cellStyle name="Normal 5 2 3 2 3 4 2 2" xfId="8186" xr:uid="{00000000-0005-0000-0000-00006E180000}"/>
    <cellStyle name="Normal 5 2 3 2 3 4 3" xfId="6041" xr:uid="{00000000-0005-0000-0000-00006F180000}"/>
    <cellStyle name="Normal 5 2 3 2 3 5" xfId="2147" xr:uid="{00000000-0005-0000-0000-000070180000}"/>
    <cellStyle name="Normal 5 2 3 2 3 5 2" xfId="4376" xr:uid="{00000000-0005-0000-0000-000071180000}"/>
    <cellStyle name="Normal 5 2 3 2 3 5 2 2" xfId="8599" xr:uid="{00000000-0005-0000-0000-000072180000}"/>
    <cellStyle name="Normal 5 2 3 2 3 5 3" xfId="6454" xr:uid="{00000000-0005-0000-0000-000073180000}"/>
    <cellStyle name="Normal 5 2 3 2 3 6" xfId="2583" xr:uid="{00000000-0005-0000-0000-000074180000}"/>
    <cellStyle name="Normal 5 2 3 2 3 6 2" xfId="6867" xr:uid="{00000000-0005-0000-0000-000075180000}"/>
    <cellStyle name="Normal 5 2 3 2 3 7" xfId="4802" xr:uid="{00000000-0005-0000-0000-000076180000}"/>
    <cellStyle name="Normal 5 2 3 2 4" xfId="899" xr:uid="{00000000-0005-0000-0000-000077180000}"/>
    <cellStyle name="Normal 5 2 3 2 4 2" xfId="3134" xr:uid="{00000000-0005-0000-0000-000078180000}"/>
    <cellStyle name="Normal 5 2 3 2 4 2 2" xfId="7357" xr:uid="{00000000-0005-0000-0000-000079180000}"/>
    <cellStyle name="Normal 5 2 3 2 4 3" xfId="5212" xr:uid="{00000000-0005-0000-0000-00007A180000}"/>
    <cellStyle name="Normal 5 2 3 2 5" xfId="1317" xr:uid="{00000000-0005-0000-0000-00007B180000}"/>
    <cellStyle name="Normal 5 2 3 2 5 2" xfId="3547" xr:uid="{00000000-0005-0000-0000-00007C180000}"/>
    <cellStyle name="Normal 5 2 3 2 5 2 2" xfId="7770" xr:uid="{00000000-0005-0000-0000-00007D180000}"/>
    <cellStyle name="Normal 5 2 3 2 5 3" xfId="5625" xr:uid="{00000000-0005-0000-0000-00007E180000}"/>
    <cellStyle name="Normal 5 2 3 2 6" xfId="1730" xr:uid="{00000000-0005-0000-0000-00007F180000}"/>
    <cellStyle name="Normal 5 2 3 2 6 2" xfId="3960" xr:uid="{00000000-0005-0000-0000-000080180000}"/>
    <cellStyle name="Normal 5 2 3 2 6 2 2" xfId="8183" xr:uid="{00000000-0005-0000-0000-000081180000}"/>
    <cellStyle name="Normal 5 2 3 2 6 3" xfId="6038" xr:uid="{00000000-0005-0000-0000-000082180000}"/>
    <cellStyle name="Normal 5 2 3 2 7" xfId="2144" xr:uid="{00000000-0005-0000-0000-000083180000}"/>
    <cellStyle name="Normal 5 2 3 2 7 2" xfId="4373" xr:uid="{00000000-0005-0000-0000-000084180000}"/>
    <cellStyle name="Normal 5 2 3 2 7 2 2" xfId="8596" xr:uid="{00000000-0005-0000-0000-000085180000}"/>
    <cellStyle name="Normal 5 2 3 2 7 3" xfId="6451" xr:uid="{00000000-0005-0000-0000-000086180000}"/>
    <cellStyle name="Normal 5 2 3 2 8" xfId="2580" xr:uid="{00000000-0005-0000-0000-000087180000}"/>
    <cellStyle name="Normal 5 2 3 2 8 2" xfId="6864" xr:uid="{00000000-0005-0000-0000-000088180000}"/>
    <cellStyle name="Normal 5 2 3 2 9" xfId="4799" xr:uid="{00000000-0005-0000-0000-000089180000}"/>
    <cellStyle name="Normal 5 2 3 3" xfId="429" xr:uid="{00000000-0005-0000-0000-00008A180000}"/>
    <cellStyle name="Normal 5 2 3 3 2" xfId="430" xr:uid="{00000000-0005-0000-0000-00008B180000}"/>
    <cellStyle name="Normal 5 2 3 3 2 2" xfId="904" xr:uid="{00000000-0005-0000-0000-00008C180000}"/>
    <cellStyle name="Normal 5 2 3 3 2 2 2" xfId="3139" xr:uid="{00000000-0005-0000-0000-00008D180000}"/>
    <cellStyle name="Normal 5 2 3 3 2 2 2 2" xfId="7362" xr:uid="{00000000-0005-0000-0000-00008E180000}"/>
    <cellStyle name="Normal 5 2 3 3 2 2 3" xfId="5217" xr:uid="{00000000-0005-0000-0000-00008F180000}"/>
    <cellStyle name="Normal 5 2 3 3 2 3" xfId="1322" xr:uid="{00000000-0005-0000-0000-000090180000}"/>
    <cellStyle name="Normal 5 2 3 3 2 3 2" xfId="3552" xr:uid="{00000000-0005-0000-0000-000091180000}"/>
    <cellStyle name="Normal 5 2 3 3 2 3 2 2" xfId="7775" xr:uid="{00000000-0005-0000-0000-000092180000}"/>
    <cellStyle name="Normal 5 2 3 3 2 3 3" xfId="5630" xr:uid="{00000000-0005-0000-0000-000093180000}"/>
    <cellStyle name="Normal 5 2 3 3 2 4" xfId="1735" xr:uid="{00000000-0005-0000-0000-000094180000}"/>
    <cellStyle name="Normal 5 2 3 3 2 4 2" xfId="3965" xr:uid="{00000000-0005-0000-0000-000095180000}"/>
    <cellStyle name="Normal 5 2 3 3 2 4 2 2" xfId="8188" xr:uid="{00000000-0005-0000-0000-000096180000}"/>
    <cellStyle name="Normal 5 2 3 3 2 4 3" xfId="6043" xr:uid="{00000000-0005-0000-0000-000097180000}"/>
    <cellStyle name="Normal 5 2 3 3 2 5" xfId="2149" xr:uid="{00000000-0005-0000-0000-000098180000}"/>
    <cellStyle name="Normal 5 2 3 3 2 5 2" xfId="4378" xr:uid="{00000000-0005-0000-0000-000099180000}"/>
    <cellStyle name="Normal 5 2 3 3 2 5 2 2" xfId="8601" xr:uid="{00000000-0005-0000-0000-00009A180000}"/>
    <cellStyle name="Normal 5 2 3 3 2 5 3" xfId="6456" xr:uid="{00000000-0005-0000-0000-00009B180000}"/>
    <cellStyle name="Normal 5 2 3 3 2 6" xfId="2585" xr:uid="{00000000-0005-0000-0000-00009C180000}"/>
    <cellStyle name="Normal 5 2 3 3 2 6 2" xfId="6869" xr:uid="{00000000-0005-0000-0000-00009D180000}"/>
    <cellStyle name="Normal 5 2 3 3 2 7" xfId="4804" xr:uid="{00000000-0005-0000-0000-00009E180000}"/>
    <cellStyle name="Normal 5 2 3 3 3" xfId="903" xr:uid="{00000000-0005-0000-0000-00009F180000}"/>
    <cellStyle name="Normal 5 2 3 3 3 2" xfId="3138" xr:uid="{00000000-0005-0000-0000-0000A0180000}"/>
    <cellStyle name="Normal 5 2 3 3 3 2 2" xfId="7361" xr:uid="{00000000-0005-0000-0000-0000A1180000}"/>
    <cellStyle name="Normal 5 2 3 3 3 3" xfId="5216" xr:uid="{00000000-0005-0000-0000-0000A2180000}"/>
    <cellStyle name="Normal 5 2 3 3 4" xfId="1321" xr:uid="{00000000-0005-0000-0000-0000A3180000}"/>
    <cellStyle name="Normal 5 2 3 3 4 2" xfId="3551" xr:uid="{00000000-0005-0000-0000-0000A4180000}"/>
    <cellStyle name="Normal 5 2 3 3 4 2 2" xfId="7774" xr:uid="{00000000-0005-0000-0000-0000A5180000}"/>
    <cellStyle name="Normal 5 2 3 3 4 3" xfId="5629" xr:uid="{00000000-0005-0000-0000-0000A6180000}"/>
    <cellStyle name="Normal 5 2 3 3 5" xfId="1734" xr:uid="{00000000-0005-0000-0000-0000A7180000}"/>
    <cellStyle name="Normal 5 2 3 3 5 2" xfId="3964" xr:uid="{00000000-0005-0000-0000-0000A8180000}"/>
    <cellStyle name="Normal 5 2 3 3 5 2 2" xfId="8187" xr:uid="{00000000-0005-0000-0000-0000A9180000}"/>
    <cellStyle name="Normal 5 2 3 3 5 3" xfId="6042" xr:uid="{00000000-0005-0000-0000-0000AA180000}"/>
    <cellStyle name="Normal 5 2 3 3 6" xfId="2148" xr:uid="{00000000-0005-0000-0000-0000AB180000}"/>
    <cellStyle name="Normal 5 2 3 3 6 2" xfId="4377" xr:uid="{00000000-0005-0000-0000-0000AC180000}"/>
    <cellStyle name="Normal 5 2 3 3 6 2 2" xfId="8600" xr:uid="{00000000-0005-0000-0000-0000AD180000}"/>
    <cellStyle name="Normal 5 2 3 3 6 3" xfId="6455" xr:uid="{00000000-0005-0000-0000-0000AE180000}"/>
    <cellStyle name="Normal 5 2 3 3 7" xfId="2584" xr:uid="{00000000-0005-0000-0000-0000AF180000}"/>
    <cellStyle name="Normal 5 2 3 3 7 2" xfId="6868" xr:uid="{00000000-0005-0000-0000-0000B0180000}"/>
    <cellStyle name="Normal 5 2 3 3 8" xfId="4803" xr:uid="{00000000-0005-0000-0000-0000B1180000}"/>
    <cellStyle name="Normal 5 2 3 4" xfId="431" xr:uid="{00000000-0005-0000-0000-0000B2180000}"/>
    <cellStyle name="Normal 5 2 3 4 2" xfId="905" xr:uid="{00000000-0005-0000-0000-0000B3180000}"/>
    <cellStyle name="Normal 5 2 3 4 2 2" xfId="3140" xr:uid="{00000000-0005-0000-0000-0000B4180000}"/>
    <cellStyle name="Normal 5 2 3 4 2 2 2" xfId="7363" xr:uid="{00000000-0005-0000-0000-0000B5180000}"/>
    <cellStyle name="Normal 5 2 3 4 2 3" xfId="5218" xr:uid="{00000000-0005-0000-0000-0000B6180000}"/>
    <cellStyle name="Normal 5 2 3 4 3" xfId="1323" xr:uid="{00000000-0005-0000-0000-0000B7180000}"/>
    <cellStyle name="Normal 5 2 3 4 3 2" xfId="3553" xr:uid="{00000000-0005-0000-0000-0000B8180000}"/>
    <cellStyle name="Normal 5 2 3 4 3 2 2" xfId="7776" xr:uid="{00000000-0005-0000-0000-0000B9180000}"/>
    <cellStyle name="Normal 5 2 3 4 3 3" xfId="5631" xr:uid="{00000000-0005-0000-0000-0000BA180000}"/>
    <cellStyle name="Normal 5 2 3 4 4" xfId="1736" xr:uid="{00000000-0005-0000-0000-0000BB180000}"/>
    <cellStyle name="Normal 5 2 3 4 4 2" xfId="3966" xr:uid="{00000000-0005-0000-0000-0000BC180000}"/>
    <cellStyle name="Normal 5 2 3 4 4 2 2" xfId="8189" xr:uid="{00000000-0005-0000-0000-0000BD180000}"/>
    <cellStyle name="Normal 5 2 3 4 4 3" xfId="6044" xr:uid="{00000000-0005-0000-0000-0000BE180000}"/>
    <cellStyle name="Normal 5 2 3 4 5" xfId="2150" xr:uid="{00000000-0005-0000-0000-0000BF180000}"/>
    <cellStyle name="Normal 5 2 3 4 5 2" xfId="4379" xr:uid="{00000000-0005-0000-0000-0000C0180000}"/>
    <cellStyle name="Normal 5 2 3 4 5 2 2" xfId="8602" xr:uid="{00000000-0005-0000-0000-0000C1180000}"/>
    <cellStyle name="Normal 5 2 3 4 5 3" xfId="6457" xr:uid="{00000000-0005-0000-0000-0000C2180000}"/>
    <cellStyle name="Normal 5 2 3 4 6" xfId="2586" xr:uid="{00000000-0005-0000-0000-0000C3180000}"/>
    <cellStyle name="Normal 5 2 3 4 6 2" xfId="6870" xr:uid="{00000000-0005-0000-0000-0000C4180000}"/>
    <cellStyle name="Normal 5 2 3 4 7" xfId="4805" xr:uid="{00000000-0005-0000-0000-0000C5180000}"/>
    <cellStyle name="Normal 5 2 3 5" xfId="898" xr:uid="{00000000-0005-0000-0000-0000C6180000}"/>
    <cellStyle name="Normal 5 2 3 5 2" xfId="3133" xr:uid="{00000000-0005-0000-0000-0000C7180000}"/>
    <cellStyle name="Normal 5 2 3 5 2 2" xfId="7356" xr:uid="{00000000-0005-0000-0000-0000C8180000}"/>
    <cellStyle name="Normal 5 2 3 5 3" xfId="5211" xr:uid="{00000000-0005-0000-0000-0000C9180000}"/>
    <cellStyle name="Normal 5 2 3 6" xfId="1316" xr:uid="{00000000-0005-0000-0000-0000CA180000}"/>
    <cellStyle name="Normal 5 2 3 6 2" xfId="3546" xr:uid="{00000000-0005-0000-0000-0000CB180000}"/>
    <cellStyle name="Normal 5 2 3 6 2 2" xfId="7769" xr:uid="{00000000-0005-0000-0000-0000CC180000}"/>
    <cellStyle name="Normal 5 2 3 6 3" xfId="5624" xr:uid="{00000000-0005-0000-0000-0000CD180000}"/>
    <cellStyle name="Normal 5 2 3 7" xfId="1729" xr:uid="{00000000-0005-0000-0000-0000CE180000}"/>
    <cellStyle name="Normal 5 2 3 7 2" xfId="3959" xr:uid="{00000000-0005-0000-0000-0000CF180000}"/>
    <cellStyle name="Normal 5 2 3 7 2 2" xfId="8182" xr:uid="{00000000-0005-0000-0000-0000D0180000}"/>
    <cellStyle name="Normal 5 2 3 7 3" xfId="6037" xr:uid="{00000000-0005-0000-0000-0000D1180000}"/>
    <cellStyle name="Normal 5 2 3 8" xfId="2143" xr:uid="{00000000-0005-0000-0000-0000D2180000}"/>
    <cellStyle name="Normal 5 2 3 8 2" xfId="4372" xr:uid="{00000000-0005-0000-0000-0000D3180000}"/>
    <cellStyle name="Normal 5 2 3 8 2 2" xfId="8595" xr:uid="{00000000-0005-0000-0000-0000D4180000}"/>
    <cellStyle name="Normal 5 2 3 8 3" xfId="6450" xr:uid="{00000000-0005-0000-0000-0000D5180000}"/>
    <cellStyle name="Normal 5 2 3 9" xfId="2579" xr:uid="{00000000-0005-0000-0000-0000D6180000}"/>
    <cellStyle name="Normal 5 2 3 9 2" xfId="6863" xr:uid="{00000000-0005-0000-0000-0000D7180000}"/>
    <cellStyle name="Normal 5 2 4" xfId="432" xr:uid="{00000000-0005-0000-0000-0000D8180000}"/>
    <cellStyle name="Normal 5 2 4 2" xfId="433" xr:uid="{00000000-0005-0000-0000-0000D9180000}"/>
    <cellStyle name="Normal 5 2 4 2 2" xfId="434" xr:uid="{00000000-0005-0000-0000-0000DA180000}"/>
    <cellStyle name="Normal 5 2 4 2 2 2" xfId="908" xr:uid="{00000000-0005-0000-0000-0000DB180000}"/>
    <cellStyle name="Normal 5 2 4 2 2 2 2" xfId="3143" xr:uid="{00000000-0005-0000-0000-0000DC180000}"/>
    <cellStyle name="Normal 5 2 4 2 2 2 2 2" xfId="7366" xr:uid="{00000000-0005-0000-0000-0000DD180000}"/>
    <cellStyle name="Normal 5 2 4 2 2 2 3" xfId="5221" xr:uid="{00000000-0005-0000-0000-0000DE180000}"/>
    <cellStyle name="Normal 5 2 4 2 2 3" xfId="1326" xr:uid="{00000000-0005-0000-0000-0000DF180000}"/>
    <cellStyle name="Normal 5 2 4 2 2 3 2" xfId="3556" xr:uid="{00000000-0005-0000-0000-0000E0180000}"/>
    <cellStyle name="Normal 5 2 4 2 2 3 2 2" xfId="7779" xr:uid="{00000000-0005-0000-0000-0000E1180000}"/>
    <cellStyle name="Normal 5 2 4 2 2 3 3" xfId="5634" xr:uid="{00000000-0005-0000-0000-0000E2180000}"/>
    <cellStyle name="Normal 5 2 4 2 2 4" xfId="1739" xr:uid="{00000000-0005-0000-0000-0000E3180000}"/>
    <cellStyle name="Normal 5 2 4 2 2 4 2" xfId="3969" xr:uid="{00000000-0005-0000-0000-0000E4180000}"/>
    <cellStyle name="Normal 5 2 4 2 2 4 2 2" xfId="8192" xr:uid="{00000000-0005-0000-0000-0000E5180000}"/>
    <cellStyle name="Normal 5 2 4 2 2 4 3" xfId="6047" xr:uid="{00000000-0005-0000-0000-0000E6180000}"/>
    <cellStyle name="Normal 5 2 4 2 2 5" xfId="2153" xr:uid="{00000000-0005-0000-0000-0000E7180000}"/>
    <cellStyle name="Normal 5 2 4 2 2 5 2" xfId="4382" xr:uid="{00000000-0005-0000-0000-0000E8180000}"/>
    <cellStyle name="Normal 5 2 4 2 2 5 2 2" xfId="8605" xr:uid="{00000000-0005-0000-0000-0000E9180000}"/>
    <cellStyle name="Normal 5 2 4 2 2 5 3" xfId="6460" xr:uid="{00000000-0005-0000-0000-0000EA180000}"/>
    <cellStyle name="Normal 5 2 4 2 2 6" xfId="2589" xr:uid="{00000000-0005-0000-0000-0000EB180000}"/>
    <cellStyle name="Normal 5 2 4 2 2 6 2" xfId="6873" xr:uid="{00000000-0005-0000-0000-0000EC180000}"/>
    <cellStyle name="Normal 5 2 4 2 2 7" xfId="4808" xr:uid="{00000000-0005-0000-0000-0000ED180000}"/>
    <cellStyle name="Normal 5 2 4 2 3" xfId="907" xr:uid="{00000000-0005-0000-0000-0000EE180000}"/>
    <cellStyle name="Normal 5 2 4 2 3 2" xfId="3142" xr:uid="{00000000-0005-0000-0000-0000EF180000}"/>
    <cellStyle name="Normal 5 2 4 2 3 2 2" xfId="7365" xr:uid="{00000000-0005-0000-0000-0000F0180000}"/>
    <cellStyle name="Normal 5 2 4 2 3 3" xfId="5220" xr:uid="{00000000-0005-0000-0000-0000F1180000}"/>
    <cellStyle name="Normal 5 2 4 2 4" xfId="1325" xr:uid="{00000000-0005-0000-0000-0000F2180000}"/>
    <cellStyle name="Normal 5 2 4 2 4 2" xfId="3555" xr:uid="{00000000-0005-0000-0000-0000F3180000}"/>
    <cellStyle name="Normal 5 2 4 2 4 2 2" xfId="7778" xr:uid="{00000000-0005-0000-0000-0000F4180000}"/>
    <cellStyle name="Normal 5 2 4 2 4 3" xfId="5633" xr:uid="{00000000-0005-0000-0000-0000F5180000}"/>
    <cellStyle name="Normal 5 2 4 2 5" xfId="1738" xr:uid="{00000000-0005-0000-0000-0000F6180000}"/>
    <cellStyle name="Normal 5 2 4 2 5 2" xfId="3968" xr:uid="{00000000-0005-0000-0000-0000F7180000}"/>
    <cellStyle name="Normal 5 2 4 2 5 2 2" xfId="8191" xr:uid="{00000000-0005-0000-0000-0000F8180000}"/>
    <cellStyle name="Normal 5 2 4 2 5 3" xfId="6046" xr:uid="{00000000-0005-0000-0000-0000F9180000}"/>
    <cellStyle name="Normal 5 2 4 2 6" xfId="2152" xr:uid="{00000000-0005-0000-0000-0000FA180000}"/>
    <cellStyle name="Normal 5 2 4 2 6 2" xfId="4381" xr:uid="{00000000-0005-0000-0000-0000FB180000}"/>
    <cellStyle name="Normal 5 2 4 2 6 2 2" xfId="8604" xr:uid="{00000000-0005-0000-0000-0000FC180000}"/>
    <cellStyle name="Normal 5 2 4 2 6 3" xfId="6459" xr:uid="{00000000-0005-0000-0000-0000FD180000}"/>
    <cellStyle name="Normal 5 2 4 2 7" xfId="2588" xr:uid="{00000000-0005-0000-0000-0000FE180000}"/>
    <cellStyle name="Normal 5 2 4 2 7 2" xfId="6872" xr:uid="{00000000-0005-0000-0000-0000FF180000}"/>
    <cellStyle name="Normal 5 2 4 2 8" xfId="4807" xr:uid="{00000000-0005-0000-0000-000000190000}"/>
    <cellStyle name="Normal 5 2 4 3" xfId="435" xr:uid="{00000000-0005-0000-0000-000001190000}"/>
    <cellStyle name="Normal 5 2 4 3 2" xfId="909" xr:uid="{00000000-0005-0000-0000-000002190000}"/>
    <cellStyle name="Normal 5 2 4 3 2 2" xfId="3144" xr:uid="{00000000-0005-0000-0000-000003190000}"/>
    <cellStyle name="Normal 5 2 4 3 2 2 2" xfId="7367" xr:uid="{00000000-0005-0000-0000-000004190000}"/>
    <cellStyle name="Normal 5 2 4 3 2 3" xfId="5222" xr:uid="{00000000-0005-0000-0000-000005190000}"/>
    <cellStyle name="Normal 5 2 4 3 3" xfId="1327" xr:uid="{00000000-0005-0000-0000-000006190000}"/>
    <cellStyle name="Normal 5 2 4 3 3 2" xfId="3557" xr:uid="{00000000-0005-0000-0000-000007190000}"/>
    <cellStyle name="Normal 5 2 4 3 3 2 2" xfId="7780" xr:uid="{00000000-0005-0000-0000-000008190000}"/>
    <cellStyle name="Normal 5 2 4 3 3 3" xfId="5635" xr:uid="{00000000-0005-0000-0000-000009190000}"/>
    <cellStyle name="Normal 5 2 4 3 4" xfId="1740" xr:uid="{00000000-0005-0000-0000-00000A190000}"/>
    <cellStyle name="Normal 5 2 4 3 4 2" xfId="3970" xr:uid="{00000000-0005-0000-0000-00000B190000}"/>
    <cellStyle name="Normal 5 2 4 3 4 2 2" xfId="8193" xr:uid="{00000000-0005-0000-0000-00000C190000}"/>
    <cellStyle name="Normal 5 2 4 3 4 3" xfId="6048" xr:uid="{00000000-0005-0000-0000-00000D190000}"/>
    <cellStyle name="Normal 5 2 4 3 5" xfId="2154" xr:uid="{00000000-0005-0000-0000-00000E190000}"/>
    <cellStyle name="Normal 5 2 4 3 5 2" xfId="4383" xr:uid="{00000000-0005-0000-0000-00000F190000}"/>
    <cellStyle name="Normal 5 2 4 3 5 2 2" xfId="8606" xr:uid="{00000000-0005-0000-0000-000010190000}"/>
    <cellStyle name="Normal 5 2 4 3 5 3" xfId="6461" xr:uid="{00000000-0005-0000-0000-000011190000}"/>
    <cellStyle name="Normal 5 2 4 3 6" xfId="2590" xr:uid="{00000000-0005-0000-0000-000012190000}"/>
    <cellStyle name="Normal 5 2 4 3 6 2" xfId="6874" xr:uid="{00000000-0005-0000-0000-000013190000}"/>
    <cellStyle name="Normal 5 2 4 3 7" xfId="4809" xr:uid="{00000000-0005-0000-0000-000014190000}"/>
    <cellStyle name="Normal 5 2 4 4" xfId="906" xr:uid="{00000000-0005-0000-0000-000015190000}"/>
    <cellStyle name="Normal 5 2 4 4 2" xfId="3141" xr:uid="{00000000-0005-0000-0000-000016190000}"/>
    <cellStyle name="Normal 5 2 4 4 2 2" xfId="7364" xr:uid="{00000000-0005-0000-0000-000017190000}"/>
    <cellStyle name="Normal 5 2 4 4 3" xfId="5219" xr:uid="{00000000-0005-0000-0000-000018190000}"/>
    <cellStyle name="Normal 5 2 4 5" xfId="1324" xr:uid="{00000000-0005-0000-0000-000019190000}"/>
    <cellStyle name="Normal 5 2 4 5 2" xfId="3554" xr:uid="{00000000-0005-0000-0000-00001A190000}"/>
    <cellStyle name="Normal 5 2 4 5 2 2" xfId="7777" xr:uid="{00000000-0005-0000-0000-00001B190000}"/>
    <cellStyle name="Normal 5 2 4 5 3" xfId="5632" xr:uid="{00000000-0005-0000-0000-00001C190000}"/>
    <cellStyle name="Normal 5 2 4 6" xfId="1737" xr:uid="{00000000-0005-0000-0000-00001D190000}"/>
    <cellStyle name="Normal 5 2 4 6 2" xfId="3967" xr:uid="{00000000-0005-0000-0000-00001E190000}"/>
    <cellStyle name="Normal 5 2 4 6 2 2" xfId="8190" xr:uid="{00000000-0005-0000-0000-00001F190000}"/>
    <cellStyle name="Normal 5 2 4 6 3" xfId="6045" xr:uid="{00000000-0005-0000-0000-000020190000}"/>
    <cellStyle name="Normal 5 2 4 7" xfId="2151" xr:uid="{00000000-0005-0000-0000-000021190000}"/>
    <cellStyle name="Normal 5 2 4 7 2" xfId="4380" xr:uid="{00000000-0005-0000-0000-000022190000}"/>
    <cellStyle name="Normal 5 2 4 7 2 2" xfId="8603" xr:uid="{00000000-0005-0000-0000-000023190000}"/>
    <cellStyle name="Normal 5 2 4 7 3" xfId="6458" xr:uid="{00000000-0005-0000-0000-000024190000}"/>
    <cellStyle name="Normal 5 2 4 8" xfId="2587" xr:uid="{00000000-0005-0000-0000-000025190000}"/>
    <cellStyle name="Normal 5 2 4 8 2" xfId="6871" xr:uid="{00000000-0005-0000-0000-000026190000}"/>
    <cellStyle name="Normal 5 2 4 9" xfId="4806" xr:uid="{00000000-0005-0000-0000-000027190000}"/>
    <cellStyle name="Normal 5 2 5" xfId="436" xr:uid="{00000000-0005-0000-0000-000028190000}"/>
    <cellStyle name="Normal 5 2 5 2" xfId="437" xr:uid="{00000000-0005-0000-0000-000029190000}"/>
    <cellStyle name="Normal 5 2 5 2 2" xfId="911" xr:uid="{00000000-0005-0000-0000-00002A190000}"/>
    <cellStyle name="Normal 5 2 5 2 2 2" xfId="3146" xr:uid="{00000000-0005-0000-0000-00002B190000}"/>
    <cellStyle name="Normal 5 2 5 2 2 2 2" xfId="7369" xr:uid="{00000000-0005-0000-0000-00002C190000}"/>
    <cellStyle name="Normal 5 2 5 2 2 3" xfId="5224" xr:uid="{00000000-0005-0000-0000-00002D190000}"/>
    <cellStyle name="Normal 5 2 5 2 3" xfId="1329" xr:uid="{00000000-0005-0000-0000-00002E190000}"/>
    <cellStyle name="Normal 5 2 5 2 3 2" xfId="3559" xr:uid="{00000000-0005-0000-0000-00002F190000}"/>
    <cellStyle name="Normal 5 2 5 2 3 2 2" xfId="7782" xr:uid="{00000000-0005-0000-0000-000030190000}"/>
    <cellStyle name="Normal 5 2 5 2 3 3" xfId="5637" xr:uid="{00000000-0005-0000-0000-000031190000}"/>
    <cellStyle name="Normal 5 2 5 2 4" xfId="1742" xr:uid="{00000000-0005-0000-0000-000032190000}"/>
    <cellStyle name="Normal 5 2 5 2 4 2" xfId="3972" xr:uid="{00000000-0005-0000-0000-000033190000}"/>
    <cellStyle name="Normal 5 2 5 2 4 2 2" xfId="8195" xr:uid="{00000000-0005-0000-0000-000034190000}"/>
    <cellStyle name="Normal 5 2 5 2 4 3" xfId="6050" xr:uid="{00000000-0005-0000-0000-000035190000}"/>
    <cellStyle name="Normal 5 2 5 2 5" xfId="2156" xr:uid="{00000000-0005-0000-0000-000036190000}"/>
    <cellStyle name="Normal 5 2 5 2 5 2" xfId="4385" xr:uid="{00000000-0005-0000-0000-000037190000}"/>
    <cellStyle name="Normal 5 2 5 2 5 2 2" xfId="8608" xr:uid="{00000000-0005-0000-0000-000038190000}"/>
    <cellStyle name="Normal 5 2 5 2 5 3" xfId="6463" xr:uid="{00000000-0005-0000-0000-000039190000}"/>
    <cellStyle name="Normal 5 2 5 2 6" xfId="2592" xr:uid="{00000000-0005-0000-0000-00003A190000}"/>
    <cellStyle name="Normal 5 2 5 2 6 2" xfId="6876" xr:uid="{00000000-0005-0000-0000-00003B190000}"/>
    <cellStyle name="Normal 5 2 5 2 7" xfId="4811" xr:uid="{00000000-0005-0000-0000-00003C190000}"/>
    <cellStyle name="Normal 5 2 5 3" xfId="910" xr:uid="{00000000-0005-0000-0000-00003D190000}"/>
    <cellStyle name="Normal 5 2 5 3 2" xfId="3145" xr:uid="{00000000-0005-0000-0000-00003E190000}"/>
    <cellStyle name="Normal 5 2 5 3 2 2" xfId="7368" xr:uid="{00000000-0005-0000-0000-00003F190000}"/>
    <cellStyle name="Normal 5 2 5 3 3" xfId="5223" xr:uid="{00000000-0005-0000-0000-000040190000}"/>
    <cellStyle name="Normal 5 2 5 4" xfId="1328" xr:uid="{00000000-0005-0000-0000-000041190000}"/>
    <cellStyle name="Normal 5 2 5 4 2" xfId="3558" xr:uid="{00000000-0005-0000-0000-000042190000}"/>
    <cellStyle name="Normal 5 2 5 4 2 2" xfId="7781" xr:uid="{00000000-0005-0000-0000-000043190000}"/>
    <cellStyle name="Normal 5 2 5 4 3" xfId="5636" xr:uid="{00000000-0005-0000-0000-000044190000}"/>
    <cellStyle name="Normal 5 2 5 5" xfId="1741" xr:uid="{00000000-0005-0000-0000-000045190000}"/>
    <cellStyle name="Normal 5 2 5 5 2" xfId="3971" xr:uid="{00000000-0005-0000-0000-000046190000}"/>
    <cellStyle name="Normal 5 2 5 5 2 2" xfId="8194" xr:uid="{00000000-0005-0000-0000-000047190000}"/>
    <cellStyle name="Normal 5 2 5 5 3" xfId="6049" xr:uid="{00000000-0005-0000-0000-000048190000}"/>
    <cellStyle name="Normal 5 2 5 6" xfId="2155" xr:uid="{00000000-0005-0000-0000-000049190000}"/>
    <cellStyle name="Normal 5 2 5 6 2" xfId="4384" xr:uid="{00000000-0005-0000-0000-00004A190000}"/>
    <cellStyle name="Normal 5 2 5 6 2 2" xfId="8607" xr:uid="{00000000-0005-0000-0000-00004B190000}"/>
    <cellStyle name="Normal 5 2 5 6 3" xfId="6462" xr:uid="{00000000-0005-0000-0000-00004C190000}"/>
    <cellStyle name="Normal 5 2 5 7" xfId="2591" xr:uid="{00000000-0005-0000-0000-00004D190000}"/>
    <cellStyle name="Normal 5 2 5 7 2" xfId="6875" xr:uid="{00000000-0005-0000-0000-00004E190000}"/>
    <cellStyle name="Normal 5 2 5 8" xfId="4810" xr:uid="{00000000-0005-0000-0000-00004F190000}"/>
    <cellStyle name="Normal 5 2 6" xfId="438" xr:uid="{00000000-0005-0000-0000-000050190000}"/>
    <cellStyle name="Normal 5 2 6 2" xfId="912" xr:uid="{00000000-0005-0000-0000-000051190000}"/>
    <cellStyle name="Normal 5 2 6 2 2" xfId="3147" xr:uid="{00000000-0005-0000-0000-000052190000}"/>
    <cellStyle name="Normal 5 2 6 2 2 2" xfId="7370" xr:uid="{00000000-0005-0000-0000-000053190000}"/>
    <cellStyle name="Normal 5 2 6 2 3" xfId="5225" xr:uid="{00000000-0005-0000-0000-000054190000}"/>
    <cellStyle name="Normal 5 2 6 3" xfId="1330" xr:uid="{00000000-0005-0000-0000-000055190000}"/>
    <cellStyle name="Normal 5 2 6 3 2" xfId="3560" xr:uid="{00000000-0005-0000-0000-000056190000}"/>
    <cellStyle name="Normal 5 2 6 3 2 2" xfId="7783" xr:uid="{00000000-0005-0000-0000-000057190000}"/>
    <cellStyle name="Normal 5 2 6 3 3" xfId="5638" xr:uid="{00000000-0005-0000-0000-000058190000}"/>
    <cellStyle name="Normal 5 2 6 4" xfId="1743" xr:uid="{00000000-0005-0000-0000-000059190000}"/>
    <cellStyle name="Normal 5 2 6 4 2" xfId="3973" xr:uid="{00000000-0005-0000-0000-00005A190000}"/>
    <cellStyle name="Normal 5 2 6 4 2 2" xfId="8196" xr:uid="{00000000-0005-0000-0000-00005B190000}"/>
    <cellStyle name="Normal 5 2 6 4 3" xfId="6051" xr:uid="{00000000-0005-0000-0000-00005C190000}"/>
    <cellStyle name="Normal 5 2 6 5" xfId="2157" xr:uid="{00000000-0005-0000-0000-00005D190000}"/>
    <cellStyle name="Normal 5 2 6 5 2" xfId="4386" xr:uid="{00000000-0005-0000-0000-00005E190000}"/>
    <cellStyle name="Normal 5 2 6 5 2 2" xfId="8609" xr:uid="{00000000-0005-0000-0000-00005F190000}"/>
    <cellStyle name="Normal 5 2 6 5 3" xfId="6464" xr:uid="{00000000-0005-0000-0000-000060190000}"/>
    <cellStyle name="Normal 5 2 6 6" xfId="2593" xr:uid="{00000000-0005-0000-0000-000061190000}"/>
    <cellStyle name="Normal 5 2 6 6 2" xfId="6877" xr:uid="{00000000-0005-0000-0000-000062190000}"/>
    <cellStyle name="Normal 5 2 6 7" xfId="4812" xr:uid="{00000000-0005-0000-0000-000063190000}"/>
    <cellStyle name="Normal 5 2 7" xfId="881" xr:uid="{00000000-0005-0000-0000-000064190000}"/>
    <cellStyle name="Normal 5 2 7 2" xfId="3116" xr:uid="{00000000-0005-0000-0000-000065190000}"/>
    <cellStyle name="Normal 5 2 7 2 2" xfId="7339" xr:uid="{00000000-0005-0000-0000-000066190000}"/>
    <cellStyle name="Normal 5 2 7 3" xfId="5194" xr:uid="{00000000-0005-0000-0000-000067190000}"/>
    <cellStyle name="Normal 5 2 8" xfId="1299" xr:uid="{00000000-0005-0000-0000-000068190000}"/>
    <cellStyle name="Normal 5 2 8 2" xfId="3529" xr:uid="{00000000-0005-0000-0000-000069190000}"/>
    <cellStyle name="Normal 5 2 8 2 2" xfId="7752" xr:uid="{00000000-0005-0000-0000-00006A190000}"/>
    <cellStyle name="Normal 5 2 8 3" xfId="5607" xr:uid="{00000000-0005-0000-0000-00006B190000}"/>
    <cellStyle name="Normal 5 2 9" xfId="1712" xr:uid="{00000000-0005-0000-0000-00006C190000}"/>
    <cellStyle name="Normal 5 2 9 2" xfId="3942" xr:uid="{00000000-0005-0000-0000-00006D190000}"/>
    <cellStyle name="Normal 5 2 9 2 2" xfId="8165" xr:uid="{00000000-0005-0000-0000-00006E190000}"/>
    <cellStyle name="Normal 5 2 9 3" xfId="6020" xr:uid="{00000000-0005-0000-0000-00006F190000}"/>
    <cellStyle name="Normal 5 3" xfId="439" xr:uid="{00000000-0005-0000-0000-000070190000}"/>
    <cellStyle name="Normal 5 3 10" xfId="2158" xr:uid="{00000000-0005-0000-0000-000071190000}"/>
    <cellStyle name="Normal 5 3 10 2" xfId="4387" xr:uid="{00000000-0005-0000-0000-000072190000}"/>
    <cellStyle name="Normal 5 3 10 2 2" xfId="8610" xr:uid="{00000000-0005-0000-0000-000073190000}"/>
    <cellStyle name="Normal 5 3 10 3" xfId="6465" xr:uid="{00000000-0005-0000-0000-000074190000}"/>
    <cellStyle name="Normal 5 3 11" xfId="2594" xr:uid="{00000000-0005-0000-0000-000075190000}"/>
    <cellStyle name="Normal 5 3 11 2" xfId="6878" xr:uid="{00000000-0005-0000-0000-000076190000}"/>
    <cellStyle name="Normal 5 3 12" xfId="4813" xr:uid="{00000000-0005-0000-0000-000077190000}"/>
    <cellStyle name="Normal 5 3 2" xfId="440" xr:uid="{00000000-0005-0000-0000-000078190000}"/>
    <cellStyle name="Normal 5 3 2 2" xfId="914" xr:uid="{00000000-0005-0000-0000-000079190000}"/>
    <cellStyle name="Normal 5 3 3" xfId="441" xr:uid="{00000000-0005-0000-0000-00007A190000}"/>
    <cellStyle name="Normal 5 3 3 10" xfId="4814" xr:uid="{00000000-0005-0000-0000-00007B190000}"/>
    <cellStyle name="Normal 5 3 3 2" xfId="442" xr:uid="{00000000-0005-0000-0000-00007C190000}"/>
    <cellStyle name="Normal 5 3 3 2 2" xfId="443" xr:uid="{00000000-0005-0000-0000-00007D190000}"/>
    <cellStyle name="Normal 5 3 3 2 2 2" xfId="444" xr:uid="{00000000-0005-0000-0000-00007E190000}"/>
    <cellStyle name="Normal 5 3 3 2 2 2 2" xfId="918" xr:uid="{00000000-0005-0000-0000-00007F190000}"/>
    <cellStyle name="Normal 5 3 3 2 2 2 2 2" xfId="3152" xr:uid="{00000000-0005-0000-0000-000080190000}"/>
    <cellStyle name="Normal 5 3 3 2 2 2 2 2 2" xfId="7375" xr:uid="{00000000-0005-0000-0000-000081190000}"/>
    <cellStyle name="Normal 5 3 3 2 2 2 2 3" xfId="5230" xr:uid="{00000000-0005-0000-0000-000082190000}"/>
    <cellStyle name="Normal 5 3 3 2 2 2 3" xfId="1335" xr:uid="{00000000-0005-0000-0000-000083190000}"/>
    <cellStyle name="Normal 5 3 3 2 2 2 3 2" xfId="3565" xr:uid="{00000000-0005-0000-0000-000084190000}"/>
    <cellStyle name="Normal 5 3 3 2 2 2 3 2 2" xfId="7788" xr:uid="{00000000-0005-0000-0000-000085190000}"/>
    <cellStyle name="Normal 5 3 3 2 2 2 3 3" xfId="5643" xr:uid="{00000000-0005-0000-0000-000086190000}"/>
    <cellStyle name="Normal 5 3 3 2 2 2 4" xfId="1748" xr:uid="{00000000-0005-0000-0000-000087190000}"/>
    <cellStyle name="Normal 5 3 3 2 2 2 4 2" xfId="3978" xr:uid="{00000000-0005-0000-0000-000088190000}"/>
    <cellStyle name="Normal 5 3 3 2 2 2 4 2 2" xfId="8201" xr:uid="{00000000-0005-0000-0000-000089190000}"/>
    <cellStyle name="Normal 5 3 3 2 2 2 4 3" xfId="6056" xr:uid="{00000000-0005-0000-0000-00008A190000}"/>
    <cellStyle name="Normal 5 3 3 2 2 2 5" xfId="2162" xr:uid="{00000000-0005-0000-0000-00008B190000}"/>
    <cellStyle name="Normal 5 3 3 2 2 2 5 2" xfId="4391" xr:uid="{00000000-0005-0000-0000-00008C190000}"/>
    <cellStyle name="Normal 5 3 3 2 2 2 5 2 2" xfId="8614" xr:uid="{00000000-0005-0000-0000-00008D190000}"/>
    <cellStyle name="Normal 5 3 3 2 2 2 5 3" xfId="6469" xr:uid="{00000000-0005-0000-0000-00008E190000}"/>
    <cellStyle name="Normal 5 3 3 2 2 2 6" xfId="2598" xr:uid="{00000000-0005-0000-0000-00008F190000}"/>
    <cellStyle name="Normal 5 3 3 2 2 2 6 2" xfId="6882" xr:uid="{00000000-0005-0000-0000-000090190000}"/>
    <cellStyle name="Normal 5 3 3 2 2 2 7" xfId="4817" xr:uid="{00000000-0005-0000-0000-000091190000}"/>
    <cellStyle name="Normal 5 3 3 2 2 3" xfId="917" xr:uid="{00000000-0005-0000-0000-000092190000}"/>
    <cellStyle name="Normal 5 3 3 2 2 3 2" xfId="3151" xr:uid="{00000000-0005-0000-0000-000093190000}"/>
    <cellStyle name="Normal 5 3 3 2 2 3 2 2" xfId="7374" xr:uid="{00000000-0005-0000-0000-000094190000}"/>
    <cellStyle name="Normal 5 3 3 2 2 3 3" xfId="5229" xr:uid="{00000000-0005-0000-0000-000095190000}"/>
    <cellStyle name="Normal 5 3 3 2 2 4" xfId="1334" xr:uid="{00000000-0005-0000-0000-000096190000}"/>
    <cellStyle name="Normal 5 3 3 2 2 4 2" xfId="3564" xr:uid="{00000000-0005-0000-0000-000097190000}"/>
    <cellStyle name="Normal 5 3 3 2 2 4 2 2" xfId="7787" xr:uid="{00000000-0005-0000-0000-000098190000}"/>
    <cellStyle name="Normal 5 3 3 2 2 4 3" xfId="5642" xr:uid="{00000000-0005-0000-0000-000099190000}"/>
    <cellStyle name="Normal 5 3 3 2 2 5" xfId="1747" xr:uid="{00000000-0005-0000-0000-00009A190000}"/>
    <cellStyle name="Normal 5 3 3 2 2 5 2" xfId="3977" xr:uid="{00000000-0005-0000-0000-00009B190000}"/>
    <cellStyle name="Normal 5 3 3 2 2 5 2 2" xfId="8200" xr:uid="{00000000-0005-0000-0000-00009C190000}"/>
    <cellStyle name="Normal 5 3 3 2 2 5 3" xfId="6055" xr:uid="{00000000-0005-0000-0000-00009D190000}"/>
    <cellStyle name="Normal 5 3 3 2 2 6" xfId="2161" xr:uid="{00000000-0005-0000-0000-00009E190000}"/>
    <cellStyle name="Normal 5 3 3 2 2 6 2" xfId="4390" xr:uid="{00000000-0005-0000-0000-00009F190000}"/>
    <cellStyle name="Normal 5 3 3 2 2 6 2 2" xfId="8613" xr:uid="{00000000-0005-0000-0000-0000A0190000}"/>
    <cellStyle name="Normal 5 3 3 2 2 6 3" xfId="6468" xr:uid="{00000000-0005-0000-0000-0000A1190000}"/>
    <cellStyle name="Normal 5 3 3 2 2 7" xfId="2597" xr:uid="{00000000-0005-0000-0000-0000A2190000}"/>
    <cellStyle name="Normal 5 3 3 2 2 7 2" xfId="6881" xr:uid="{00000000-0005-0000-0000-0000A3190000}"/>
    <cellStyle name="Normal 5 3 3 2 2 8" xfId="4816" xr:uid="{00000000-0005-0000-0000-0000A4190000}"/>
    <cellStyle name="Normal 5 3 3 2 3" xfId="445" xr:uid="{00000000-0005-0000-0000-0000A5190000}"/>
    <cellStyle name="Normal 5 3 3 2 3 2" xfId="919" xr:uid="{00000000-0005-0000-0000-0000A6190000}"/>
    <cellStyle name="Normal 5 3 3 2 3 2 2" xfId="3153" xr:uid="{00000000-0005-0000-0000-0000A7190000}"/>
    <cellStyle name="Normal 5 3 3 2 3 2 2 2" xfId="7376" xr:uid="{00000000-0005-0000-0000-0000A8190000}"/>
    <cellStyle name="Normal 5 3 3 2 3 2 3" xfId="5231" xr:uid="{00000000-0005-0000-0000-0000A9190000}"/>
    <cellStyle name="Normal 5 3 3 2 3 3" xfId="1336" xr:uid="{00000000-0005-0000-0000-0000AA190000}"/>
    <cellStyle name="Normal 5 3 3 2 3 3 2" xfId="3566" xr:uid="{00000000-0005-0000-0000-0000AB190000}"/>
    <cellStyle name="Normal 5 3 3 2 3 3 2 2" xfId="7789" xr:uid="{00000000-0005-0000-0000-0000AC190000}"/>
    <cellStyle name="Normal 5 3 3 2 3 3 3" xfId="5644" xr:uid="{00000000-0005-0000-0000-0000AD190000}"/>
    <cellStyle name="Normal 5 3 3 2 3 4" xfId="1749" xr:uid="{00000000-0005-0000-0000-0000AE190000}"/>
    <cellStyle name="Normal 5 3 3 2 3 4 2" xfId="3979" xr:uid="{00000000-0005-0000-0000-0000AF190000}"/>
    <cellStyle name="Normal 5 3 3 2 3 4 2 2" xfId="8202" xr:uid="{00000000-0005-0000-0000-0000B0190000}"/>
    <cellStyle name="Normal 5 3 3 2 3 4 3" xfId="6057" xr:uid="{00000000-0005-0000-0000-0000B1190000}"/>
    <cellStyle name="Normal 5 3 3 2 3 5" xfId="2163" xr:uid="{00000000-0005-0000-0000-0000B2190000}"/>
    <cellStyle name="Normal 5 3 3 2 3 5 2" xfId="4392" xr:uid="{00000000-0005-0000-0000-0000B3190000}"/>
    <cellStyle name="Normal 5 3 3 2 3 5 2 2" xfId="8615" xr:uid="{00000000-0005-0000-0000-0000B4190000}"/>
    <cellStyle name="Normal 5 3 3 2 3 5 3" xfId="6470" xr:uid="{00000000-0005-0000-0000-0000B5190000}"/>
    <cellStyle name="Normal 5 3 3 2 3 6" xfId="2599" xr:uid="{00000000-0005-0000-0000-0000B6190000}"/>
    <cellStyle name="Normal 5 3 3 2 3 6 2" xfId="6883" xr:uid="{00000000-0005-0000-0000-0000B7190000}"/>
    <cellStyle name="Normal 5 3 3 2 3 7" xfId="4818" xr:uid="{00000000-0005-0000-0000-0000B8190000}"/>
    <cellStyle name="Normal 5 3 3 2 4" xfId="916" xr:uid="{00000000-0005-0000-0000-0000B9190000}"/>
    <cellStyle name="Normal 5 3 3 2 4 2" xfId="3150" xr:uid="{00000000-0005-0000-0000-0000BA190000}"/>
    <cellStyle name="Normal 5 3 3 2 4 2 2" xfId="7373" xr:uid="{00000000-0005-0000-0000-0000BB190000}"/>
    <cellStyle name="Normal 5 3 3 2 4 3" xfId="5228" xr:uid="{00000000-0005-0000-0000-0000BC190000}"/>
    <cellStyle name="Normal 5 3 3 2 5" xfId="1333" xr:uid="{00000000-0005-0000-0000-0000BD190000}"/>
    <cellStyle name="Normal 5 3 3 2 5 2" xfId="3563" xr:uid="{00000000-0005-0000-0000-0000BE190000}"/>
    <cellStyle name="Normal 5 3 3 2 5 2 2" xfId="7786" xr:uid="{00000000-0005-0000-0000-0000BF190000}"/>
    <cellStyle name="Normal 5 3 3 2 5 3" xfId="5641" xr:uid="{00000000-0005-0000-0000-0000C0190000}"/>
    <cellStyle name="Normal 5 3 3 2 6" xfId="1746" xr:uid="{00000000-0005-0000-0000-0000C1190000}"/>
    <cellStyle name="Normal 5 3 3 2 6 2" xfId="3976" xr:uid="{00000000-0005-0000-0000-0000C2190000}"/>
    <cellStyle name="Normal 5 3 3 2 6 2 2" xfId="8199" xr:uid="{00000000-0005-0000-0000-0000C3190000}"/>
    <cellStyle name="Normal 5 3 3 2 6 3" xfId="6054" xr:uid="{00000000-0005-0000-0000-0000C4190000}"/>
    <cellStyle name="Normal 5 3 3 2 7" xfId="2160" xr:uid="{00000000-0005-0000-0000-0000C5190000}"/>
    <cellStyle name="Normal 5 3 3 2 7 2" xfId="4389" xr:uid="{00000000-0005-0000-0000-0000C6190000}"/>
    <cellStyle name="Normal 5 3 3 2 7 2 2" xfId="8612" xr:uid="{00000000-0005-0000-0000-0000C7190000}"/>
    <cellStyle name="Normal 5 3 3 2 7 3" xfId="6467" xr:uid="{00000000-0005-0000-0000-0000C8190000}"/>
    <cellStyle name="Normal 5 3 3 2 8" xfId="2596" xr:uid="{00000000-0005-0000-0000-0000C9190000}"/>
    <cellStyle name="Normal 5 3 3 2 8 2" xfId="6880" xr:uid="{00000000-0005-0000-0000-0000CA190000}"/>
    <cellStyle name="Normal 5 3 3 2 9" xfId="4815" xr:uid="{00000000-0005-0000-0000-0000CB190000}"/>
    <cellStyle name="Normal 5 3 3 3" xfId="446" xr:uid="{00000000-0005-0000-0000-0000CC190000}"/>
    <cellStyle name="Normal 5 3 3 3 2" xfId="447" xr:uid="{00000000-0005-0000-0000-0000CD190000}"/>
    <cellStyle name="Normal 5 3 3 3 2 2" xfId="921" xr:uid="{00000000-0005-0000-0000-0000CE190000}"/>
    <cellStyle name="Normal 5 3 3 3 2 2 2" xfId="3155" xr:uid="{00000000-0005-0000-0000-0000CF190000}"/>
    <cellStyle name="Normal 5 3 3 3 2 2 2 2" xfId="7378" xr:uid="{00000000-0005-0000-0000-0000D0190000}"/>
    <cellStyle name="Normal 5 3 3 3 2 2 3" xfId="5233" xr:uid="{00000000-0005-0000-0000-0000D1190000}"/>
    <cellStyle name="Normal 5 3 3 3 2 3" xfId="1338" xr:uid="{00000000-0005-0000-0000-0000D2190000}"/>
    <cellStyle name="Normal 5 3 3 3 2 3 2" xfId="3568" xr:uid="{00000000-0005-0000-0000-0000D3190000}"/>
    <cellStyle name="Normal 5 3 3 3 2 3 2 2" xfId="7791" xr:uid="{00000000-0005-0000-0000-0000D4190000}"/>
    <cellStyle name="Normal 5 3 3 3 2 3 3" xfId="5646" xr:uid="{00000000-0005-0000-0000-0000D5190000}"/>
    <cellStyle name="Normal 5 3 3 3 2 4" xfId="1751" xr:uid="{00000000-0005-0000-0000-0000D6190000}"/>
    <cellStyle name="Normal 5 3 3 3 2 4 2" xfId="3981" xr:uid="{00000000-0005-0000-0000-0000D7190000}"/>
    <cellStyle name="Normal 5 3 3 3 2 4 2 2" xfId="8204" xr:uid="{00000000-0005-0000-0000-0000D8190000}"/>
    <cellStyle name="Normal 5 3 3 3 2 4 3" xfId="6059" xr:uid="{00000000-0005-0000-0000-0000D9190000}"/>
    <cellStyle name="Normal 5 3 3 3 2 5" xfId="2165" xr:uid="{00000000-0005-0000-0000-0000DA190000}"/>
    <cellStyle name="Normal 5 3 3 3 2 5 2" xfId="4394" xr:uid="{00000000-0005-0000-0000-0000DB190000}"/>
    <cellStyle name="Normal 5 3 3 3 2 5 2 2" xfId="8617" xr:uid="{00000000-0005-0000-0000-0000DC190000}"/>
    <cellStyle name="Normal 5 3 3 3 2 5 3" xfId="6472" xr:uid="{00000000-0005-0000-0000-0000DD190000}"/>
    <cellStyle name="Normal 5 3 3 3 2 6" xfId="2601" xr:uid="{00000000-0005-0000-0000-0000DE190000}"/>
    <cellStyle name="Normal 5 3 3 3 2 6 2" xfId="6885" xr:uid="{00000000-0005-0000-0000-0000DF190000}"/>
    <cellStyle name="Normal 5 3 3 3 2 7" xfId="4820" xr:uid="{00000000-0005-0000-0000-0000E0190000}"/>
    <cellStyle name="Normal 5 3 3 3 3" xfId="920" xr:uid="{00000000-0005-0000-0000-0000E1190000}"/>
    <cellStyle name="Normal 5 3 3 3 3 2" xfId="3154" xr:uid="{00000000-0005-0000-0000-0000E2190000}"/>
    <cellStyle name="Normal 5 3 3 3 3 2 2" xfId="7377" xr:uid="{00000000-0005-0000-0000-0000E3190000}"/>
    <cellStyle name="Normal 5 3 3 3 3 3" xfId="5232" xr:uid="{00000000-0005-0000-0000-0000E4190000}"/>
    <cellStyle name="Normal 5 3 3 3 4" xfId="1337" xr:uid="{00000000-0005-0000-0000-0000E5190000}"/>
    <cellStyle name="Normal 5 3 3 3 4 2" xfId="3567" xr:uid="{00000000-0005-0000-0000-0000E6190000}"/>
    <cellStyle name="Normal 5 3 3 3 4 2 2" xfId="7790" xr:uid="{00000000-0005-0000-0000-0000E7190000}"/>
    <cellStyle name="Normal 5 3 3 3 4 3" xfId="5645" xr:uid="{00000000-0005-0000-0000-0000E8190000}"/>
    <cellStyle name="Normal 5 3 3 3 5" xfId="1750" xr:uid="{00000000-0005-0000-0000-0000E9190000}"/>
    <cellStyle name="Normal 5 3 3 3 5 2" xfId="3980" xr:uid="{00000000-0005-0000-0000-0000EA190000}"/>
    <cellStyle name="Normal 5 3 3 3 5 2 2" xfId="8203" xr:uid="{00000000-0005-0000-0000-0000EB190000}"/>
    <cellStyle name="Normal 5 3 3 3 5 3" xfId="6058" xr:uid="{00000000-0005-0000-0000-0000EC190000}"/>
    <cellStyle name="Normal 5 3 3 3 6" xfId="2164" xr:uid="{00000000-0005-0000-0000-0000ED190000}"/>
    <cellStyle name="Normal 5 3 3 3 6 2" xfId="4393" xr:uid="{00000000-0005-0000-0000-0000EE190000}"/>
    <cellStyle name="Normal 5 3 3 3 6 2 2" xfId="8616" xr:uid="{00000000-0005-0000-0000-0000EF190000}"/>
    <cellStyle name="Normal 5 3 3 3 6 3" xfId="6471" xr:uid="{00000000-0005-0000-0000-0000F0190000}"/>
    <cellStyle name="Normal 5 3 3 3 7" xfId="2600" xr:uid="{00000000-0005-0000-0000-0000F1190000}"/>
    <cellStyle name="Normal 5 3 3 3 7 2" xfId="6884" xr:uid="{00000000-0005-0000-0000-0000F2190000}"/>
    <cellStyle name="Normal 5 3 3 3 8" xfId="4819" xr:uid="{00000000-0005-0000-0000-0000F3190000}"/>
    <cellStyle name="Normal 5 3 3 4" xfId="448" xr:uid="{00000000-0005-0000-0000-0000F4190000}"/>
    <cellStyle name="Normal 5 3 3 4 2" xfId="922" xr:uid="{00000000-0005-0000-0000-0000F5190000}"/>
    <cellStyle name="Normal 5 3 3 4 2 2" xfId="3156" xr:uid="{00000000-0005-0000-0000-0000F6190000}"/>
    <cellStyle name="Normal 5 3 3 4 2 2 2" xfId="7379" xr:uid="{00000000-0005-0000-0000-0000F7190000}"/>
    <cellStyle name="Normal 5 3 3 4 2 3" xfId="5234" xr:uid="{00000000-0005-0000-0000-0000F8190000}"/>
    <cellStyle name="Normal 5 3 3 4 3" xfId="1339" xr:uid="{00000000-0005-0000-0000-0000F9190000}"/>
    <cellStyle name="Normal 5 3 3 4 3 2" xfId="3569" xr:uid="{00000000-0005-0000-0000-0000FA190000}"/>
    <cellStyle name="Normal 5 3 3 4 3 2 2" xfId="7792" xr:uid="{00000000-0005-0000-0000-0000FB190000}"/>
    <cellStyle name="Normal 5 3 3 4 3 3" xfId="5647" xr:uid="{00000000-0005-0000-0000-0000FC190000}"/>
    <cellStyle name="Normal 5 3 3 4 4" xfId="1752" xr:uid="{00000000-0005-0000-0000-0000FD190000}"/>
    <cellStyle name="Normal 5 3 3 4 4 2" xfId="3982" xr:uid="{00000000-0005-0000-0000-0000FE190000}"/>
    <cellStyle name="Normal 5 3 3 4 4 2 2" xfId="8205" xr:uid="{00000000-0005-0000-0000-0000FF190000}"/>
    <cellStyle name="Normal 5 3 3 4 4 3" xfId="6060" xr:uid="{00000000-0005-0000-0000-0000001A0000}"/>
    <cellStyle name="Normal 5 3 3 4 5" xfId="2166" xr:uid="{00000000-0005-0000-0000-0000011A0000}"/>
    <cellStyle name="Normal 5 3 3 4 5 2" xfId="4395" xr:uid="{00000000-0005-0000-0000-0000021A0000}"/>
    <cellStyle name="Normal 5 3 3 4 5 2 2" xfId="8618" xr:uid="{00000000-0005-0000-0000-0000031A0000}"/>
    <cellStyle name="Normal 5 3 3 4 5 3" xfId="6473" xr:uid="{00000000-0005-0000-0000-0000041A0000}"/>
    <cellStyle name="Normal 5 3 3 4 6" xfId="2602" xr:uid="{00000000-0005-0000-0000-0000051A0000}"/>
    <cellStyle name="Normal 5 3 3 4 6 2" xfId="6886" xr:uid="{00000000-0005-0000-0000-0000061A0000}"/>
    <cellStyle name="Normal 5 3 3 4 7" xfId="4821" xr:uid="{00000000-0005-0000-0000-0000071A0000}"/>
    <cellStyle name="Normal 5 3 3 5" xfId="915" xr:uid="{00000000-0005-0000-0000-0000081A0000}"/>
    <cellStyle name="Normal 5 3 3 5 2" xfId="3149" xr:uid="{00000000-0005-0000-0000-0000091A0000}"/>
    <cellStyle name="Normal 5 3 3 5 2 2" xfId="7372" xr:uid="{00000000-0005-0000-0000-00000A1A0000}"/>
    <cellStyle name="Normal 5 3 3 5 3" xfId="5227" xr:uid="{00000000-0005-0000-0000-00000B1A0000}"/>
    <cellStyle name="Normal 5 3 3 6" xfId="1332" xr:uid="{00000000-0005-0000-0000-00000C1A0000}"/>
    <cellStyle name="Normal 5 3 3 6 2" xfId="3562" xr:uid="{00000000-0005-0000-0000-00000D1A0000}"/>
    <cellStyle name="Normal 5 3 3 6 2 2" xfId="7785" xr:uid="{00000000-0005-0000-0000-00000E1A0000}"/>
    <cellStyle name="Normal 5 3 3 6 3" xfId="5640" xr:uid="{00000000-0005-0000-0000-00000F1A0000}"/>
    <cellStyle name="Normal 5 3 3 7" xfId="1745" xr:uid="{00000000-0005-0000-0000-0000101A0000}"/>
    <cellStyle name="Normal 5 3 3 7 2" xfId="3975" xr:uid="{00000000-0005-0000-0000-0000111A0000}"/>
    <cellStyle name="Normal 5 3 3 7 2 2" xfId="8198" xr:uid="{00000000-0005-0000-0000-0000121A0000}"/>
    <cellStyle name="Normal 5 3 3 7 3" xfId="6053" xr:uid="{00000000-0005-0000-0000-0000131A0000}"/>
    <cellStyle name="Normal 5 3 3 8" xfId="2159" xr:uid="{00000000-0005-0000-0000-0000141A0000}"/>
    <cellStyle name="Normal 5 3 3 8 2" xfId="4388" xr:uid="{00000000-0005-0000-0000-0000151A0000}"/>
    <cellStyle name="Normal 5 3 3 8 2 2" xfId="8611" xr:uid="{00000000-0005-0000-0000-0000161A0000}"/>
    <cellStyle name="Normal 5 3 3 8 3" xfId="6466" xr:uid="{00000000-0005-0000-0000-0000171A0000}"/>
    <cellStyle name="Normal 5 3 3 9" xfId="2595" xr:uid="{00000000-0005-0000-0000-0000181A0000}"/>
    <cellStyle name="Normal 5 3 3 9 2" xfId="6879" xr:uid="{00000000-0005-0000-0000-0000191A0000}"/>
    <cellStyle name="Normal 5 3 4" xfId="449" xr:uid="{00000000-0005-0000-0000-00001A1A0000}"/>
    <cellStyle name="Normal 5 3 4 2" xfId="450" xr:uid="{00000000-0005-0000-0000-00001B1A0000}"/>
    <cellStyle name="Normal 5 3 4 2 2" xfId="451" xr:uid="{00000000-0005-0000-0000-00001C1A0000}"/>
    <cellStyle name="Normal 5 3 4 2 2 2" xfId="925" xr:uid="{00000000-0005-0000-0000-00001D1A0000}"/>
    <cellStyle name="Normal 5 3 4 2 2 2 2" xfId="3159" xr:uid="{00000000-0005-0000-0000-00001E1A0000}"/>
    <cellStyle name="Normal 5 3 4 2 2 2 2 2" xfId="7382" xr:uid="{00000000-0005-0000-0000-00001F1A0000}"/>
    <cellStyle name="Normal 5 3 4 2 2 2 3" xfId="5237" xr:uid="{00000000-0005-0000-0000-0000201A0000}"/>
    <cellStyle name="Normal 5 3 4 2 2 3" xfId="1342" xr:uid="{00000000-0005-0000-0000-0000211A0000}"/>
    <cellStyle name="Normal 5 3 4 2 2 3 2" xfId="3572" xr:uid="{00000000-0005-0000-0000-0000221A0000}"/>
    <cellStyle name="Normal 5 3 4 2 2 3 2 2" xfId="7795" xr:uid="{00000000-0005-0000-0000-0000231A0000}"/>
    <cellStyle name="Normal 5 3 4 2 2 3 3" xfId="5650" xr:uid="{00000000-0005-0000-0000-0000241A0000}"/>
    <cellStyle name="Normal 5 3 4 2 2 4" xfId="1755" xr:uid="{00000000-0005-0000-0000-0000251A0000}"/>
    <cellStyle name="Normal 5 3 4 2 2 4 2" xfId="3985" xr:uid="{00000000-0005-0000-0000-0000261A0000}"/>
    <cellStyle name="Normal 5 3 4 2 2 4 2 2" xfId="8208" xr:uid="{00000000-0005-0000-0000-0000271A0000}"/>
    <cellStyle name="Normal 5 3 4 2 2 4 3" xfId="6063" xr:uid="{00000000-0005-0000-0000-0000281A0000}"/>
    <cellStyle name="Normal 5 3 4 2 2 5" xfId="2169" xr:uid="{00000000-0005-0000-0000-0000291A0000}"/>
    <cellStyle name="Normal 5 3 4 2 2 5 2" xfId="4398" xr:uid="{00000000-0005-0000-0000-00002A1A0000}"/>
    <cellStyle name="Normal 5 3 4 2 2 5 2 2" xfId="8621" xr:uid="{00000000-0005-0000-0000-00002B1A0000}"/>
    <cellStyle name="Normal 5 3 4 2 2 5 3" xfId="6476" xr:uid="{00000000-0005-0000-0000-00002C1A0000}"/>
    <cellStyle name="Normal 5 3 4 2 2 6" xfId="2605" xr:uid="{00000000-0005-0000-0000-00002D1A0000}"/>
    <cellStyle name="Normal 5 3 4 2 2 6 2" xfId="6889" xr:uid="{00000000-0005-0000-0000-00002E1A0000}"/>
    <cellStyle name="Normal 5 3 4 2 2 7" xfId="4824" xr:uid="{00000000-0005-0000-0000-00002F1A0000}"/>
    <cellStyle name="Normal 5 3 4 2 3" xfId="924" xr:uid="{00000000-0005-0000-0000-0000301A0000}"/>
    <cellStyle name="Normal 5 3 4 2 3 2" xfId="3158" xr:uid="{00000000-0005-0000-0000-0000311A0000}"/>
    <cellStyle name="Normal 5 3 4 2 3 2 2" xfId="7381" xr:uid="{00000000-0005-0000-0000-0000321A0000}"/>
    <cellStyle name="Normal 5 3 4 2 3 3" xfId="5236" xr:uid="{00000000-0005-0000-0000-0000331A0000}"/>
    <cellStyle name="Normal 5 3 4 2 4" xfId="1341" xr:uid="{00000000-0005-0000-0000-0000341A0000}"/>
    <cellStyle name="Normal 5 3 4 2 4 2" xfId="3571" xr:uid="{00000000-0005-0000-0000-0000351A0000}"/>
    <cellStyle name="Normal 5 3 4 2 4 2 2" xfId="7794" xr:uid="{00000000-0005-0000-0000-0000361A0000}"/>
    <cellStyle name="Normal 5 3 4 2 4 3" xfId="5649" xr:uid="{00000000-0005-0000-0000-0000371A0000}"/>
    <cellStyle name="Normal 5 3 4 2 5" xfId="1754" xr:uid="{00000000-0005-0000-0000-0000381A0000}"/>
    <cellStyle name="Normal 5 3 4 2 5 2" xfId="3984" xr:uid="{00000000-0005-0000-0000-0000391A0000}"/>
    <cellStyle name="Normal 5 3 4 2 5 2 2" xfId="8207" xr:uid="{00000000-0005-0000-0000-00003A1A0000}"/>
    <cellStyle name="Normal 5 3 4 2 5 3" xfId="6062" xr:uid="{00000000-0005-0000-0000-00003B1A0000}"/>
    <cellStyle name="Normal 5 3 4 2 6" xfId="2168" xr:uid="{00000000-0005-0000-0000-00003C1A0000}"/>
    <cellStyle name="Normal 5 3 4 2 6 2" xfId="4397" xr:uid="{00000000-0005-0000-0000-00003D1A0000}"/>
    <cellStyle name="Normal 5 3 4 2 6 2 2" xfId="8620" xr:uid="{00000000-0005-0000-0000-00003E1A0000}"/>
    <cellStyle name="Normal 5 3 4 2 6 3" xfId="6475" xr:uid="{00000000-0005-0000-0000-00003F1A0000}"/>
    <cellStyle name="Normal 5 3 4 2 7" xfId="2604" xr:uid="{00000000-0005-0000-0000-0000401A0000}"/>
    <cellStyle name="Normal 5 3 4 2 7 2" xfId="6888" xr:uid="{00000000-0005-0000-0000-0000411A0000}"/>
    <cellStyle name="Normal 5 3 4 2 8" xfId="4823" xr:uid="{00000000-0005-0000-0000-0000421A0000}"/>
    <cellStyle name="Normal 5 3 4 3" xfId="452" xr:uid="{00000000-0005-0000-0000-0000431A0000}"/>
    <cellStyle name="Normal 5 3 4 3 2" xfId="926" xr:uid="{00000000-0005-0000-0000-0000441A0000}"/>
    <cellStyle name="Normal 5 3 4 3 2 2" xfId="3160" xr:uid="{00000000-0005-0000-0000-0000451A0000}"/>
    <cellStyle name="Normal 5 3 4 3 2 2 2" xfId="7383" xr:uid="{00000000-0005-0000-0000-0000461A0000}"/>
    <cellStyle name="Normal 5 3 4 3 2 3" xfId="5238" xr:uid="{00000000-0005-0000-0000-0000471A0000}"/>
    <cellStyle name="Normal 5 3 4 3 3" xfId="1343" xr:uid="{00000000-0005-0000-0000-0000481A0000}"/>
    <cellStyle name="Normal 5 3 4 3 3 2" xfId="3573" xr:uid="{00000000-0005-0000-0000-0000491A0000}"/>
    <cellStyle name="Normal 5 3 4 3 3 2 2" xfId="7796" xr:uid="{00000000-0005-0000-0000-00004A1A0000}"/>
    <cellStyle name="Normal 5 3 4 3 3 3" xfId="5651" xr:uid="{00000000-0005-0000-0000-00004B1A0000}"/>
    <cellStyle name="Normal 5 3 4 3 4" xfId="1756" xr:uid="{00000000-0005-0000-0000-00004C1A0000}"/>
    <cellStyle name="Normal 5 3 4 3 4 2" xfId="3986" xr:uid="{00000000-0005-0000-0000-00004D1A0000}"/>
    <cellStyle name="Normal 5 3 4 3 4 2 2" xfId="8209" xr:uid="{00000000-0005-0000-0000-00004E1A0000}"/>
    <cellStyle name="Normal 5 3 4 3 4 3" xfId="6064" xr:uid="{00000000-0005-0000-0000-00004F1A0000}"/>
    <cellStyle name="Normal 5 3 4 3 5" xfId="2170" xr:uid="{00000000-0005-0000-0000-0000501A0000}"/>
    <cellStyle name="Normal 5 3 4 3 5 2" xfId="4399" xr:uid="{00000000-0005-0000-0000-0000511A0000}"/>
    <cellStyle name="Normal 5 3 4 3 5 2 2" xfId="8622" xr:uid="{00000000-0005-0000-0000-0000521A0000}"/>
    <cellStyle name="Normal 5 3 4 3 5 3" xfId="6477" xr:uid="{00000000-0005-0000-0000-0000531A0000}"/>
    <cellStyle name="Normal 5 3 4 3 6" xfId="2606" xr:uid="{00000000-0005-0000-0000-0000541A0000}"/>
    <cellStyle name="Normal 5 3 4 3 6 2" xfId="6890" xr:uid="{00000000-0005-0000-0000-0000551A0000}"/>
    <cellStyle name="Normal 5 3 4 3 7" xfId="4825" xr:uid="{00000000-0005-0000-0000-0000561A0000}"/>
    <cellStyle name="Normal 5 3 4 4" xfId="923" xr:uid="{00000000-0005-0000-0000-0000571A0000}"/>
    <cellStyle name="Normal 5 3 4 4 2" xfId="3157" xr:uid="{00000000-0005-0000-0000-0000581A0000}"/>
    <cellStyle name="Normal 5 3 4 4 2 2" xfId="7380" xr:uid="{00000000-0005-0000-0000-0000591A0000}"/>
    <cellStyle name="Normal 5 3 4 4 3" xfId="5235" xr:uid="{00000000-0005-0000-0000-00005A1A0000}"/>
    <cellStyle name="Normal 5 3 4 5" xfId="1340" xr:uid="{00000000-0005-0000-0000-00005B1A0000}"/>
    <cellStyle name="Normal 5 3 4 5 2" xfId="3570" xr:uid="{00000000-0005-0000-0000-00005C1A0000}"/>
    <cellStyle name="Normal 5 3 4 5 2 2" xfId="7793" xr:uid="{00000000-0005-0000-0000-00005D1A0000}"/>
    <cellStyle name="Normal 5 3 4 5 3" xfId="5648" xr:uid="{00000000-0005-0000-0000-00005E1A0000}"/>
    <cellStyle name="Normal 5 3 4 6" xfId="1753" xr:uid="{00000000-0005-0000-0000-00005F1A0000}"/>
    <cellStyle name="Normal 5 3 4 6 2" xfId="3983" xr:uid="{00000000-0005-0000-0000-0000601A0000}"/>
    <cellStyle name="Normal 5 3 4 6 2 2" xfId="8206" xr:uid="{00000000-0005-0000-0000-0000611A0000}"/>
    <cellStyle name="Normal 5 3 4 6 3" xfId="6061" xr:uid="{00000000-0005-0000-0000-0000621A0000}"/>
    <cellStyle name="Normal 5 3 4 7" xfId="2167" xr:uid="{00000000-0005-0000-0000-0000631A0000}"/>
    <cellStyle name="Normal 5 3 4 7 2" xfId="4396" xr:uid="{00000000-0005-0000-0000-0000641A0000}"/>
    <cellStyle name="Normal 5 3 4 7 2 2" xfId="8619" xr:uid="{00000000-0005-0000-0000-0000651A0000}"/>
    <cellStyle name="Normal 5 3 4 7 3" xfId="6474" xr:uid="{00000000-0005-0000-0000-0000661A0000}"/>
    <cellStyle name="Normal 5 3 4 8" xfId="2603" xr:uid="{00000000-0005-0000-0000-0000671A0000}"/>
    <cellStyle name="Normal 5 3 4 8 2" xfId="6887" xr:uid="{00000000-0005-0000-0000-0000681A0000}"/>
    <cellStyle name="Normal 5 3 4 9" xfId="4822" xr:uid="{00000000-0005-0000-0000-0000691A0000}"/>
    <cellStyle name="Normal 5 3 5" xfId="453" xr:uid="{00000000-0005-0000-0000-00006A1A0000}"/>
    <cellStyle name="Normal 5 3 5 2" xfId="454" xr:uid="{00000000-0005-0000-0000-00006B1A0000}"/>
    <cellStyle name="Normal 5 3 5 2 2" xfId="928" xr:uid="{00000000-0005-0000-0000-00006C1A0000}"/>
    <cellStyle name="Normal 5 3 5 2 2 2" xfId="3162" xr:uid="{00000000-0005-0000-0000-00006D1A0000}"/>
    <cellStyle name="Normal 5 3 5 2 2 2 2" xfId="7385" xr:uid="{00000000-0005-0000-0000-00006E1A0000}"/>
    <cellStyle name="Normal 5 3 5 2 2 3" xfId="5240" xr:uid="{00000000-0005-0000-0000-00006F1A0000}"/>
    <cellStyle name="Normal 5 3 5 2 3" xfId="1345" xr:uid="{00000000-0005-0000-0000-0000701A0000}"/>
    <cellStyle name="Normal 5 3 5 2 3 2" xfId="3575" xr:uid="{00000000-0005-0000-0000-0000711A0000}"/>
    <cellStyle name="Normal 5 3 5 2 3 2 2" xfId="7798" xr:uid="{00000000-0005-0000-0000-0000721A0000}"/>
    <cellStyle name="Normal 5 3 5 2 3 3" xfId="5653" xr:uid="{00000000-0005-0000-0000-0000731A0000}"/>
    <cellStyle name="Normal 5 3 5 2 4" xfId="1758" xr:uid="{00000000-0005-0000-0000-0000741A0000}"/>
    <cellStyle name="Normal 5 3 5 2 4 2" xfId="3988" xr:uid="{00000000-0005-0000-0000-0000751A0000}"/>
    <cellStyle name="Normal 5 3 5 2 4 2 2" xfId="8211" xr:uid="{00000000-0005-0000-0000-0000761A0000}"/>
    <cellStyle name="Normal 5 3 5 2 4 3" xfId="6066" xr:uid="{00000000-0005-0000-0000-0000771A0000}"/>
    <cellStyle name="Normal 5 3 5 2 5" xfId="2172" xr:uid="{00000000-0005-0000-0000-0000781A0000}"/>
    <cellStyle name="Normal 5 3 5 2 5 2" xfId="4401" xr:uid="{00000000-0005-0000-0000-0000791A0000}"/>
    <cellStyle name="Normal 5 3 5 2 5 2 2" xfId="8624" xr:uid="{00000000-0005-0000-0000-00007A1A0000}"/>
    <cellStyle name="Normal 5 3 5 2 5 3" xfId="6479" xr:uid="{00000000-0005-0000-0000-00007B1A0000}"/>
    <cellStyle name="Normal 5 3 5 2 6" xfId="2608" xr:uid="{00000000-0005-0000-0000-00007C1A0000}"/>
    <cellStyle name="Normal 5 3 5 2 6 2" xfId="6892" xr:uid="{00000000-0005-0000-0000-00007D1A0000}"/>
    <cellStyle name="Normal 5 3 5 2 7" xfId="4827" xr:uid="{00000000-0005-0000-0000-00007E1A0000}"/>
    <cellStyle name="Normal 5 3 5 3" xfId="927" xr:uid="{00000000-0005-0000-0000-00007F1A0000}"/>
    <cellStyle name="Normal 5 3 5 3 2" xfId="3161" xr:uid="{00000000-0005-0000-0000-0000801A0000}"/>
    <cellStyle name="Normal 5 3 5 3 2 2" xfId="7384" xr:uid="{00000000-0005-0000-0000-0000811A0000}"/>
    <cellStyle name="Normal 5 3 5 3 3" xfId="5239" xr:uid="{00000000-0005-0000-0000-0000821A0000}"/>
    <cellStyle name="Normal 5 3 5 4" xfId="1344" xr:uid="{00000000-0005-0000-0000-0000831A0000}"/>
    <cellStyle name="Normal 5 3 5 4 2" xfId="3574" xr:uid="{00000000-0005-0000-0000-0000841A0000}"/>
    <cellStyle name="Normal 5 3 5 4 2 2" xfId="7797" xr:uid="{00000000-0005-0000-0000-0000851A0000}"/>
    <cellStyle name="Normal 5 3 5 4 3" xfId="5652" xr:uid="{00000000-0005-0000-0000-0000861A0000}"/>
    <cellStyle name="Normal 5 3 5 5" xfId="1757" xr:uid="{00000000-0005-0000-0000-0000871A0000}"/>
    <cellStyle name="Normal 5 3 5 5 2" xfId="3987" xr:uid="{00000000-0005-0000-0000-0000881A0000}"/>
    <cellStyle name="Normal 5 3 5 5 2 2" xfId="8210" xr:uid="{00000000-0005-0000-0000-0000891A0000}"/>
    <cellStyle name="Normal 5 3 5 5 3" xfId="6065" xr:uid="{00000000-0005-0000-0000-00008A1A0000}"/>
    <cellStyle name="Normal 5 3 5 6" xfId="2171" xr:uid="{00000000-0005-0000-0000-00008B1A0000}"/>
    <cellStyle name="Normal 5 3 5 6 2" xfId="4400" xr:uid="{00000000-0005-0000-0000-00008C1A0000}"/>
    <cellStyle name="Normal 5 3 5 6 2 2" xfId="8623" xr:uid="{00000000-0005-0000-0000-00008D1A0000}"/>
    <cellStyle name="Normal 5 3 5 6 3" xfId="6478" xr:uid="{00000000-0005-0000-0000-00008E1A0000}"/>
    <cellStyle name="Normal 5 3 5 7" xfId="2607" xr:uid="{00000000-0005-0000-0000-00008F1A0000}"/>
    <cellStyle name="Normal 5 3 5 7 2" xfId="6891" xr:uid="{00000000-0005-0000-0000-0000901A0000}"/>
    <cellStyle name="Normal 5 3 5 8" xfId="4826" xr:uid="{00000000-0005-0000-0000-0000911A0000}"/>
    <cellStyle name="Normal 5 3 6" xfId="455" xr:uid="{00000000-0005-0000-0000-0000921A0000}"/>
    <cellStyle name="Normal 5 3 6 2" xfId="929" xr:uid="{00000000-0005-0000-0000-0000931A0000}"/>
    <cellStyle name="Normal 5 3 6 2 2" xfId="3163" xr:uid="{00000000-0005-0000-0000-0000941A0000}"/>
    <cellStyle name="Normal 5 3 6 2 2 2" xfId="7386" xr:uid="{00000000-0005-0000-0000-0000951A0000}"/>
    <cellStyle name="Normal 5 3 6 2 3" xfId="5241" xr:uid="{00000000-0005-0000-0000-0000961A0000}"/>
    <cellStyle name="Normal 5 3 6 3" xfId="1346" xr:uid="{00000000-0005-0000-0000-0000971A0000}"/>
    <cellStyle name="Normal 5 3 6 3 2" xfId="3576" xr:uid="{00000000-0005-0000-0000-0000981A0000}"/>
    <cellStyle name="Normal 5 3 6 3 2 2" xfId="7799" xr:uid="{00000000-0005-0000-0000-0000991A0000}"/>
    <cellStyle name="Normal 5 3 6 3 3" xfId="5654" xr:uid="{00000000-0005-0000-0000-00009A1A0000}"/>
    <cellStyle name="Normal 5 3 6 4" xfId="1759" xr:uid="{00000000-0005-0000-0000-00009B1A0000}"/>
    <cellStyle name="Normal 5 3 6 4 2" xfId="3989" xr:uid="{00000000-0005-0000-0000-00009C1A0000}"/>
    <cellStyle name="Normal 5 3 6 4 2 2" xfId="8212" xr:uid="{00000000-0005-0000-0000-00009D1A0000}"/>
    <cellStyle name="Normal 5 3 6 4 3" xfId="6067" xr:uid="{00000000-0005-0000-0000-00009E1A0000}"/>
    <cellStyle name="Normal 5 3 6 5" xfId="2173" xr:uid="{00000000-0005-0000-0000-00009F1A0000}"/>
    <cellStyle name="Normal 5 3 6 5 2" xfId="4402" xr:uid="{00000000-0005-0000-0000-0000A01A0000}"/>
    <cellStyle name="Normal 5 3 6 5 2 2" xfId="8625" xr:uid="{00000000-0005-0000-0000-0000A11A0000}"/>
    <cellStyle name="Normal 5 3 6 5 3" xfId="6480" xr:uid="{00000000-0005-0000-0000-0000A21A0000}"/>
    <cellStyle name="Normal 5 3 6 6" xfId="2609" xr:uid="{00000000-0005-0000-0000-0000A31A0000}"/>
    <cellStyle name="Normal 5 3 6 6 2" xfId="6893" xr:uid="{00000000-0005-0000-0000-0000A41A0000}"/>
    <cellStyle name="Normal 5 3 6 7" xfId="4828" xr:uid="{00000000-0005-0000-0000-0000A51A0000}"/>
    <cellStyle name="Normal 5 3 7" xfId="913" xr:uid="{00000000-0005-0000-0000-0000A61A0000}"/>
    <cellStyle name="Normal 5 3 7 2" xfId="3148" xr:uid="{00000000-0005-0000-0000-0000A71A0000}"/>
    <cellStyle name="Normal 5 3 7 2 2" xfId="7371" xr:uid="{00000000-0005-0000-0000-0000A81A0000}"/>
    <cellStyle name="Normal 5 3 7 3" xfId="5226" xr:uid="{00000000-0005-0000-0000-0000A91A0000}"/>
    <cellStyle name="Normal 5 3 8" xfId="1331" xr:uid="{00000000-0005-0000-0000-0000AA1A0000}"/>
    <cellStyle name="Normal 5 3 8 2" xfId="3561" xr:uid="{00000000-0005-0000-0000-0000AB1A0000}"/>
    <cellStyle name="Normal 5 3 8 2 2" xfId="7784" xr:uid="{00000000-0005-0000-0000-0000AC1A0000}"/>
    <cellStyle name="Normal 5 3 8 3" xfId="5639" xr:uid="{00000000-0005-0000-0000-0000AD1A0000}"/>
    <cellStyle name="Normal 5 3 9" xfId="1744" xr:uid="{00000000-0005-0000-0000-0000AE1A0000}"/>
    <cellStyle name="Normal 5 3 9 2" xfId="3974" xr:uid="{00000000-0005-0000-0000-0000AF1A0000}"/>
    <cellStyle name="Normal 5 3 9 2 2" xfId="8197" xr:uid="{00000000-0005-0000-0000-0000B01A0000}"/>
    <cellStyle name="Normal 5 3 9 3" xfId="6052" xr:uid="{00000000-0005-0000-0000-0000B11A0000}"/>
    <cellStyle name="Normal 5 4" xfId="456" xr:uid="{00000000-0005-0000-0000-0000B21A0000}"/>
    <cellStyle name="Normal 5 4 10" xfId="4829" xr:uid="{00000000-0005-0000-0000-0000B31A0000}"/>
    <cellStyle name="Normal 5 4 2" xfId="457" xr:uid="{00000000-0005-0000-0000-0000B41A0000}"/>
    <cellStyle name="Normal 5 4 2 2" xfId="458" xr:uid="{00000000-0005-0000-0000-0000B51A0000}"/>
    <cellStyle name="Normal 5 4 2 2 2" xfId="459" xr:uid="{00000000-0005-0000-0000-0000B61A0000}"/>
    <cellStyle name="Normal 5 4 2 2 2 2" xfId="933" xr:uid="{00000000-0005-0000-0000-0000B71A0000}"/>
    <cellStyle name="Normal 5 4 2 2 2 2 2" xfId="3167" xr:uid="{00000000-0005-0000-0000-0000B81A0000}"/>
    <cellStyle name="Normal 5 4 2 2 2 2 2 2" xfId="7390" xr:uid="{00000000-0005-0000-0000-0000B91A0000}"/>
    <cellStyle name="Normal 5 4 2 2 2 2 3" xfId="5245" xr:uid="{00000000-0005-0000-0000-0000BA1A0000}"/>
    <cellStyle name="Normal 5 4 2 2 2 3" xfId="1350" xr:uid="{00000000-0005-0000-0000-0000BB1A0000}"/>
    <cellStyle name="Normal 5 4 2 2 2 3 2" xfId="3580" xr:uid="{00000000-0005-0000-0000-0000BC1A0000}"/>
    <cellStyle name="Normal 5 4 2 2 2 3 2 2" xfId="7803" xr:uid="{00000000-0005-0000-0000-0000BD1A0000}"/>
    <cellStyle name="Normal 5 4 2 2 2 3 3" xfId="5658" xr:uid="{00000000-0005-0000-0000-0000BE1A0000}"/>
    <cellStyle name="Normal 5 4 2 2 2 4" xfId="1763" xr:uid="{00000000-0005-0000-0000-0000BF1A0000}"/>
    <cellStyle name="Normal 5 4 2 2 2 4 2" xfId="3993" xr:uid="{00000000-0005-0000-0000-0000C01A0000}"/>
    <cellStyle name="Normal 5 4 2 2 2 4 2 2" xfId="8216" xr:uid="{00000000-0005-0000-0000-0000C11A0000}"/>
    <cellStyle name="Normal 5 4 2 2 2 4 3" xfId="6071" xr:uid="{00000000-0005-0000-0000-0000C21A0000}"/>
    <cellStyle name="Normal 5 4 2 2 2 5" xfId="2177" xr:uid="{00000000-0005-0000-0000-0000C31A0000}"/>
    <cellStyle name="Normal 5 4 2 2 2 5 2" xfId="4406" xr:uid="{00000000-0005-0000-0000-0000C41A0000}"/>
    <cellStyle name="Normal 5 4 2 2 2 5 2 2" xfId="8629" xr:uid="{00000000-0005-0000-0000-0000C51A0000}"/>
    <cellStyle name="Normal 5 4 2 2 2 5 3" xfId="6484" xr:uid="{00000000-0005-0000-0000-0000C61A0000}"/>
    <cellStyle name="Normal 5 4 2 2 2 6" xfId="2613" xr:uid="{00000000-0005-0000-0000-0000C71A0000}"/>
    <cellStyle name="Normal 5 4 2 2 2 6 2" xfId="6897" xr:uid="{00000000-0005-0000-0000-0000C81A0000}"/>
    <cellStyle name="Normal 5 4 2 2 2 7" xfId="4832" xr:uid="{00000000-0005-0000-0000-0000C91A0000}"/>
    <cellStyle name="Normal 5 4 2 2 3" xfId="932" xr:uid="{00000000-0005-0000-0000-0000CA1A0000}"/>
    <cellStyle name="Normal 5 4 2 2 3 2" xfId="3166" xr:uid="{00000000-0005-0000-0000-0000CB1A0000}"/>
    <cellStyle name="Normal 5 4 2 2 3 2 2" xfId="7389" xr:uid="{00000000-0005-0000-0000-0000CC1A0000}"/>
    <cellStyle name="Normal 5 4 2 2 3 3" xfId="5244" xr:uid="{00000000-0005-0000-0000-0000CD1A0000}"/>
    <cellStyle name="Normal 5 4 2 2 4" xfId="1349" xr:uid="{00000000-0005-0000-0000-0000CE1A0000}"/>
    <cellStyle name="Normal 5 4 2 2 4 2" xfId="3579" xr:uid="{00000000-0005-0000-0000-0000CF1A0000}"/>
    <cellStyle name="Normal 5 4 2 2 4 2 2" xfId="7802" xr:uid="{00000000-0005-0000-0000-0000D01A0000}"/>
    <cellStyle name="Normal 5 4 2 2 4 3" xfId="5657" xr:uid="{00000000-0005-0000-0000-0000D11A0000}"/>
    <cellStyle name="Normal 5 4 2 2 5" xfId="1762" xr:uid="{00000000-0005-0000-0000-0000D21A0000}"/>
    <cellStyle name="Normal 5 4 2 2 5 2" xfId="3992" xr:uid="{00000000-0005-0000-0000-0000D31A0000}"/>
    <cellStyle name="Normal 5 4 2 2 5 2 2" xfId="8215" xr:uid="{00000000-0005-0000-0000-0000D41A0000}"/>
    <cellStyle name="Normal 5 4 2 2 5 3" xfId="6070" xr:uid="{00000000-0005-0000-0000-0000D51A0000}"/>
    <cellStyle name="Normal 5 4 2 2 6" xfId="2176" xr:uid="{00000000-0005-0000-0000-0000D61A0000}"/>
    <cellStyle name="Normal 5 4 2 2 6 2" xfId="4405" xr:uid="{00000000-0005-0000-0000-0000D71A0000}"/>
    <cellStyle name="Normal 5 4 2 2 6 2 2" xfId="8628" xr:uid="{00000000-0005-0000-0000-0000D81A0000}"/>
    <cellStyle name="Normal 5 4 2 2 6 3" xfId="6483" xr:uid="{00000000-0005-0000-0000-0000D91A0000}"/>
    <cellStyle name="Normal 5 4 2 2 7" xfId="2612" xr:uid="{00000000-0005-0000-0000-0000DA1A0000}"/>
    <cellStyle name="Normal 5 4 2 2 7 2" xfId="6896" xr:uid="{00000000-0005-0000-0000-0000DB1A0000}"/>
    <cellStyle name="Normal 5 4 2 2 8" xfId="4831" xr:uid="{00000000-0005-0000-0000-0000DC1A0000}"/>
    <cellStyle name="Normal 5 4 2 3" xfId="460" xr:uid="{00000000-0005-0000-0000-0000DD1A0000}"/>
    <cellStyle name="Normal 5 4 2 3 2" xfId="934" xr:uid="{00000000-0005-0000-0000-0000DE1A0000}"/>
    <cellStyle name="Normal 5 4 2 3 2 2" xfId="3168" xr:uid="{00000000-0005-0000-0000-0000DF1A0000}"/>
    <cellStyle name="Normal 5 4 2 3 2 2 2" xfId="7391" xr:uid="{00000000-0005-0000-0000-0000E01A0000}"/>
    <cellStyle name="Normal 5 4 2 3 2 3" xfId="5246" xr:uid="{00000000-0005-0000-0000-0000E11A0000}"/>
    <cellStyle name="Normal 5 4 2 3 3" xfId="1351" xr:uid="{00000000-0005-0000-0000-0000E21A0000}"/>
    <cellStyle name="Normal 5 4 2 3 3 2" xfId="3581" xr:uid="{00000000-0005-0000-0000-0000E31A0000}"/>
    <cellStyle name="Normal 5 4 2 3 3 2 2" xfId="7804" xr:uid="{00000000-0005-0000-0000-0000E41A0000}"/>
    <cellStyle name="Normal 5 4 2 3 3 3" xfId="5659" xr:uid="{00000000-0005-0000-0000-0000E51A0000}"/>
    <cellStyle name="Normal 5 4 2 3 4" xfId="1764" xr:uid="{00000000-0005-0000-0000-0000E61A0000}"/>
    <cellStyle name="Normal 5 4 2 3 4 2" xfId="3994" xr:uid="{00000000-0005-0000-0000-0000E71A0000}"/>
    <cellStyle name="Normal 5 4 2 3 4 2 2" xfId="8217" xr:uid="{00000000-0005-0000-0000-0000E81A0000}"/>
    <cellStyle name="Normal 5 4 2 3 4 3" xfId="6072" xr:uid="{00000000-0005-0000-0000-0000E91A0000}"/>
    <cellStyle name="Normal 5 4 2 3 5" xfId="2178" xr:uid="{00000000-0005-0000-0000-0000EA1A0000}"/>
    <cellStyle name="Normal 5 4 2 3 5 2" xfId="4407" xr:uid="{00000000-0005-0000-0000-0000EB1A0000}"/>
    <cellStyle name="Normal 5 4 2 3 5 2 2" xfId="8630" xr:uid="{00000000-0005-0000-0000-0000EC1A0000}"/>
    <cellStyle name="Normal 5 4 2 3 5 3" xfId="6485" xr:uid="{00000000-0005-0000-0000-0000ED1A0000}"/>
    <cellStyle name="Normal 5 4 2 3 6" xfId="2614" xr:uid="{00000000-0005-0000-0000-0000EE1A0000}"/>
    <cellStyle name="Normal 5 4 2 3 6 2" xfId="6898" xr:uid="{00000000-0005-0000-0000-0000EF1A0000}"/>
    <cellStyle name="Normal 5 4 2 3 7" xfId="4833" xr:uid="{00000000-0005-0000-0000-0000F01A0000}"/>
    <cellStyle name="Normal 5 4 2 4" xfId="931" xr:uid="{00000000-0005-0000-0000-0000F11A0000}"/>
    <cellStyle name="Normal 5 4 2 4 2" xfId="3165" xr:uid="{00000000-0005-0000-0000-0000F21A0000}"/>
    <cellStyle name="Normal 5 4 2 4 2 2" xfId="7388" xr:uid="{00000000-0005-0000-0000-0000F31A0000}"/>
    <cellStyle name="Normal 5 4 2 4 3" xfId="5243" xr:uid="{00000000-0005-0000-0000-0000F41A0000}"/>
    <cellStyle name="Normal 5 4 2 5" xfId="1348" xr:uid="{00000000-0005-0000-0000-0000F51A0000}"/>
    <cellStyle name="Normal 5 4 2 5 2" xfId="3578" xr:uid="{00000000-0005-0000-0000-0000F61A0000}"/>
    <cellStyle name="Normal 5 4 2 5 2 2" xfId="7801" xr:uid="{00000000-0005-0000-0000-0000F71A0000}"/>
    <cellStyle name="Normal 5 4 2 5 3" xfId="5656" xr:uid="{00000000-0005-0000-0000-0000F81A0000}"/>
    <cellStyle name="Normal 5 4 2 6" xfId="1761" xr:uid="{00000000-0005-0000-0000-0000F91A0000}"/>
    <cellStyle name="Normal 5 4 2 6 2" xfId="3991" xr:uid="{00000000-0005-0000-0000-0000FA1A0000}"/>
    <cellStyle name="Normal 5 4 2 6 2 2" xfId="8214" xr:uid="{00000000-0005-0000-0000-0000FB1A0000}"/>
    <cellStyle name="Normal 5 4 2 6 3" xfId="6069" xr:uid="{00000000-0005-0000-0000-0000FC1A0000}"/>
    <cellStyle name="Normal 5 4 2 7" xfId="2175" xr:uid="{00000000-0005-0000-0000-0000FD1A0000}"/>
    <cellStyle name="Normal 5 4 2 7 2" xfId="4404" xr:uid="{00000000-0005-0000-0000-0000FE1A0000}"/>
    <cellStyle name="Normal 5 4 2 7 2 2" xfId="8627" xr:uid="{00000000-0005-0000-0000-0000FF1A0000}"/>
    <cellStyle name="Normal 5 4 2 7 3" xfId="6482" xr:uid="{00000000-0005-0000-0000-0000001B0000}"/>
    <cellStyle name="Normal 5 4 2 8" xfId="2611" xr:uid="{00000000-0005-0000-0000-0000011B0000}"/>
    <cellStyle name="Normal 5 4 2 8 2" xfId="6895" xr:uid="{00000000-0005-0000-0000-0000021B0000}"/>
    <cellStyle name="Normal 5 4 2 9" xfId="4830" xr:uid="{00000000-0005-0000-0000-0000031B0000}"/>
    <cellStyle name="Normal 5 4 3" xfId="461" xr:uid="{00000000-0005-0000-0000-0000041B0000}"/>
    <cellStyle name="Normal 5 4 3 2" xfId="462" xr:uid="{00000000-0005-0000-0000-0000051B0000}"/>
    <cellStyle name="Normal 5 4 3 2 2" xfId="936" xr:uid="{00000000-0005-0000-0000-0000061B0000}"/>
    <cellStyle name="Normal 5 4 3 2 2 2" xfId="3170" xr:uid="{00000000-0005-0000-0000-0000071B0000}"/>
    <cellStyle name="Normal 5 4 3 2 2 2 2" xfId="7393" xr:uid="{00000000-0005-0000-0000-0000081B0000}"/>
    <cellStyle name="Normal 5 4 3 2 2 3" xfId="5248" xr:uid="{00000000-0005-0000-0000-0000091B0000}"/>
    <cellStyle name="Normal 5 4 3 2 3" xfId="1353" xr:uid="{00000000-0005-0000-0000-00000A1B0000}"/>
    <cellStyle name="Normal 5 4 3 2 3 2" xfId="3583" xr:uid="{00000000-0005-0000-0000-00000B1B0000}"/>
    <cellStyle name="Normal 5 4 3 2 3 2 2" xfId="7806" xr:uid="{00000000-0005-0000-0000-00000C1B0000}"/>
    <cellStyle name="Normal 5 4 3 2 3 3" xfId="5661" xr:uid="{00000000-0005-0000-0000-00000D1B0000}"/>
    <cellStyle name="Normal 5 4 3 2 4" xfId="1766" xr:uid="{00000000-0005-0000-0000-00000E1B0000}"/>
    <cellStyle name="Normal 5 4 3 2 4 2" xfId="3996" xr:uid="{00000000-0005-0000-0000-00000F1B0000}"/>
    <cellStyle name="Normal 5 4 3 2 4 2 2" xfId="8219" xr:uid="{00000000-0005-0000-0000-0000101B0000}"/>
    <cellStyle name="Normal 5 4 3 2 4 3" xfId="6074" xr:uid="{00000000-0005-0000-0000-0000111B0000}"/>
    <cellStyle name="Normal 5 4 3 2 5" xfId="2180" xr:uid="{00000000-0005-0000-0000-0000121B0000}"/>
    <cellStyle name="Normal 5 4 3 2 5 2" xfId="4409" xr:uid="{00000000-0005-0000-0000-0000131B0000}"/>
    <cellStyle name="Normal 5 4 3 2 5 2 2" xfId="8632" xr:uid="{00000000-0005-0000-0000-0000141B0000}"/>
    <cellStyle name="Normal 5 4 3 2 5 3" xfId="6487" xr:uid="{00000000-0005-0000-0000-0000151B0000}"/>
    <cellStyle name="Normal 5 4 3 2 6" xfId="2616" xr:uid="{00000000-0005-0000-0000-0000161B0000}"/>
    <cellStyle name="Normal 5 4 3 2 6 2" xfId="6900" xr:uid="{00000000-0005-0000-0000-0000171B0000}"/>
    <cellStyle name="Normal 5 4 3 2 7" xfId="4835" xr:uid="{00000000-0005-0000-0000-0000181B0000}"/>
    <cellStyle name="Normal 5 4 3 3" xfId="935" xr:uid="{00000000-0005-0000-0000-0000191B0000}"/>
    <cellStyle name="Normal 5 4 3 3 2" xfId="3169" xr:uid="{00000000-0005-0000-0000-00001A1B0000}"/>
    <cellStyle name="Normal 5 4 3 3 2 2" xfId="7392" xr:uid="{00000000-0005-0000-0000-00001B1B0000}"/>
    <cellStyle name="Normal 5 4 3 3 3" xfId="5247" xr:uid="{00000000-0005-0000-0000-00001C1B0000}"/>
    <cellStyle name="Normal 5 4 3 4" xfId="1352" xr:uid="{00000000-0005-0000-0000-00001D1B0000}"/>
    <cellStyle name="Normal 5 4 3 4 2" xfId="3582" xr:uid="{00000000-0005-0000-0000-00001E1B0000}"/>
    <cellStyle name="Normal 5 4 3 4 2 2" xfId="7805" xr:uid="{00000000-0005-0000-0000-00001F1B0000}"/>
    <cellStyle name="Normal 5 4 3 4 3" xfId="5660" xr:uid="{00000000-0005-0000-0000-0000201B0000}"/>
    <cellStyle name="Normal 5 4 3 5" xfId="1765" xr:uid="{00000000-0005-0000-0000-0000211B0000}"/>
    <cellStyle name="Normal 5 4 3 5 2" xfId="3995" xr:uid="{00000000-0005-0000-0000-0000221B0000}"/>
    <cellStyle name="Normal 5 4 3 5 2 2" xfId="8218" xr:uid="{00000000-0005-0000-0000-0000231B0000}"/>
    <cellStyle name="Normal 5 4 3 5 3" xfId="6073" xr:uid="{00000000-0005-0000-0000-0000241B0000}"/>
    <cellStyle name="Normal 5 4 3 6" xfId="2179" xr:uid="{00000000-0005-0000-0000-0000251B0000}"/>
    <cellStyle name="Normal 5 4 3 6 2" xfId="4408" xr:uid="{00000000-0005-0000-0000-0000261B0000}"/>
    <cellStyle name="Normal 5 4 3 6 2 2" xfId="8631" xr:uid="{00000000-0005-0000-0000-0000271B0000}"/>
    <cellStyle name="Normal 5 4 3 6 3" xfId="6486" xr:uid="{00000000-0005-0000-0000-0000281B0000}"/>
    <cellStyle name="Normal 5 4 3 7" xfId="2615" xr:uid="{00000000-0005-0000-0000-0000291B0000}"/>
    <cellStyle name="Normal 5 4 3 7 2" xfId="6899" xr:uid="{00000000-0005-0000-0000-00002A1B0000}"/>
    <cellStyle name="Normal 5 4 3 8" xfId="4834" xr:uid="{00000000-0005-0000-0000-00002B1B0000}"/>
    <cellStyle name="Normal 5 4 4" xfId="463" xr:uid="{00000000-0005-0000-0000-00002C1B0000}"/>
    <cellStyle name="Normal 5 4 4 2" xfId="937" xr:uid="{00000000-0005-0000-0000-00002D1B0000}"/>
    <cellStyle name="Normal 5 4 4 2 2" xfId="3171" xr:uid="{00000000-0005-0000-0000-00002E1B0000}"/>
    <cellStyle name="Normal 5 4 4 2 2 2" xfId="7394" xr:uid="{00000000-0005-0000-0000-00002F1B0000}"/>
    <cellStyle name="Normal 5 4 4 2 3" xfId="5249" xr:uid="{00000000-0005-0000-0000-0000301B0000}"/>
    <cellStyle name="Normal 5 4 4 3" xfId="1354" xr:uid="{00000000-0005-0000-0000-0000311B0000}"/>
    <cellStyle name="Normal 5 4 4 3 2" xfId="3584" xr:uid="{00000000-0005-0000-0000-0000321B0000}"/>
    <cellStyle name="Normal 5 4 4 3 2 2" xfId="7807" xr:uid="{00000000-0005-0000-0000-0000331B0000}"/>
    <cellStyle name="Normal 5 4 4 3 3" xfId="5662" xr:uid="{00000000-0005-0000-0000-0000341B0000}"/>
    <cellStyle name="Normal 5 4 4 4" xfId="1767" xr:uid="{00000000-0005-0000-0000-0000351B0000}"/>
    <cellStyle name="Normal 5 4 4 4 2" xfId="3997" xr:uid="{00000000-0005-0000-0000-0000361B0000}"/>
    <cellStyle name="Normal 5 4 4 4 2 2" xfId="8220" xr:uid="{00000000-0005-0000-0000-0000371B0000}"/>
    <cellStyle name="Normal 5 4 4 4 3" xfId="6075" xr:uid="{00000000-0005-0000-0000-0000381B0000}"/>
    <cellStyle name="Normal 5 4 4 5" xfId="2181" xr:uid="{00000000-0005-0000-0000-0000391B0000}"/>
    <cellStyle name="Normal 5 4 4 5 2" xfId="4410" xr:uid="{00000000-0005-0000-0000-00003A1B0000}"/>
    <cellStyle name="Normal 5 4 4 5 2 2" xfId="8633" xr:uid="{00000000-0005-0000-0000-00003B1B0000}"/>
    <cellStyle name="Normal 5 4 4 5 3" xfId="6488" xr:uid="{00000000-0005-0000-0000-00003C1B0000}"/>
    <cellStyle name="Normal 5 4 4 6" xfId="2617" xr:uid="{00000000-0005-0000-0000-00003D1B0000}"/>
    <cellStyle name="Normal 5 4 4 6 2" xfId="6901" xr:uid="{00000000-0005-0000-0000-00003E1B0000}"/>
    <cellStyle name="Normal 5 4 4 7" xfId="4836" xr:uid="{00000000-0005-0000-0000-00003F1B0000}"/>
    <cellStyle name="Normal 5 4 5" xfId="930" xr:uid="{00000000-0005-0000-0000-0000401B0000}"/>
    <cellStyle name="Normal 5 4 5 2" xfId="3164" xr:uid="{00000000-0005-0000-0000-0000411B0000}"/>
    <cellStyle name="Normal 5 4 5 2 2" xfId="7387" xr:uid="{00000000-0005-0000-0000-0000421B0000}"/>
    <cellStyle name="Normal 5 4 5 3" xfId="5242" xr:uid="{00000000-0005-0000-0000-0000431B0000}"/>
    <cellStyle name="Normal 5 4 6" xfId="1347" xr:uid="{00000000-0005-0000-0000-0000441B0000}"/>
    <cellStyle name="Normal 5 4 6 2" xfId="3577" xr:uid="{00000000-0005-0000-0000-0000451B0000}"/>
    <cellStyle name="Normal 5 4 6 2 2" xfId="7800" xr:uid="{00000000-0005-0000-0000-0000461B0000}"/>
    <cellStyle name="Normal 5 4 6 3" xfId="5655" xr:uid="{00000000-0005-0000-0000-0000471B0000}"/>
    <cellStyle name="Normal 5 4 7" xfId="1760" xr:uid="{00000000-0005-0000-0000-0000481B0000}"/>
    <cellStyle name="Normal 5 4 7 2" xfId="3990" xr:uid="{00000000-0005-0000-0000-0000491B0000}"/>
    <cellStyle name="Normal 5 4 7 2 2" xfId="8213" xr:uid="{00000000-0005-0000-0000-00004A1B0000}"/>
    <cellStyle name="Normal 5 4 7 3" xfId="6068" xr:uid="{00000000-0005-0000-0000-00004B1B0000}"/>
    <cellStyle name="Normal 5 4 8" xfId="2174" xr:uid="{00000000-0005-0000-0000-00004C1B0000}"/>
    <cellStyle name="Normal 5 4 8 2" xfId="4403" xr:uid="{00000000-0005-0000-0000-00004D1B0000}"/>
    <cellStyle name="Normal 5 4 8 2 2" xfId="8626" xr:uid="{00000000-0005-0000-0000-00004E1B0000}"/>
    <cellStyle name="Normal 5 4 8 3" xfId="6481" xr:uid="{00000000-0005-0000-0000-00004F1B0000}"/>
    <cellStyle name="Normal 5 4 9" xfId="2610" xr:uid="{00000000-0005-0000-0000-0000501B0000}"/>
    <cellStyle name="Normal 5 4 9 2" xfId="6894" xr:uid="{00000000-0005-0000-0000-0000511B0000}"/>
    <cellStyle name="Normal 5 5" xfId="464" xr:uid="{00000000-0005-0000-0000-0000521B0000}"/>
    <cellStyle name="Normal 5 5 2" xfId="465" xr:uid="{00000000-0005-0000-0000-0000531B0000}"/>
    <cellStyle name="Normal 5 5 2 2" xfId="466" xr:uid="{00000000-0005-0000-0000-0000541B0000}"/>
    <cellStyle name="Normal 5 5 2 2 2" xfId="940" xr:uid="{00000000-0005-0000-0000-0000551B0000}"/>
    <cellStyle name="Normal 5 5 2 2 2 2" xfId="3174" xr:uid="{00000000-0005-0000-0000-0000561B0000}"/>
    <cellStyle name="Normal 5 5 2 2 2 2 2" xfId="7397" xr:uid="{00000000-0005-0000-0000-0000571B0000}"/>
    <cellStyle name="Normal 5 5 2 2 2 3" xfId="5252" xr:uid="{00000000-0005-0000-0000-0000581B0000}"/>
    <cellStyle name="Normal 5 5 2 2 3" xfId="1357" xr:uid="{00000000-0005-0000-0000-0000591B0000}"/>
    <cellStyle name="Normal 5 5 2 2 3 2" xfId="3587" xr:uid="{00000000-0005-0000-0000-00005A1B0000}"/>
    <cellStyle name="Normal 5 5 2 2 3 2 2" xfId="7810" xr:uid="{00000000-0005-0000-0000-00005B1B0000}"/>
    <cellStyle name="Normal 5 5 2 2 3 3" xfId="5665" xr:uid="{00000000-0005-0000-0000-00005C1B0000}"/>
    <cellStyle name="Normal 5 5 2 2 4" xfId="1770" xr:uid="{00000000-0005-0000-0000-00005D1B0000}"/>
    <cellStyle name="Normal 5 5 2 2 4 2" xfId="4000" xr:uid="{00000000-0005-0000-0000-00005E1B0000}"/>
    <cellStyle name="Normal 5 5 2 2 4 2 2" xfId="8223" xr:uid="{00000000-0005-0000-0000-00005F1B0000}"/>
    <cellStyle name="Normal 5 5 2 2 4 3" xfId="6078" xr:uid="{00000000-0005-0000-0000-0000601B0000}"/>
    <cellStyle name="Normal 5 5 2 2 5" xfId="2184" xr:uid="{00000000-0005-0000-0000-0000611B0000}"/>
    <cellStyle name="Normal 5 5 2 2 5 2" xfId="4413" xr:uid="{00000000-0005-0000-0000-0000621B0000}"/>
    <cellStyle name="Normal 5 5 2 2 5 2 2" xfId="8636" xr:uid="{00000000-0005-0000-0000-0000631B0000}"/>
    <cellStyle name="Normal 5 5 2 2 5 3" xfId="6491" xr:uid="{00000000-0005-0000-0000-0000641B0000}"/>
    <cellStyle name="Normal 5 5 2 2 6" xfId="2620" xr:uid="{00000000-0005-0000-0000-0000651B0000}"/>
    <cellStyle name="Normal 5 5 2 2 6 2" xfId="6904" xr:uid="{00000000-0005-0000-0000-0000661B0000}"/>
    <cellStyle name="Normal 5 5 2 2 7" xfId="4839" xr:uid="{00000000-0005-0000-0000-0000671B0000}"/>
    <cellStyle name="Normal 5 5 2 3" xfId="939" xr:uid="{00000000-0005-0000-0000-0000681B0000}"/>
    <cellStyle name="Normal 5 5 2 3 2" xfId="3173" xr:uid="{00000000-0005-0000-0000-0000691B0000}"/>
    <cellStyle name="Normal 5 5 2 3 2 2" xfId="7396" xr:uid="{00000000-0005-0000-0000-00006A1B0000}"/>
    <cellStyle name="Normal 5 5 2 3 3" xfId="5251" xr:uid="{00000000-0005-0000-0000-00006B1B0000}"/>
    <cellStyle name="Normal 5 5 2 4" xfId="1356" xr:uid="{00000000-0005-0000-0000-00006C1B0000}"/>
    <cellStyle name="Normal 5 5 2 4 2" xfId="3586" xr:uid="{00000000-0005-0000-0000-00006D1B0000}"/>
    <cellStyle name="Normal 5 5 2 4 2 2" xfId="7809" xr:uid="{00000000-0005-0000-0000-00006E1B0000}"/>
    <cellStyle name="Normal 5 5 2 4 3" xfId="5664" xr:uid="{00000000-0005-0000-0000-00006F1B0000}"/>
    <cellStyle name="Normal 5 5 2 5" xfId="1769" xr:uid="{00000000-0005-0000-0000-0000701B0000}"/>
    <cellStyle name="Normal 5 5 2 5 2" xfId="3999" xr:uid="{00000000-0005-0000-0000-0000711B0000}"/>
    <cellStyle name="Normal 5 5 2 5 2 2" xfId="8222" xr:uid="{00000000-0005-0000-0000-0000721B0000}"/>
    <cellStyle name="Normal 5 5 2 5 3" xfId="6077" xr:uid="{00000000-0005-0000-0000-0000731B0000}"/>
    <cellStyle name="Normal 5 5 2 6" xfId="2183" xr:uid="{00000000-0005-0000-0000-0000741B0000}"/>
    <cellStyle name="Normal 5 5 2 6 2" xfId="4412" xr:uid="{00000000-0005-0000-0000-0000751B0000}"/>
    <cellStyle name="Normal 5 5 2 6 2 2" xfId="8635" xr:uid="{00000000-0005-0000-0000-0000761B0000}"/>
    <cellStyle name="Normal 5 5 2 6 3" xfId="6490" xr:uid="{00000000-0005-0000-0000-0000771B0000}"/>
    <cellStyle name="Normal 5 5 2 7" xfId="2619" xr:uid="{00000000-0005-0000-0000-0000781B0000}"/>
    <cellStyle name="Normal 5 5 2 7 2" xfId="6903" xr:uid="{00000000-0005-0000-0000-0000791B0000}"/>
    <cellStyle name="Normal 5 5 2 8" xfId="4838" xr:uid="{00000000-0005-0000-0000-00007A1B0000}"/>
    <cellStyle name="Normal 5 5 3" xfId="467" xr:uid="{00000000-0005-0000-0000-00007B1B0000}"/>
    <cellStyle name="Normal 5 5 3 2" xfId="941" xr:uid="{00000000-0005-0000-0000-00007C1B0000}"/>
    <cellStyle name="Normal 5 5 3 2 2" xfId="3175" xr:uid="{00000000-0005-0000-0000-00007D1B0000}"/>
    <cellStyle name="Normal 5 5 3 2 2 2" xfId="7398" xr:uid="{00000000-0005-0000-0000-00007E1B0000}"/>
    <cellStyle name="Normal 5 5 3 2 3" xfId="5253" xr:uid="{00000000-0005-0000-0000-00007F1B0000}"/>
    <cellStyle name="Normal 5 5 3 3" xfId="1358" xr:uid="{00000000-0005-0000-0000-0000801B0000}"/>
    <cellStyle name="Normal 5 5 3 3 2" xfId="3588" xr:uid="{00000000-0005-0000-0000-0000811B0000}"/>
    <cellStyle name="Normal 5 5 3 3 2 2" xfId="7811" xr:uid="{00000000-0005-0000-0000-0000821B0000}"/>
    <cellStyle name="Normal 5 5 3 3 3" xfId="5666" xr:uid="{00000000-0005-0000-0000-0000831B0000}"/>
    <cellStyle name="Normal 5 5 3 4" xfId="1771" xr:uid="{00000000-0005-0000-0000-0000841B0000}"/>
    <cellStyle name="Normal 5 5 3 4 2" xfId="4001" xr:uid="{00000000-0005-0000-0000-0000851B0000}"/>
    <cellStyle name="Normal 5 5 3 4 2 2" xfId="8224" xr:uid="{00000000-0005-0000-0000-0000861B0000}"/>
    <cellStyle name="Normal 5 5 3 4 3" xfId="6079" xr:uid="{00000000-0005-0000-0000-0000871B0000}"/>
    <cellStyle name="Normal 5 5 3 5" xfId="2185" xr:uid="{00000000-0005-0000-0000-0000881B0000}"/>
    <cellStyle name="Normal 5 5 3 5 2" xfId="4414" xr:uid="{00000000-0005-0000-0000-0000891B0000}"/>
    <cellStyle name="Normal 5 5 3 5 2 2" xfId="8637" xr:uid="{00000000-0005-0000-0000-00008A1B0000}"/>
    <cellStyle name="Normal 5 5 3 5 3" xfId="6492" xr:uid="{00000000-0005-0000-0000-00008B1B0000}"/>
    <cellStyle name="Normal 5 5 3 6" xfId="2621" xr:uid="{00000000-0005-0000-0000-00008C1B0000}"/>
    <cellStyle name="Normal 5 5 3 6 2" xfId="6905" xr:uid="{00000000-0005-0000-0000-00008D1B0000}"/>
    <cellStyle name="Normal 5 5 3 7" xfId="4840" xr:uid="{00000000-0005-0000-0000-00008E1B0000}"/>
    <cellStyle name="Normal 5 5 4" xfId="938" xr:uid="{00000000-0005-0000-0000-00008F1B0000}"/>
    <cellStyle name="Normal 5 5 4 2" xfId="3172" xr:uid="{00000000-0005-0000-0000-0000901B0000}"/>
    <cellStyle name="Normal 5 5 4 2 2" xfId="7395" xr:uid="{00000000-0005-0000-0000-0000911B0000}"/>
    <cellStyle name="Normal 5 5 4 3" xfId="5250" xr:uid="{00000000-0005-0000-0000-0000921B0000}"/>
    <cellStyle name="Normal 5 5 5" xfId="1355" xr:uid="{00000000-0005-0000-0000-0000931B0000}"/>
    <cellStyle name="Normal 5 5 5 2" xfId="3585" xr:uid="{00000000-0005-0000-0000-0000941B0000}"/>
    <cellStyle name="Normal 5 5 5 2 2" xfId="7808" xr:uid="{00000000-0005-0000-0000-0000951B0000}"/>
    <cellStyle name="Normal 5 5 5 3" xfId="5663" xr:uid="{00000000-0005-0000-0000-0000961B0000}"/>
    <cellStyle name="Normal 5 5 6" xfId="1768" xr:uid="{00000000-0005-0000-0000-0000971B0000}"/>
    <cellStyle name="Normal 5 5 6 2" xfId="3998" xr:uid="{00000000-0005-0000-0000-0000981B0000}"/>
    <cellStyle name="Normal 5 5 6 2 2" xfId="8221" xr:uid="{00000000-0005-0000-0000-0000991B0000}"/>
    <cellStyle name="Normal 5 5 6 3" xfId="6076" xr:uid="{00000000-0005-0000-0000-00009A1B0000}"/>
    <cellStyle name="Normal 5 5 7" xfId="2182" xr:uid="{00000000-0005-0000-0000-00009B1B0000}"/>
    <cellStyle name="Normal 5 5 7 2" xfId="4411" xr:uid="{00000000-0005-0000-0000-00009C1B0000}"/>
    <cellStyle name="Normal 5 5 7 2 2" xfId="8634" xr:uid="{00000000-0005-0000-0000-00009D1B0000}"/>
    <cellStyle name="Normal 5 5 7 3" xfId="6489" xr:uid="{00000000-0005-0000-0000-00009E1B0000}"/>
    <cellStyle name="Normal 5 5 8" xfId="2618" xr:uid="{00000000-0005-0000-0000-00009F1B0000}"/>
    <cellStyle name="Normal 5 5 8 2" xfId="6902" xr:uid="{00000000-0005-0000-0000-0000A01B0000}"/>
    <cellStyle name="Normal 5 5 9" xfId="4837" xr:uid="{00000000-0005-0000-0000-0000A11B0000}"/>
    <cellStyle name="Normal 5 6" xfId="468" xr:uid="{00000000-0005-0000-0000-0000A21B0000}"/>
    <cellStyle name="Normal 5 6 2" xfId="469" xr:uid="{00000000-0005-0000-0000-0000A31B0000}"/>
    <cellStyle name="Normal 5 6 2 2" xfId="943" xr:uid="{00000000-0005-0000-0000-0000A41B0000}"/>
    <cellStyle name="Normal 5 6 2 2 2" xfId="3177" xr:uid="{00000000-0005-0000-0000-0000A51B0000}"/>
    <cellStyle name="Normal 5 6 2 2 2 2" xfId="7400" xr:uid="{00000000-0005-0000-0000-0000A61B0000}"/>
    <cellStyle name="Normal 5 6 2 2 3" xfId="5255" xr:uid="{00000000-0005-0000-0000-0000A71B0000}"/>
    <cellStyle name="Normal 5 6 2 3" xfId="1360" xr:uid="{00000000-0005-0000-0000-0000A81B0000}"/>
    <cellStyle name="Normal 5 6 2 3 2" xfId="3590" xr:uid="{00000000-0005-0000-0000-0000A91B0000}"/>
    <cellStyle name="Normal 5 6 2 3 2 2" xfId="7813" xr:uid="{00000000-0005-0000-0000-0000AA1B0000}"/>
    <cellStyle name="Normal 5 6 2 3 3" xfId="5668" xr:uid="{00000000-0005-0000-0000-0000AB1B0000}"/>
    <cellStyle name="Normal 5 6 2 4" xfId="1773" xr:uid="{00000000-0005-0000-0000-0000AC1B0000}"/>
    <cellStyle name="Normal 5 6 2 4 2" xfId="4003" xr:uid="{00000000-0005-0000-0000-0000AD1B0000}"/>
    <cellStyle name="Normal 5 6 2 4 2 2" xfId="8226" xr:uid="{00000000-0005-0000-0000-0000AE1B0000}"/>
    <cellStyle name="Normal 5 6 2 4 3" xfId="6081" xr:uid="{00000000-0005-0000-0000-0000AF1B0000}"/>
    <cellStyle name="Normal 5 6 2 5" xfId="2187" xr:uid="{00000000-0005-0000-0000-0000B01B0000}"/>
    <cellStyle name="Normal 5 6 2 5 2" xfId="4416" xr:uid="{00000000-0005-0000-0000-0000B11B0000}"/>
    <cellStyle name="Normal 5 6 2 5 2 2" xfId="8639" xr:uid="{00000000-0005-0000-0000-0000B21B0000}"/>
    <cellStyle name="Normal 5 6 2 5 3" xfId="6494" xr:uid="{00000000-0005-0000-0000-0000B31B0000}"/>
    <cellStyle name="Normal 5 6 2 6" xfId="2623" xr:uid="{00000000-0005-0000-0000-0000B41B0000}"/>
    <cellStyle name="Normal 5 6 2 6 2" xfId="6907" xr:uid="{00000000-0005-0000-0000-0000B51B0000}"/>
    <cellStyle name="Normal 5 6 2 7" xfId="4842" xr:uid="{00000000-0005-0000-0000-0000B61B0000}"/>
    <cellStyle name="Normal 5 6 3" xfId="942" xr:uid="{00000000-0005-0000-0000-0000B71B0000}"/>
    <cellStyle name="Normal 5 6 3 2" xfId="3176" xr:uid="{00000000-0005-0000-0000-0000B81B0000}"/>
    <cellStyle name="Normal 5 6 3 2 2" xfId="7399" xr:uid="{00000000-0005-0000-0000-0000B91B0000}"/>
    <cellStyle name="Normal 5 6 3 3" xfId="5254" xr:uid="{00000000-0005-0000-0000-0000BA1B0000}"/>
    <cellStyle name="Normal 5 6 4" xfId="1359" xr:uid="{00000000-0005-0000-0000-0000BB1B0000}"/>
    <cellStyle name="Normal 5 6 4 2" xfId="3589" xr:uid="{00000000-0005-0000-0000-0000BC1B0000}"/>
    <cellStyle name="Normal 5 6 4 2 2" xfId="7812" xr:uid="{00000000-0005-0000-0000-0000BD1B0000}"/>
    <cellStyle name="Normal 5 6 4 3" xfId="5667" xr:uid="{00000000-0005-0000-0000-0000BE1B0000}"/>
    <cellStyle name="Normal 5 6 5" xfId="1772" xr:uid="{00000000-0005-0000-0000-0000BF1B0000}"/>
    <cellStyle name="Normal 5 6 5 2" xfId="4002" xr:uid="{00000000-0005-0000-0000-0000C01B0000}"/>
    <cellStyle name="Normal 5 6 5 2 2" xfId="8225" xr:uid="{00000000-0005-0000-0000-0000C11B0000}"/>
    <cellStyle name="Normal 5 6 5 3" xfId="6080" xr:uid="{00000000-0005-0000-0000-0000C21B0000}"/>
    <cellStyle name="Normal 5 6 6" xfId="2186" xr:uid="{00000000-0005-0000-0000-0000C31B0000}"/>
    <cellStyle name="Normal 5 6 6 2" xfId="4415" xr:uid="{00000000-0005-0000-0000-0000C41B0000}"/>
    <cellStyle name="Normal 5 6 6 2 2" xfId="8638" xr:uid="{00000000-0005-0000-0000-0000C51B0000}"/>
    <cellStyle name="Normal 5 6 6 3" xfId="6493" xr:uid="{00000000-0005-0000-0000-0000C61B0000}"/>
    <cellStyle name="Normal 5 6 7" xfId="2622" xr:uid="{00000000-0005-0000-0000-0000C71B0000}"/>
    <cellStyle name="Normal 5 6 7 2" xfId="6906" xr:uid="{00000000-0005-0000-0000-0000C81B0000}"/>
    <cellStyle name="Normal 5 6 8" xfId="4841" xr:uid="{00000000-0005-0000-0000-0000C91B0000}"/>
    <cellStyle name="Normal 5 7" xfId="470" xr:uid="{00000000-0005-0000-0000-0000CA1B0000}"/>
    <cellStyle name="Normal 5 7 2" xfId="944" xr:uid="{00000000-0005-0000-0000-0000CB1B0000}"/>
    <cellStyle name="Normal 5 7 2 2" xfId="3178" xr:uid="{00000000-0005-0000-0000-0000CC1B0000}"/>
    <cellStyle name="Normal 5 7 2 2 2" xfId="7401" xr:uid="{00000000-0005-0000-0000-0000CD1B0000}"/>
    <cellStyle name="Normal 5 7 2 3" xfId="5256" xr:uid="{00000000-0005-0000-0000-0000CE1B0000}"/>
    <cellStyle name="Normal 5 7 3" xfId="1361" xr:uid="{00000000-0005-0000-0000-0000CF1B0000}"/>
    <cellStyle name="Normal 5 7 3 2" xfId="3591" xr:uid="{00000000-0005-0000-0000-0000D01B0000}"/>
    <cellStyle name="Normal 5 7 3 2 2" xfId="7814" xr:uid="{00000000-0005-0000-0000-0000D11B0000}"/>
    <cellStyle name="Normal 5 7 3 3" xfId="5669" xr:uid="{00000000-0005-0000-0000-0000D21B0000}"/>
    <cellStyle name="Normal 5 7 4" xfId="1774" xr:uid="{00000000-0005-0000-0000-0000D31B0000}"/>
    <cellStyle name="Normal 5 7 4 2" xfId="4004" xr:uid="{00000000-0005-0000-0000-0000D41B0000}"/>
    <cellStyle name="Normal 5 7 4 2 2" xfId="8227" xr:uid="{00000000-0005-0000-0000-0000D51B0000}"/>
    <cellStyle name="Normal 5 7 4 3" xfId="6082" xr:uid="{00000000-0005-0000-0000-0000D61B0000}"/>
    <cellStyle name="Normal 5 7 5" xfId="2188" xr:uid="{00000000-0005-0000-0000-0000D71B0000}"/>
    <cellStyle name="Normal 5 7 5 2" xfId="4417" xr:uid="{00000000-0005-0000-0000-0000D81B0000}"/>
    <cellStyle name="Normal 5 7 5 2 2" xfId="8640" xr:uid="{00000000-0005-0000-0000-0000D91B0000}"/>
    <cellStyle name="Normal 5 7 5 3" xfId="6495" xr:uid="{00000000-0005-0000-0000-0000DA1B0000}"/>
    <cellStyle name="Normal 5 7 6" xfId="2624" xr:uid="{00000000-0005-0000-0000-0000DB1B0000}"/>
    <cellStyle name="Normal 5 7 6 2" xfId="6908" xr:uid="{00000000-0005-0000-0000-0000DC1B0000}"/>
    <cellStyle name="Normal 5 7 7" xfId="4843" xr:uid="{00000000-0005-0000-0000-0000DD1B0000}"/>
    <cellStyle name="Normal 5 8" xfId="880" xr:uid="{00000000-0005-0000-0000-0000DE1B0000}"/>
    <cellStyle name="Normal 5 8 2" xfId="3115" xr:uid="{00000000-0005-0000-0000-0000DF1B0000}"/>
    <cellStyle name="Normal 5 8 2 2" xfId="7338" xr:uid="{00000000-0005-0000-0000-0000E01B0000}"/>
    <cellStyle name="Normal 5 8 3" xfId="5193" xr:uid="{00000000-0005-0000-0000-0000E11B0000}"/>
    <cellStyle name="Normal 5 9" xfId="1298" xr:uid="{00000000-0005-0000-0000-0000E21B0000}"/>
    <cellStyle name="Normal 5 9 2" xfId="3528" xr:uid="{00000000-0005-0000-0000-0000E31B0000}"/>
    <cellStyle name="Normal 5 9 2 2" xfId="7751" xr:uid="{00000000-0005-0000-0000-0000E41B0000}"/>
    <cellStyle name="Normal 5 9 3" xfId="5606" xr:uid="{00000000-0005-0000-0000-0000E51B0000}"/>
    <cellStyle name="Normal 6" xfId="471" xr:uid="{00000000-0005-0000-0000-0000E61B0000}"/>
    <cellStyle name="Normal 6 2" xfId="472" xr:uid="{00000000-0005-0000-0000-0000E71B0000}"/>
    <cellStyle name="Normal 6 3" xfId="473" xr:uid="{00000000-0005-0000-0000-0000E81B0000}"/>
    <cellStyle name="Normal 6 3 2" xfId="474" xr:uid="{00000000-0005-0000-0000-0000E91B0000}"/>
    <cellStyle name="Normal 6 3 3" xfId="475" xr:uid="{00000000-0005-0000-0000-0000EA1B0000}"/>
    <cellStyle name="Normal 7" xfId="476" xr:uid="{00000000-0005-0000-0000-0000EB1B0000}"/>
    <cellStyle name="Normal 7 2" xfId="477" xr:uid="{00000000-0005-0000-0000-0000EC1B0000}"/>
    <cellStyle name="Normal 8" xfId="478" xr:uid="{00000000-0005-0000-0000-0000ED1B0000}"/>
    <cellStyle name="Normal 8 10" xfId="2189" xr:uid="{00000000-0005-0000-0000-0000EE1B0000}"/>
    <cellStyle name="Normal 8 10 2" xfId="4418" xr:uid="{00000000-0005-0000-0000-0000EF1B0000}"/>
    <cellStyle name="Normal 8 10 2 2" xfId="8641" xr:uid="{00000000-0005-0000-0000-0000F01B0000}"/>
    <cellStyle name="Normal 8 10 3" xfId="6496" xr:uid="{00000000-0005-0000-0000-0000F11B0000}"/>
    <cellStyle name="Normal 8 11" xfId="2625" xr:uid="{00000000-0005-0000-0000-0000F21B0000}"/>
    <cellStyle name="Normal 8 11 2" xfId="6909" xr:uid="{00000000-0005-0000-0000-0000F31B0000}"/>
    <cellStyle name="Normal 8 12" xfId="4844" xr:uid="{00000000-0005-0000-0000-0000F41B0000}"/>
    <cellStyle name="Normal 8 2" xfId="479" xr:uid="{00000000-0005-0000-0000-0000F51B0000}"/>
    <cellStyle name="Normal 8 2 10" xfId="2626" xr:uid="{00000000-0005-0000-0000-0000F61B0000}"/>
    <cellStyle name="Normal 8 2 10 2" xfId="6910" xr:uid="{00000000-0005-0000-0000-0000F71B0000}"/>
    <cellStyle name="Normal 8 2 11" xfId="4845" xr:uid="{00000000-0005-0000-0000-0000F81B0000}"/>
    <cellStyle name="Normal 8 2 2" xfId="480" xr:uid="{00000000-0005-0000-0000-0000F91B0000}"/>
    <cellStyle name="Normal 8 2 2 10" xfId="4846" xr:uid="{00000000-0005-0000-0000-0000FA1B0000}"/>
    <cellStyle name="Normal 8 2 2 2" xfId="481" xr:uid="{00000000-0005-0000-0000-0000FB1B0000}"/>
    <cellStyle name="Normal 8 2 2 2 2" xfId="482" xr:uid="{00000000-0005-0000-0000-0000FC1B0000}"/>
    <cellStyle name="Normal 8 2 2 2 2 2" xfId="483" xr:uid="{00000000-0005-0000-0000-0000FD1B0000}"/>
    <cellStyle name="Normal 8 2 2 2 2 2 2" xfId="950" xr:uid="{00000000-0005-0000-0000-0000FE1B0000}"/>
    <cellStyle name="Normal 8 2 2 2 2 2 2 2" xfId="3184" xr:uid="{00000000-0005-0000-0000-0000FF1B0000}"/>
    <cellStyle name="Normal 8 2 2 2 2 2 2 2 2" xfId="7407" xr:uid="{00000000-0005-0000-0000-0000001C0000}"/>
    <cellStyle name="Normal 8 2 2 2 2 2 2 3" xfId="5262" xr:uid="{00000000-0005-0000-0000-0000011C0000}"/>
    <cellStyle name="Normal 8 2 2 2 2 2 3" xfId="1367" xr:uid="{00000000-0005-0000-0000-0000021C0000}"/>
    <cellStyle name="Normal 8 2 2 2 2 2 3 2" xfId="3597" xr:uid="{00000000-0005-0000-0000-0000031C0000}"/>
    <cellStyle name="Normal 8 2 2 2 2 2 3 2 2" xfId="7820" xr:uid="{00000000-0005-0000-0000-0000041C0000}"/>
    <cellStyle name="Normal 8 2 2 2 2 2 3 3" xfId="5675" xr:uid="{00000000-0005-0000-0000-0000051C0000}"/>
    <cellStyle name="Normal 8 2 2 2 2 2 4" xfId="1780" xr:uid="{00000000-0005-0000-0000-0000061C0000}"/>
    <cellStyle name="Normal 8 2 2 2 2 2 4 2" xfId="4010" xr:uid="{00000000-0005-0000-0000-0000071C0000}"/>
    <cellStyle name="Normal 8 2 2 2 2 2 4 2 2" xfId="8233" xr:uid="{00000000-0005-0000-0000-0000081C0000}"/>
    <cellStyle name="Normal 8 2 2 2 2 2 4 3" xfId="6088" xr:uid="{00000000-0005-0000-0000-0000091C0000}"/>
    <cellStyle name="Normal 8 2 2 2 2 2 5" xfId="2194" xr:uid="{00000000-0005-0000-0000-00000A1C0000}"/>
    <cellStyle name="Normal 8 2 2 2 2 2 5 2" xfId="4423" xr:uid="{00000000-0005-0000-0000-00000B1C0000}"/>
    <cellStyle name="Normal 8 2 2 2 2 2 5 2 2" xfId="8646" xr:uid="{00000000-0005-0000-0000-00000C1C0000}"/>
    <cellStyle name="Normal 8 2 2 2 2 2 5 3" xfId="6501" xr:uid="{00000000-0005-0000-0000-00000D1C0000}"/>
    <cellStyle name="Normal 8 2 2 2 2 2 6" xfId="2630" xr:uid="{00000000-0005-0000-0000-00000E1C0000}"/>
    <cellStyle name="Normal 8 2 2 2 2 2 6 2" xfId="6914" xr:uid="{00000000-0005-0000-0000-00000F1C0000}"/>
    <cellStyle name="Normal 8 2 2 2 2 2 7" xfId="4849" xr:uid="{00000000-0005-0000-0000-0000101C0000}"/>
    <cellStyle name="Normal 8 2 2 2 2 3" xfId="949" xr:uid="{00000000-0005-0000-0000-0000111C0000}"/>
    <cellStyle name="Normal 8 2 2 2 2 3 2" xfId="3183" xr:uid="{00000000-0005-0000-0000-0000121C0000}"/>
    <cellStyle name="Normal 8 2 2 2 2 3 2 2" xfId="7406" xr:uid="{00000000-0005-0000-0000-0000131C0000}"/>
    <cellStyle name="Normal 8 2 2 2 2 3 3" xfId="5261" xr:uid="{00000000-0005-0000-0000-0000141C0000}"/>
    <cellStyle name="Normal 8 2 2 2 2 4" xfId="1366" xr:uid="{00000000-0005-0000-0000-0000151C0000}"/>
    <cellStyle name="Normal 8 2 2 2 2 4 2" xfId="3596" xr:uid="{00000000-0005-0000-0000-0000161C0000}"/>
    <cellStyle name="Normal 8 2 2 2 2 4 2 2" xfId="7819" xr:uid="{00000000-0005-0000-0000-0000171C0000}"/>
    <cellStyle name="Normal 8 2 2 2 2 4 3" xfId="5674" xr:uid="{00000000-0005-0000-0000-0000181C0000}"/>
    <cellStyle name="Normal 8 2 2 2 2 5" xfId="1779" xr:uid="{00000000-0005-0000-0000-0000191C0000}"/>
    <cellStyle name="Normal 8 2 2 2 2 5 2" xfId="4009" xr:uid="{00000000-0005-0000-0000-00001A1C0000}"/>
    <cellStyle name="Normal 8 2 2 2 2 5 2 2" xfId="8232" xr:uid="{00000000-0005-0000-0000-00001B1C0000}"/>
    <cellStyle name="Normal 8 2 2 2 2 5 3" xfId="6087" xr:uid="{00000000-0005-0000-0000-00001C1C0000}"/>
    <cellStyle name="Normal 8 2 2 2 2 6" xfId="2193" xr:uid="{00000000-0005-0000-0000-00001D1C0000}"/>
    <cellStyle name="Normal 8 2 2 2 2 6 2" xfId="4422" xr:uid="{00000000-0005-0000-0000-00001E1C0000}"/>
    <cellStyle name="Normal 8 2 2 2 2 6 2 2" xfId="8645" xr:uid="{00000000-0005-0000-0000-00001F1C0000}"/>
    <cellStyle name="Normal 8 2 2 2 2 6 3" xfId="6500" xr:uid="{00000000-0005-0000-0000-0000201C0000}"/>
    <cellStyle name="Normal 8 2 2 2 2 7" xfId="2629" xr:uid="{00000000-0005-0000-0000-0000211C0000}"/>
    <cellStyle name="Normal 8 2 2 2 2 7 2" xfId="6913" xr:uid="{00000000-0005-0000-0000-0000221C0000}"/>
    <cellStyle name="Normal 8 2 2 2 2 8" xfId="4848" xr:uid="{00000000-0005-0000-0000-0000231C0000}"/>
    <cellStyle name="Normal 8 2 2 2 3" xfId="484" xr:uid="{00000000-0005-0000-0000-0000241C0000}"/>
    <cellStyle name="Normal 8 2 2 2 3 2" xfId="951" xr:uid="{00000000-0005-0000-0000-0000251C0000}"/>
    <cellStyle name="Normal 8 2 2 2 3 2 2" xfId="3185" xr:uid="{00000000-0005-0000-0000-0000261C0000}"/>
    <cellStyle name="Normal 8 2 2 2 3 2 2 2" xfId="7408" xr:uid="{00000000-0005-0000-0000-0000271C0000}"/>
    <cellStyle name="Normal 8 2 2 2 3 2 3" xfId="5263" xr:uid="{00000000-0005-0000-0000-0000281C0000}"/>
    <cellStyle name="Normal 8 2 2 2 3 3" xfId="1368" xr:uid="{00000000-0005-0000-0000-0000291C0000}"/>
    <cellStyle name="Normal 8 2 2 2 3 3 2" xfId="3598" xr:uid="{00000000-0005-0000-0000-00002A1C0000}"/>
    <cellStyle name="Normal 8 2 2 2 3 3 2 2" xfId="7821" xr:uid="{00000000-0005-0000-0000-00002B1C0000}"/>
    <cellStyle name="Normal 8 2 2 2 3 3 3" xfId="5676" xr:uid="{00000000-0005-0000-0000-00002C1C0000}"/>
    <cellStyle name="Normal 8 2 2 2 3 4" xfId="1781" xr:uid="{00000000-0005-0000-0000-00002D1C0000}"/>
    <cellStyle name="Normal 8 2 2 2 3 4 2" xfId="4011" xr:uid="{00000000-0005-0000-0000-00002E1C0000}"/>
    <cellStyle name="Normal 8 2 2 2 3 4 2 2" xfId="8234" xr:uid="{00000000-0005-0000-0000-00002F1C0000}"/>
    <cellStyle name="Normal 8 2 2 2 3 4 3" xfId="6089" xr:uid="{00000000-0005-0000-0000-0000301C0000}"/>
    <cellStyle name="Normal 8 2 2 2 3 5" xfId="2195" xr:uid="{00000000-0005-0000-0000-0000311C0000}"/>
    <cellStyle name="Normal 8 2 2 2 3 5 2" xfId="4424" xr:uid="{00000000-0005-0000-0000-0000321C0000}"/>
    <cellStyle name="Normal 8 2 2 2 3 5 2 2" xfId="8647" xr:uid="{00000000-0005-0000-0000-0000331C0000}"/>
    <cellStyle name="Normal 8 2 2 2 3 5 3" xfId="6502" xr:uid="{00000000-0005-0000-0000-0000341C0000}"/>
    <cellStyle name="Normal 8 2 2 2 3 6" xfId="2631" xr:uid="{00000000-0005-0000-0000-0000351C0000}"/>
    <cellStyle name="Normal 8 2 2 2 3 6 2" xfId="6915" xr:uid="{00000000-0005-0000-0000-0000361C0000}"/>
    <cellStyle name="Normal 8 2 2 2 3 7" xfId="4850" xr:uid="{00000000-0005-0000-0000-0000371C0000}"/>
    <cellStyle name="Normal 8 2 2 2 4" xfId="948" xr:uid="{00000000-0005-0000-0000-0000381C0000}"/>
    <cellStyle name="Normal 8 2 2 2 4 2" xfId="3182" xr:uid="{00000000-0005-0000-0000-0000391C0000}"/>
    <cellStyle name="Normal 8 2 2 2 4 2 2" xfId="7405" xr:uid="{00000000-0005-0000-0000-00003A1C0000}"/>
    <cellStyle name="Normal 8 2 2 2 4 3" xfId="5260" xr:uid="{00000000-0005-0000-0000-00003B1C0000}"/>
    <cellStyle name="Normal 8 2 2 2 5" xfId="1365" xr:uid="{00000000-0005-0000-0000-00003C1C0000}"/>
    <cellStyle name="Normal 8 2 2 2 5 2" xfId="3595" xr:uid="{00000000-0005-0000-0000-00003D1C0000}"/>
    <cellStyle name="Normal 8 2 2 2 5 2 2" xfId="7818" xr:uid="{00000000-0005-0000-0000-00003E1C0000}"/>
    <cellStyle name="Normal 8 2 2 2 5 3" xfId="5673" xr:uid="{00000000-0005-0000-0000-00003F1C0000}"/>
    <cellStyle name="Normal 8 2 2 2 6" xfId="1778" xr:uid="{00000000-0005-0000-0000-0000401C0000}"/>
    <cellStyle name="Normal 8 2 2 2 6 2" xfId="4008" xr:uid="{00000000-0005-0000-0000-0000411C0000}"/>
    <cellStyle name="Normal 8 2 2 2 6 2 2" xfId="8231" xr:uid="{00000000-0005-0000-0000-0000421C0000}"/>
    <cellStyle name="Normal 8 2 2 2 6 3" xfId="6086" xr:uid="{00000000-0005-0000-0000-0000431C0000}"/>
    <cellStyle name="Normal 8 2 2 2 7" xfId="2192" xr:uid="{00000000-0005-0000-0000-0000441C0000}"/>
    <cellStyle name="Normal 8 2 2 2 7 2" xfId="4421" xr:uid="{00000000-0005-0000-0000-0000451C0000}"/>
    <cellStyle name="Normal 8 2 2 2 7 2 2" xfId="8644" xr:uid="{00000000-0005-0000-0000-0000461C0000}"/>
    <cellStyle name="Normal 8 2 2 2 7 3" xfId="6499" xr:uid="{00000000-0005-0000-0000-0000471C0000}"/>
    <cellStyle name="Normal 8 2 2 2 8" xfId="2628" xr:uid="{00000000-0005-0000-0000-0000481C0000}"/>
    <cellStyle name="Normal 8 2 2 2 8 2" xfId="6912" xr:uid="{00000000-0005-0000-0000-0000491C0000}"/>
    <cellStyle name="Normal 8 2 2 2 9" xfId="4847" xr:uid="{00000000-0005-0000-0000-00004A1C0000}"/>
    <cellStyle name="Normal 8 2 2 3" xfId="485" xr:uid="{00000000-0005-0000-0000-00004B1C0000}"/>
    <cellStyle name="Normal 8 2 2 3 2" xfId="486" xr:uid="{00000000-0005-0000-0000-00004C1C0000}"/>
    <cellStyle name="Normal 8 2 2 3 2 2" xfId="953" xr:uid="{00000000-0005-0000-0000-00004D1C0000}"/>
    <cellStyle name="Normal 8 2 2 3 2 2 2" xfId="3187" xr:uid="{00000000-0005-0000-0000-00004E1C0000}"/>
    <cellStyle name="Normal 8 2 2 3 2 2 2 2" xfId="7410" xr:uid="{00000000-0005-0000-0000-00004F1C0000}"/>
    <cellStyle name="Normal 8 2 2 3 2 2 3" xfId="5265" xr:uid="{00000000-0005-0000-0000-0000501C0000}"/>
    <cellStyle name="Normal 8 2 2 3 2 3" xfId="1370" xr:uid="{00000000-0005-0000-0000-0000511C0000}"/>
    <cellStyle name="Normal 8 2 2 3 2 3 2" xfId="3600" xr:uid="{00000000-0005-0000-0000-0000521C0000}"/>
    <cellStyle name="Normal 8 2 2 3 2 3 2 2" xfId="7823" xr:uid="{00000000-0005-0000-0000-0000531C0000}"/>
    <cellStyle name="Normal 8 2 2 3 2 3 3" xfId="5678" xr:uid="{00000000-0005-0000-0000-0000541C0000}"/>
    <cellStyle name="Normal 8 2 2 3 2 4" xfId="1783" xr:uid="{00000000-0005-0000-0000-0000551C0000}"/>
    <cellStyle name="Normal 8 2 2 3 2 4 2" xfId="4013" xr:uid="{00000000-0005-0000-0000-0000561C0000}"/>
    <cellStyle name="Normal 8 2 2 3 2 4 2 2" xfId="8236" xr:uid="{00000000-0005-0000-0000-0000571C0000}"/>
    <cellStyle name="Normal 8 2 2 3 2 4 3" xfId="6091" xr:uid="{00000000-0005-0000-0000-0000581C0000}"/>
    <cellStyle name="Normal 8 2 2 3 2 5" xfId="2197" xr:uid="{00000000-0005-0000-0000-0000591C0000}"/>
    <cellStyle name="Normal 8 2 2 3 2 5 2" xfId="4426" xr:uid="{00000000-0005-0000-0000-00005A1C0000}"/>
    <cellStyle name="Normal 8 2 2 3 2 5 2 2" xfId="8649" xr:uid="{00000000-0005-0000-0000-00005B1C0000}"/>
    <cellStyle name="Normal 8 2 2 3 2 5 3" xfId="6504" xr:uid="{00000000-0005-0000-0000-00005C1C0000}"/>
    <cellStyle name="Normal 8 2 2 3 2 6" xfId="2633" xr:uid="{00000000-0005-0000-0000-00005D1C0000}"/>
    <cellStyle name="Normal 8 2 2 3 2 6 2" xfId="6917" xr:uid="{00000000-0005-0000-0000-00005E1C0000}"/>
    <cellStyle name="Normal 8 2 2 3 2 7" xfId="4852" xr:uid="{00000000-0005-0000-0000-00005F1C0000}"/>
    <cellStyle name="Normal 8 2 2 3 3" xfId="952" xr:uid="{00000000-0005-0000-0000-0000601C0000}"/>
    <cellStyle name="Normal 8 2 2 3 3 2" xfId="3186" xr:uid="{00000000-0005-0000-0000-0000611C0000}"/>
    <cellStyle name="Normal 8 2 2 3 3 2 2" xfId="7409" xr:uid="{00000000-0005-0000-0000-0000621C0000}"/>
    <cellStyle name="Normal 8 2 2 3 3 3" xfId="5264" xr:uid="{00000000-0005-0000-0000-0000631C0000}"/>
    <cellStyle name="Normal 8 2 2 3 4" xfId="1369" xr:uid="{00000000-0005-0000-0000-0000641C0000}"/>
    <cellStyle name="Normal 8 2 2 3 4 2" xfId="3599" xr:uid="{00000000-0005-0000-0000-0000651C0000}"/>
    <cellStyle name="Normal 8 2 2 3 4 2 2" xfId="7822" xr:uid="{00000000-0005-0000-0000-0000661C0000}"/>
    <cellStyle name="Normal 8 2 2 3 4 3" xfId="5677" xr:uid="{00000000-0005-0000-0000-0000671C0000}"/>
    <cellStyle name="Normal 8 2 2 3 5" xfId="1782" xr:uid="{00000000-0005-0000-0000-0000681C0000}"/>
    <cellStyle name="Normal 8 2 2 3 5 2" xfId="4012" xr:uid="{00000000-0005-0000-0000-0000691C0000}"/>
    <cellStyle name="Normal 8 2 2 3 5 2 2" xfId="8235" xr:uid="{00000000-0005-0000-0000-00006A1C0000}"/>
    <cellStyle name="Normal 8 2 2 3 5 3" xfId="6090" xr:uid="{00000000-0005-0000-0000-00006B1C0000}"/>
    <cellStyle name="Normal 8 2 2 3 6" xfId="2196" xr:uid="{00000000-0005-0000-0000-00006C1C0000}"/>
    <cellStyle name="Normal 8 2 2 3 6 2" xfId="4425" xr:uid="{00000000-0005-0000-0000-00006D1C0000}"/>
    <cellStyle name="Normal 8 2 2 3 6 2 2" xfId="8648" xr:uid="{00000000-0005-0000-0000-00006E1C0000}"/>
    <cellStyle name="Normal 8 2 2 3 6 3" xfId="6503" xr:uid="{00000000-0005-0000-0000-00006F1C0000}"/>
    <cellStyle name="Normal 8 2 2 3 7" xfId="2632" xr:uid="{00000000-0005-0000-0000-0000701C0000}"/>
    <cellStyle name="Normal 8 2 2 3 7 2" xfId="6916" xr:uid="{00000000-0005-0000-0000-0000711C0000}"/>
    <cellStyle name="Normal 8 2 2 3 8" xfId="4851" xr:uid="{00000000-0005-0000-0000-0000721C0000}"/>
    <cellStyle name="Normal 8 2 2 4" xfId="487" xr:uid="{00000000-0005-0000-0000-0000731C0000}"/>
    <cellStyle name="Normal 8 2 2 4 2" xfId="954" xr:uid="{00000000-0005-0000-0000-0000741C0000}"/>
    <cellStyle name="Normal 8 2 2 4 2 2" xfId="3188" xr:uid="{00000000-0005-0000-0000-0000751C0000}"/>
    <cellStyle name="Normal 8 2 2 4 2 2 2" xfId="7411" xr:uid="{00000000-0005-0000-0000-0000761C0000}"/>
    <cellStyle name="Normal 8 2 2 4 2 3" xfId="5266" xr:uid="{00000000-0005-0000-0000-0000771C0000}"/>
    <cellStyle name="Normal 8 2 2 4 3" xfId="1371" xr:uid="{00000000-0005-0000-0000-0000781C0000}"/>
    <cellStyle name="Normal 8 2 2 4 3 2" xfId="3601" xr:uid="{00000000-0005-0000-0000-0000791C0000}"/>
    <cellStyle name="Normal 8 2 2 4 3 2 2" xfId="7824" xr:uid="{00000000-0005-0000-0000-00007A1C0000}"/>
    <cellStyle name="Normal 8 2 2 4 3 3" xfId="5679" xr:uid="{00000000-0005-0000-0000-00007B1C0000}"/>
    <cellStyle name="Normal 8 2 2 4 4" xfId="1784" xr:uid="{00000000-0005-0000-0000-00007C1C0000}"/>
    <cellStyle name="Normal 8 2 2 4 4 2" xfId="4014" xr:uid="{00000000-0005-0000-0000-00007D1C0000}"/>
    <cellStyle name="Normal 8 2 2 4 4 2 2" xfId="8237" xr:uid="{00000000-0005-0000-0000-00007E1C0000}"/>
    <cellStyle name="Normal 8 2 2 4 4 3" xfId="6092" xr:uid="{00000000-0005-0000-0000-00007F1C0000}"/>
    <cellStyle name="Normal 8 2 2 4 5" xfId="2198" xr:uid="{00000000-0005-0000-0000-0000801C0000}"/>
    <cellStyle name="Normal 8 2 2 4 5 2" xfId="4427" xr:uid="{00000000-0005-0000-0000-0000811C0000}"/>
    <cellStyle name="Normal 8 2 2 4 5 2 2" xfId="8650" xr:uid="{00000000-0005-0000-0000-0000821C0000}"/>
    <cellStyle name="Normal 8 2 2 4 5 3" xfId="6505" xr:uid="{00000000-0005-0000-0000-0000831C0000}"/>
    <cellStyle name="Normal 8 2 2 4 6" xfId="2634" xr:uid="{00000000-0005-0000-0000-0000841C0000}"/>
    <cellStyle name="Normal 8 2 2 4 6 2" xfId="6918" xr:uid="{00000000-0005-0000-0000-0000851C0000}"/>
    <cellStyle name="Normal 8 2 2 4 7" xfId="4853" xr:uid="{00000000-0005-0000-0000-0000861C0000}"/>
    <cellStyle name="Normal 8 2 2 5" xfId="947" xr:uid="{00000000-0005-0000-0000-0000871C0000}"/>
    <cellStyle name="Normal 8 2 2 5 2" xfId="3181" xr:uid="{00000000-0005-0000-0000-0000881C0000}"/>
    <cellStyle name="Normal 8 2 2 5 2 2" xfId="7404" xr:uid="{00000000-0005-0000-0000-0000891C0000}"/>
    <cellStyle name="Normal 8 2 2 5 3" xfId="5259" xr:uid="{00000000-0005-0000-0000-00008A1C0000}"/>
    <cellStyle name="Normal 8 2 2 6" xfId="1364" xr:uid="{00000000-0005-0000-0000-00008B1C0000}"/>
    <cellStyle name="Normal 8 2 2 6 2" xfId="3594" xr:uid="{00000000-0005-0000-0000-00008C1C0000}"/>
    <cellStyle name="Normal 8 2 2 6 2 2" xfId="7817" xr:uid="{00000000-0005-0000-0000-00008D1C0000}"/>
    <cellStyle name="Normal 8 2 2 6 3" xfId="5672" xr:uid="{00000000-0005-0000-0000-00008E1C0000}"/>
    <cellStyle name="Normal 8 2 2 7" xfId="1777" xr:uid="{00000000-0005-0000-0000-00008F1C0000}"/>
    <cellStyle name="Normal 8 2 2 7 2" xfId="4007" xr:uid="{00000000-0005-0000-0000-0000901C0000}"/>
    <cellStyle name="Normal 8 2 2 7 2 2" xfId="8230" xr:uid="{00000000-0005-0000-0000-0000911C0000}"/>
    <cellStyle name="Normal 8 2 2 7 3" xfId="6085" xr:uid="{00000000-0005-0000-0000-0000921C0000}"/>
    <cellStyle name="Normal 8 2 2 8" xfId="2191" xr:uid="{00000000-0005-0000-0000-0000931C0000}"/>
    <cellStyle name="Normal 8 2 2 8 2" xfId="4420" xr:uid="{00000000-0005-0000-0000-0000941C0000}"/>
    <cellStyle name="Normal 8 2 2 8 2 2" xfId="8643" xr:uid="{00000000-0005-0000-0000-0000951C0000}"/>
    <cellStyle name="Normal 8 2 2 8 3" xfId="6498" xr:uid="{00000000-0005-0000-0000-0000961C0000}"/>
    <cellStyle name="Normal 8 2 2 9" xfId="2627" xr:uid="{00000000-0005-0000-0000-0000971C0000}"/>
    <cellStyle name="Normal 8 2 2 9 2" xfId="6911" xr:uid="{00000000-0005-0000-0000-0000981C0000}"/>
    <cellStyle name="Normal 8 2 3" xfId="488" xr:uid="{00000000-0005-0000-0000-0000991C0000}"/>
    <cellStyle name="Normal 8 2 3 2" xfId="489" xr:uid="{00000000-0005-0000-0000-00009A1C0000}"/>
    <cellStyle name="Normal 8 2 3 2 2" xfId="490" xr:uid="{00000000-0005-0000-0000-00009B1C0000}"/>
    <cellStyle name="Normal 8 2 3 2 2 2" xfId="957" xr:uid="{00000000-0005-0000-0000-00009C1C0000}"/>
    <cellStyle name="Normal 8 2 3 2 2 2 2" xfId="3191" xr:uid="{00000000-0005-0000-0000-00009D1C0000}"/>
    <cellStyle name="Normal 8 2 3 2 2 2 2 2" xfId="7414" xr:uid="{00000000-0005-0000-0000-00009E1C0000}"/>
    <cellStyle name="Normal 8 2 3 2 2 2 3" xfId="5269" xr:uid="{00000000-0005-0000-0000-00009F1C0000}"/>
    <cellStyle name="Normal 8 2 3 2 2 3" xfId="1374" xr:uid="{00000000-0005-0000-0000-0000A01C0000}"/>
    <cellStyle name="Normal 8 2 3 2 2 3 2" xfId="3604" xr:uid="{00000000-0005-0000-0000-0000A11C0000}"/>
    <cellStyle name="Normal 8 2 3 2 2 3 2 2" xfId="7827" xr:uid="{00000000-0005-0000-0000-0000A21C0000}"/>
    <cellStyle name="Normal 8 2 3 2 2 3 3" xfId="5682" xr:uid="{00000000-0005-0000-0000-0000A31C0000}"/>
    <cellStyle name="Normal 8 2 3 2 2 4" xfId="1787" xr:uid="{00000000-0005-0000-0000-0000A41C0000}"/>
    <cellStyle name="Normal 8 2 3 2 2 4 2" xfId="4017" xr:uid="{00000000-0005-0000-0000-0000A51C0000}"/>
    <cellStyle name="Normal 8 2 3 2 2 4 2 2" xfId="8240" xr:uid="{00000000-0005-0000-0000-0000A61C0000}"/>
    <cellStyle name="Normal 8 2 3 2 2 4 3" xfId="6095" xr:uid="{00000000-0005-0000-0000-0000A71C0000}"/>
    <cellStyle name="Normal 8 2 3 2 2 5" xfId="2201" xr:uid="{00000000-0005-0000-0000-0000A81C0000}"/>
    <cellStyle name="Normal 8 2 3 2 2 5 2" xfId="4430" xr:uid="{00000000-0005-0000-0000-0000A91C0000}"/>
    <cellStyle name="Normal 8 2 3 2 2 5 2 2" xfId="8653" xr:uid="{00000000-0005-0000-0000-0000AA1C0000}"/>
    <cellStyle name="Normal 8 2 3 2 2 5 3" xfId="6508" xr:uid="{00000000-0005-0000-0000-0000AB1C0000}"/>
    <cellStyle name="Normal 8 2 3 2 2 6" xfId="2637" xr:uid="{00000000-0005-0000-0000-0000AC1C0000}"/>
    <cellStyle name="Normal 8 2 3 2 2 6 2" xfId="6921" xr:uid="{00000000-0005-0000-0000-0000AD1C0000}"/>
    <cellStyle name="Normal 8 2 3 2 2 7" xfId="4856" xr:uid="{00000000-0005-0000-0000-0000AE1C0000}"/>
    <cellStyle name="Normal 8 2 3 2 3" xfId="956" xr:uid="{00000000-0005-0000-0000-0000AF1C0000}"/>
    <cellStyle name="Normal 8 2 3 2 3 2" xfId="3190" xr:uid="{00000000-0005-0000-0000-0000B01C0000}"/>
    <cellStyle name="Normal 8 2 3 2 3 2 2" xfId="7413" xr:uid="{00000000-0005-0000-0000-0000B11C0000}"/>
    <cellStyle name="Normal 8 2 3 2 3 3" xfId="5268" xr:uid="{00000000-0005-0000-0000-0000B21C0000}"/>
    <cellStyle name="Normal 8 2 3 2 4" xfId="1373" xr:uid="{00000000-0005-0000-0000-0000B31C0000}"/>
    <cellStyle name="Normal 8 2 3 2 4 2" xfId="3603" xr:uid="{00000000-0005-0000-0000-0000B41C0000}"/>
    <cellStyle name="Normal 8 2 3 2 4 2 2" xfId="7826" xr:uid="{00000000-0005-0000-0000-0000B51C0000}"/>
    <cellStyle name="Normal 8 2 3 2 4 3" xfId="5681" xr:uid="{00000000-0005-0000-0000-0000B61C0000}"/>
    <cellStyle name="Normal 8 2 3 2 5" xfId="1786" xr:uid="{00000000-0005-0000-0000-0000B71C0000}"/>
    <cellStyle name="Normal 8 2 3 2 5 2" xfId="4016" xr:uid="{00000000-0005-0000-0000-0000B81C0000}"/>
    <cellStyle name="Normal 8 2 3 2 5 2 2" xfId="8239" xr:uid="{00000000-0005-0000-0000-0000B91C0000}"/>
    <cellStyle name="Normal 8 2 3 2 5 3" xfId="6094" xr:uid="{00000000-0005-0000-0000-0000BA1C0000}"/>
    <cellStyle name="Normal 8 2 3 2 6" xfId="2200" xr:uid="{00000000-0005-0000-0000-0000BB1C0000}"/>
    <cellStyle name="Normal 8 2 3 2 6 2" xfId="4429" xr:uid="{00000000-0005-0000-0000-0000BC1C0000}"/>
    <cellStyle name="Normal 8 2 3 2 6 2 2" xfId="8652" xr:uid="{00000000-0005-0000-0000-0000BD1C0000}"/>
    <cellStyle name="Normal 8 2 3 2 6 3" xfId="6507" xr:uid="{00000000-0005-0000-0000-0000BE1C0000}"/>
    <cellStyle name="Normal 8 2 3 2 7" xfId="2636" xr:uid="{00000000-0005-0000-0000-0000BF1C0000}"/>
    <cellStyle name="Normal 8 2 3 2 7 2" xfId="6920" xr:uid="{00000000-0005-0000-0000-0000C01C0000}"/>
    <cellStyle name="Normal 8 2 3 2 8" xfId="4855" xr:uid="{00000000-0005-0000-0000-0000C11C0000}"/>
    <cellStyle name="Normal 8 2 3 3" xfId="491" xr:uid="{00000000-0005-0000-0000-0000C21C0000}"/>
    <cellStyle name="Normal 8 2 3 3 2" xfId="958" xr:uid="{00000000-0005-0000-0000-0000C31C0000}"/>
    <cellStyle name="Normal 8 2 3 3 2 2" xfId="3192" xr:uid="{00000000-0005-0000-0000-0000C41C0000}"/>
    <cellStyle name="Normal 8 2 3 3 2 2 2" xfId="7415" xr:uid="{00000000-0005-0000-0000-0000C51C0000}"/>
    <cellStyle name="Normal 8 2 3 3 2 3" xfId="5270" xr:uid="{00000000-0005-0000-0000-0000C61C0000}"/>
    <cellStyle name="Normal 8 2 3 3 3" xfId="1375" xr:uid="{00000000-0005-0000-0000-0000C71C0000}"/>
    <cellStyle name="Normal 8 2 3 3 3 2" xfId="3605" xr:uid="{00000000-0005-0000-0000-0000C81C0000}"/>
    <cellStyle name="Normal 8 2 3 3 3 2 2" xfId="7828" xr:uid="{00000000-0005-0000-0000-0000C91C0000}"/>
    <cellStyle name="Normal 8 2 3 3 3 3" xfId="5683" xr:uid="{00000000-0005-0000-0000-0000CA1C0000}"/>
    <cellStyle name="Normal 8 2 3 3 4" xfId="1788" xr:uid="{00000000-0005-0000-0000-0000CB1C0000}"/>
    <cellStyle name="Normal 8 2 3 3 4 2" xfId="4018" xr:uid="{00000000-0005-0000-0000-0000CC1C0000}"/>
    <cellStyle name="Normal 8 2 3 3 4 2 2" xfId="8241" xr:uid="{00000000-0005-0000-0000-0000CD1C0000}"/>
    <cellStyle name="Normal 8 2 3 3 4 3" xfId="6096" xr:uid="{00000000-0005-0000-0000-0000CE1C0000}"/>
    <cellStyle name="Normal 8 2 3 3 5" xfId="2202" xr:uid="{00000000-0005-0000-0000-0000CF1C0000}"/>
    <cellStyle name="Normal 8 2 3 3 5 2" xfId="4431" xr:uid="{00000000-0005-0000-0000-0000D01C0000}"/>
    <cellStyle name="Normal 8 2 3 3 5 2 2" xfId="8654" xr:uid="{00000000-0005-0000-0000-0000D11C0000}"/>
    <cellStyle name="Normal 8 2 3 3 5 3" xfId="6509" xr:uid="{00000000-0005-0000-0000-0000D21C0000}"/>
    <cellStyle name="Normal 8 2 3 3 6" xfId="2638" xr:uid="{00000000-0005-0000-0000-0000D31C0000}"/>
    <cellStyle name="Normal 8 2 3 3 6 2" xfId="6922" xr:uid="{00000000-0005-0000-0000-0000D41C0000}"/>
    <cellStyle name="Normal 8 2 3 3 7" xfId="4857" xr:uid="{00000000-0005-0000-0000-0000D51C0000}"/>
    <cellStyle name="Normal 8 2 3 4" xfId="955" xr:uid="{00000000-0005-0000-0000-0000D61C0000}"/>
    <cellStyle name="Normal 8 2 3 4 2" xfId="3189" xr:uid="{00000000-0005-0000-0000-0000D71C0000}"/>
    <cellStyle name="Normal 8 2 3 4 2 2" xfId="7412" xr:uid="{00000000-0005-0000-0000-0000D81C0000}"/>
    <cellStyle name="Normal 8 2 3 4 3" xfId="5267" xr:uid="{00000000-0005-0000-0000-0000D91C0000}"/>
    <cellStyle name="Normal 8 2 3 5" xfId="1372" xr:uid="{00000000-0005-0000-0000-0000DA1C0000}"/>
    <cellStyle name="Normal 8 2 3 5 2" xfId="3602" xr:uid="{00000000-0005-0000-0000-0000DB1C0000}"/>
    <cellStyle name="Normal 8 2 3 5 2 2" xfId="7825" xr:uid="{00000000-0005-0000-0000-0000DC1C0000}"/>
    <cellStyle name="Normal 8 2 3 5 3" xfId="5680" xr:uid="{00000000-0005-0000-0000-0000DD1C0000}"/>
    <cellStyle name="Normal 8 2 3 6" xfId="1785" xr:uid="{00000000-0005-0000-0000-0000DE1C0000}"/>
    <cellStyle name="Normal 8 2 3 6 2" xfId="4015" xr:uid="{00000000-0005-0000-0000-0000DF1C0000}"/>
    <cellStyle name="Normal 8 2 3 6 2 2" xfId="8238" xr:uid="{00000000-0005-0000-0000-0000E01C0000}"/>
    <cellStyle name="Normal 8 2 3 6 3" xfId="6093" xr:uid="{00000000-0005-0000-0000-0000E11C0000}"/>
    <cellStyle name="Normal 8 2 3 7" xfId="2199" xr:uid="{00000000-0005-0000-0000-0000E21C0000}"/>
    <cellStyle name="Normal 8 2 3 7 2" xfId="4428" xr:uid="{00000000-0005-0000-0000-0000E31C0000}"/>
    <cellStyle name="Normal 8 2 3 7 2 2" xfId="8651" xr:uid="{00000000-0005-0000-0000-0000E41C0000}"/>
    <cellStyle name="Normal 8 2 3 7 3" xfId="6506" xr:uid="{00000000-0005-0000-0000-0000E51C0000}"/>
    <cellStyle name="Normal 8 2 3 8" xfId="2635" xr:uid="{00000000-0005-0000-0000-0000E61C0000}"/>
    <cellStyle name="Normal 8 2 3 8 2" xfId="6919" xr:uid="{00000000-0005-0000-0000-0000E71C0000}"/>
    <cellStyle name="Normal 8 2 3 9" xfId="4854" xr:uid="{00000000-0005-0000-0000-0000E81C0000}"/>
    <cellStyle name="Normal 8 2 4" xfId="492" xr:uid="{00000000-0005-0000-0000-0000E91C0000}"/>
    <cellStyle name="Normal 8 2 4 2" xfId="493" xr:uid="{00000000-0005-0000-0000-0000EA1C0000}"/>
    <cellStyle name="Normal 8 2 4 2 2" xfId="960" xr:uid="{00000000-0005-0000-0000-0000EB1C0000}"/>
    <cellStyle name="Normal 8 2 4 2 2 2" xfId="3194" xr:uid="{00000000-0005-0000-0000-0000EC1C0000}"/>
    <cellStyle name="Normal 8 2 4 2 2 2 2" xfId="7417" xr:uid="{00000000-0005-0000-0000-0000ED1C0000}"/>
    <cellStyle name="Normal 8 2 4 2 2 3" xfId="5272" xr:uid="{00000000-0005-0000-0000-0000EE1C0000}"/>
    <cellStyle name="Normal 8 2 4 2 3" xfId="1377" xr:uid="{00000000-0005-0000-0000-0000EF1C0000}"/>
    <cellStyle name="Normal 8 2 4 2 3 2" xfId="3607" xr:uid="{00000000-0005-0000-0000-0000F01C0000}"/>
    <cellStyle name="Normal 8 2 4 2 3 2 2" xfId="7830" xr:uid="{00000000-0005-0000-0000-0000F11C0000}"/>
    <cellStyle name="Normal 8 2 4 2 3 3" xfId="5685" xr:uid="{00000000-0005-0000-0000-0000F21C0000}"/>
    <cellStyle name="Normal 8 2 4 2 4" xfId="1790" xr:uid="{00000000-0005-0000-0000-0000F31C0000}"/>
    <cellStyle name="Normal 8 2 4 2 4 2" xfId="4020" xr:uid="{00000000-0005-0000-0000-0000F41C0000}"/>
    <cellStyle name="Normal 8 2 4 2 4 2 2" xfId="8243" xr:uid="{00000000-0005-0000-0000-0000F51C0000}"/>
    <cellStyle name="Normal 8 2 4 2 4 3" xfId="6098" xr:uid="{00000000-0005-0000-0000-0000F61C0000}"/>
    <cellStyle name="Normal 8 2 4 2 5" xfId="2204" xr:uid="{00000000-0005-0000-0000-0000F71C0000}"/>
    <cellStyle name="Normal 8 2 4 2 5 2" xfId="4433" xr:uid="{00000000-0005-0000-0000-0000F81C0000}"/>
    <cellStyle name="Normal 8 2 4 2 5 2 2" xfId="8656" xr:uid="{00000000-0005-0000-0000-0000F91C0000}"/>
    <cellStyle name="Normal 8 2 4 2 5 3" xfId="6511" xr:uid="{00000000-0005-0000-0000-0000FA1C0000}"/>
    <cellStyle name="Normal 8 2 4 2 6" xfId="2640" xr:uid="{00000000-0005-0000-0000-0000FB1C0000}"/>
    <cellStyle name="Normal 8 2 4 2 6 2" xfId="6924" xr:uid="{00000000-0005-0000-0000-0000FC1C0000}"/>
    <cellStyle name="Normal 8 2 4 2 7" xfId="4859" xr:uid="{00000000-0005-0000-0000-0000FD1C0000}"/>
    <cellStyle name="Normal 8 2 4 3" xfId="959" xr:uid="{00000000-0005-0000-0000-0000FE1C0000}"/>
    <cellStyle name="Normal 8 2 4 3 2" xfId="3193" xr:uid="{00000000-0005-0000-0000-0000FF1C0000}"/>
    <cellStyle name="Normal 8 2 4 3 2 2" xfId="7416" xr:uid="{00000000-0005-0000-0000-0000001D0000}"/>
    <cellStyle name="Normal 8 2 4 3 3" xfId="5271" xr:uid="{00000000-0005-0000-0000-0000011D0000}"/>
    <cellStyle name="Normal 8 2 4 4" xfId="1376" xr:uid="{00000000-0005-0000-0000-0000021D0000}"/>
    <cellStyle name="Normal 8 2 4 4 2" xfId="3606" xr:uid="{00000000-0005-0000-0000-0000031D0000}"/>
    <cellStyle name="Normal 8 2 4 4 2 2" xfId="7829" xr:uid="{00000000-0005-0000-0000-0000041D0000}"/>
    <cellStyle name="Normal 8 2 4 4 3" xfId="5684" xr:uid="{00000000-0005-0000-0000-0000051D0000}"/>
    <cellStyle name="Normal 8 2 4 5" xfId="1789" xr:uid="{00000000-0005-0000-0000-0000061D0000}"/>
    <cellStyle name="Normal 8 2 4 5 2" xfId="4019" xr:uid="{00000000-0005-0000-0000-0000071D0000}"/>
    <cellStyle name="Normal 8 2 4 5 2 2" xfId="8242" xr:uid="{00000000-0005-0000-0000-0000081D0000}"/>
    <cellStyle name="Normal 8 2 4 5 3" xfId="6097" xr:uid="{00000000-0005-0000-0000-0000091D0000}"/>
    <cellStyle name="Normal 8 2 4 6" xfId="2203" xr:uid="{00000000-0005-0000-0000-00000A1D0000}"/>
    <cellStyle name="Normal 8 2 4 6 2" xfId="4432" xr:uid="{00000000-0005-0000-0000-00000B1D0000}"/>
    <cellStyle name="Normal 8 2 4 6 2 2" xfId="8655" xr:uid="{00000000-0005-0000-0000-00000C1D0000}"/>
    <cellStyle name="Normal 8 2 4 6 3" xfId="6510" xr:uid="{00000000-0005-0000-0000-00000D1D0000}"/>
    <cellStyle name="Normal 8 2 4 7" xfId="2639" xr:uid="{00000000-0005-0000-0000-00000E1D0000}"/>
    <cellStyle name="Normal 8 2 4 7 2" xfId="6923" xr:uid="{00000000-0005-0000-0000-00000F1D0000}"/>
    <cellStyle name="Normal 8 2 4 8" xfId="4858" xr:uid="{00000000-0005-0000-0000-0000101D0000}"/>
    <cellStyle name="Normal 8 2 5" xfId="494" xr:uid="{00000000-0005-0000-0000-0000111D0000}"/>
    <cellStyle name="Normal 8 2 5 2" xfId="961" xr:uid="{00000000-0005-0000-0000-0000121D0000}"/>
    <cellStyle name="Normal 8 2 5 2 2" xfId="3195" xr:uid="{00000000-0005-0000-0000-0000131D0000}"/>
    <cellStyle name="Normal 8 2 5 2 2 2" xfId="7418" xr:uid="{00000000-0005-0000-0000-0000141D0000}"/>
    <cellStyle name="Normal 8 2 5 2 3" xfId="5273" xr:uid="{00000000-0005-0000-0000-0000151D0000}"/>
    <cellStyle name="Normal 8 2 5 3" xfId="1378" xr:uid="{00000000-0005-0000-0000-0000161D0000}"/>
    <cellStyle name="Normal 8 2 5 3 2" xfId="3608" xr:uid="{00000000-0005-0000-0000-0000171D0000}"/>
    <cellStyle name="Normal 8 2 5 3 2 2" xfId="7831" xr:uid="{00000000-0005-0000-0000-0000181D0000}"/>
    <cellStyle name="Normal 8 2 5 3 3" xfId="5686" xr:uid="{00000000-0005-0000-0000-0000191D0000}"/>
    <cellStyle name="Normal 8 2 5 4" xfId="1791" xr:uid="{00000000-0005-0000-0000-00001A1D0000}"/>
    <cellStyle name="Normal 8 2 5 4 2" xfId="4021" xr:uid="{00000000-0005-0000-0000-00001B1D0000}"/>
    <cellStyle name="Normal 8 2 5 4 2 2" xfId="8244" xr:uid="{00000000-0005-0000-0000-00001C1D0000}"/>
    <cellStyle name="Normal 8 2 5 4 3" xfId="6099" xr:uid="{00000000-0005-0000-0000-00001D1D0000}"/>
    <cellStyle name="Normal 8 2 5 5" xfId="2205" xr:uid="{00000000-0005-0000-0000-00001E1D0000}"/>
    <cellStyle name="Normal 8 2 5 5 2" xfId="4434" xr:uid="{00000000-0005-0000-0000-00001F1D0000}"/>
    <cellStyle name="Normal 8 2 5 5 2 2" xfId="8657" xr:uid="{00000000-0005-0000-0000-0000201D0000}"/>
    <cellStyle name="Normal 8 2 5 5 3" xfId="6512" xr:uid="{00000000-0005-0000-0000-0000211D0000}"/>
    <cellStyle name="Normal 8 2 5 6" xfId="2641" xr:uid="{00000000-0005-0000-0000-0000221D0000}"/>
    <cellStyle name="Normal 8 2 5 6 2" xfId="6925" xr:uid="{00000000-0005-0000-0000-0000231D0000}"/>
    <cellStyle name="Normal 8 2 5 7" xfId="4860" xr:uid="{00000000-0005-0000-0000-0000241D0000}"/>
    <cellStyle name="Normal 8 2 6" xfId="946" xr:uid="{00000000-0005-0000-0000-0000251D0000}"/>
    <cellStyle name="Normal 8 2 6 2" xfId="3180" xr:uid="{00000000-0005-0000-0000-0000261D0000}"/>
    <cellStyle name="Normal 8 2 6 2 2" xfId="7403" xr:uid="{00000000-0005-0000-0000-0000271D0000}"/>
    <cellStyle name="Normal 8 2 6 3" xfId="5258" xr:uid="{00000000-0005-0000-0000-0000281D0000}"/>
    <cellStyle name="Normal 8 2 7" xfId="1363" xr:uid="{00000000-0005-0000-0000-0000291D0000}"/>
    <cellStyle name="Normal 8 2 7 2" xfId="3593" xr:uid="{00000000-0005-0000-0000-00002A1D0000}"/>
    <cellStyle name="Normal 8 2 7 2 2" xfId="7816" xr:uid="{00000000-0005-0000-0000-00002B1D0000}"/>
    <cellStyle name="Normal 8 2 7 3" xfId="5671" xr:uid="{00000000-0005-0000-0000-00002C1D0000}"/>
    <cellStyle name="Normal 8 2 8" xfId="1776" xr:uid="{00000000-0005-0000-0000-00002D1D0000}"/>
    <cellStyle name="Normal 8 2 8 2" xfId="4006" xr:uid="{00000000-0005-0000-0000-00002E1D0000}"/>
    <cellStyle name="Normal 8 2 8 2 2" xfId="8229" xr:uid="{00000000-0005-0000-0000-00002F1D0000}"/>
    <cellStyle name="Normal 8 2 8 3" xfId="6084" xr:uid="{00000000-0005-0000-0000-0000301D0000}"/>
    <cellStyle name="Normal 8 2 9" xfId="2190" xr:uid="{00000000-0005-0000-0000-0000311D0000}"/>
    <cellStyle name="Normal 8 2 9 2" xfId="4419" xr:uid="{00000000-0005-0000-0000-0000321D0000}"/>
    <cellStyle name="Normal 8 2 9 2 2" xfId="8642" xr:uid="{00000000-0005-0000-0000-0000331D0000}"/>
    <cellStyle name="Normal 8 2 9 3" xfId="6497" xr:uid="{00000000-0005-0000-0000-0000341D0000}"/>
    <cellStyle name="Normal 8 3" xfId="495" xr:uid="{00000000-0005-0000-0000-0000351D0000}"/>
    <cellStyle name="Normal 8 3 10" xfId="4861" xr:uid="{00000000-0005-0000-0000-0000361D0000}"/>
    <cellStyle name="Normal 8 3 2" xfId="496" xr:uid="{00000000-0005-0000-0000-0000371D0000}"/>
    <cellStyle name="Normal 8 3 2 2" xfId="497" xr:uid="{00000000-0005-0000-0000-0000381D0000}"/>
    <cellStyle name="Normal 8 3 2 2 2" xfId="498" xr:uid="{00000000-0005-0000-0000-0000391D0000}"/>
    <cellStyle name="Normal 8 3 2 2 2 2" xfId="965" xr:uid="{00000000-0005-0000-0000-00003A1D0000}"/>
    <cellStyle name="Normal 8 3 2 2 2 2 2" xfId="3199" xr:uid="{00000000-0005-0000-0000-00003B1D0000}"/>
    <cellStyle name="Normal 8 3 2 2 2 2 2 2" xfId="7422" xr:uid="{00000000-0005-0000-0000-00003C1D0000}"/>
    <cellStyle name="Normal 8 3 2 2 2 2 3" xfId="5277" xr:uid="{00000000-0005-0000-0000-00003D1D0000}"/>
    <cellStyle name="Normal 8 3 2 2 2 3" xfId="1382" xr:uid="{00000000-0005-0000-0000-00003E1D0000}"/>
    <cellStyle name="Normal 8 3 2 2 2 3 2" xfId="3612" xr:uid="{00000000-0005-0000-0000-00003F1D0000}"/>
    <cellStyle name="Normal 8 3 2 2 2 3 2 2" xfId="7835" xr:uid="{00000000-0005-0000-0000-0000401D0000}"/>
    <cellStyle name="Normal 8 3 2 2 2 3 3" xfId="5690" xr:uid="{00000000-0005-0000-0000-0000411D0000}"/>
    <cellStyle name="Normal 8 3 2 2 2 4" xfId="1795" xr:uid="{00000000-0005-0000-0000-0000421D0000}"/>
    <cellStyle name="Normal 8 3 2 2 2 4 2" xfId="4025" xr:uid="{00000000-0005-0000-0000-0000431D0000}"/>
    <cellStyle name="Normal 8 3 2 2 2 4 2 2" xfId="8248" xr:uid="{00000000-0005-0000-0000-0000441D0000}"/>
    <cellStyle name="Normal 8 3 2 2 2 4 3" xfId="6103" xr:uid="{00000000-0005-0000-0000-0000451D0000}"/>
    <cellStyle name="Normal 8 3 2 2 2 5" xfId="2209" xr:uid="{00000000-0005-0000-0000-0000461D0000}"/>
    <cellStyle name="Normal 8 3 2 2 2 5 2" xfId="4438" xr:uid="{00000000-0005-0000-0000-0000471D0000}"/>
    <cellStyle name="Normal 8 3 2 2 2 5 2 2" xfId="8661" xr:uid="{00000000-0005-0000-0000-0000481D0000}"/>
    <cellStyle name="Normal 8 3 2 2 2 5 3" xfId="6516" xr:uid="{00000000-0005-0000-0000-0000491D0000}"/>
    <cellStyle name="Normal 8 3 2 2 2 6" xfId="2645" xr:uid="{00000000-0005-0000-0000-00004A1D0000}"/>
    <cellStyle name="Normal 8 3 2 2 2 6 2" xfId="6929" xr:uid="{00000000-0005-0000-0000-00004B1D0000}"/>
    <cellStyle name="Normal 8 3 2 2 2 7" xfId="4864" xr:uid="{00000000-0005-0000-0000-00004C1D0000}"/>
    <cellStyle name="Normal 8 3 2 2 3" xfId="964" xr:uid="{00000000-0005-0000-0000-00004D1D0000}"/>
    <cellStyle name="Normal 8 3 2 2 3 2" xfId="3198" xr:uid="{00000000-0005-0000-0000-00004E1D0000}"/>
    <cellStyle name="Normal 8 3 2 2 3 2 2" xfId="7421" xr:uid="{00000000-0005-0000-0000-00004F1D0000}"/>
    <cellStyle name="Normal 8 3 2 2 3 3" xfId="5276" xr:uid="{00000000-0005-0000-0000-0000501D0000}"/>
    <cellStyle name="Normal 8 3 2 2 4" xfId="1381" xr:uid="{00000000-0005-0000-0000-0000511D0000}"/>
    <cellStyle name="Normal 8 3 2 2 4 2" xfId="3611" xr:uid="{00000000-0005-0000-0000-0000521D0000}"/>
    <cellStyle name="Normal 8 3 2 2 4 2 2" xfId="7834" xr:uid="{00000000-0005-0000-0000-0000531D0000}"/>
    <cellStyle name="Normal 8 3 2 2 4 3" xfId="5689" xr:uid="{00000000-0005-0000-0000-0000541D0000}"/>
    <cellStyle name="Normal 8 3 2 2 5" xfId="1794" xr:uid="{00000000-0005-0000-0000-0000551D0000}"/>
    <cellStyle name="Normal 8 3 2 2 5 2" xfId="4024" xr:uid="{00000000-0005-0000-0000-0000561D0000}"/>
    <cellStyle name="Normal 8 3 2 2 5 2 2" xfId="8247" xr:uid="{00000000-0005-0000-0000-0000571D0000}"/>
    <cellStyle name="Normal 8 3 2 2 5 3" xfId="6102" xr:uid="{00000000-0005-0000-0000-0000581D0000}"/>
    <cellStyle name="Normal 8 3 2 2 6" xfId="2208" xr:uid="{00000000-0005-0000-0000-0000591D0000}"/>
    <cellStyle name="Normal 8 3 2 2 6 2" xfId="4437" xr:uid="{00000000-0005-0000-0000-00005A1D0000}"/>
    <cellStyle name="Normal 8 3 2 2 6 2 2" xfId="8660" xr:uid="{00000000-0005-0000-0000-00005B1D0000}"/>
    <cellStyle name="Normal 8 3 2 2 6 3" xfId="6515" xr:uid="{00000000-0005-0000-0000-00005C1D0000}"/>
    <cellStyle name="Normal 8 3 2 2 7" xfId="2644" xr:uid="{00000000-0005-0000-0000-00005D1D0000}"/>
    <cellStyle name="Normal 8 3 2 2 7 2" xfId="6928" xr:uid="{00000000-0005-0000-0000-00005E1D0000}"/>
    <cellStyle name="Normal 8 3 2 2 8" xfId="4863" xr:uid="{00000000-0005-0000-0000-00005F1D0000}"/>
    <cellStyle name="Normal 8 3 2 3" xfId="499" xr:uid="{00000000-0005-0000-0000-0000601D0000}"/>
    <cellStyle name="Normal 8 3 2 3 2" xfId="966" xr:uid="{00000000-0005-0000-0000-0000611D0000}"/>
    <cellStyle name="Normal 8 3 2 3 2 2" xfId="3200" xr:uid="{00000000-0005-0000-0000-0000621D0000}"/>
    <cellStyle name="Normal 8 3 2 3 2 2 2" xfId="7423" xr:uid="{00000000-0005-0000-0000-0000631D0000}"/>
    <cellStyle name="Normal 8 3 2 3 2 3" xfId="5278" xr:uid="{00000000-0005-0000-0000-0000641D0000}"/>
    <cellStyle name="Normal 8 3 2 3 3" xfId="1383" xr:uid="{00000000-0005-0000-0000-0000651D0000}"/>
    <cellStyle name="Normal 8 3 2 3 3 2" xfId="3613" xr:uid="{00000000-0005-0000-0000-0000661D0000}"/>
    <cellStyle name="Normal 8 3 2 3 3 2 2" xfId="7836" xr:uid="{00000000-0005-0000-0000-0000671D0000}"/>
    <cellStyle name="Normal 8 3 2 3 3 3" xfId="5691" xr:uid="{00000000-0005-0000-0000-0000681D0000}"/>
    <cellStyle name="Normal 8 3 2 3 4" xfId="1796" xr:uid="{00000000-0005-0000-0000-0000691D0000}"/>
    <cellStyle name="Normal 8 3 2 3 4 2" xfId="4026" xr:uid="{00000000-0005-0000-0000-00006A1D0000}"/>
    <cellStyle name="Normal 8 3 2 3 4 2 2" xfId="8249" xr:uid="{00000000-0005-0000-0000-00006B1D0000}"/>
    <cellStyle name="Normal 8 3 2 3 4 3" xfId="6104" xr:uid="{00000000-0005-0000-0000-00006C1D0000}"/>
    <cellStyle name="Normal 8 3 2 3 5" xfId="2210" xr:uid="{00000000-0005-0000-0000-00006D1D0000}"/>
    <cellStyle name="Normal 8 3 2 3 5 2" xfId="4439" xr:uid="{00000000-0005-0000-0000-00006E1D0000}"/>
    <cellStyle name="Normal 8 3 2 3 5 2 2" xfId="8662" xr:uid="{00000000-0005-0000-0000-00006F1D0000}"/>
    <cellStyle name="Normal 8 3 2 3 5 3" xfId="6517" xr:uid="{00000000-0005-0000-0000-0000701D0000}"/>
    <cellStyle name="Normal 8 3 2 3 6" xfId="2646" xr:uid="{00000000-0005-0000-0000-0000711D0000}"/>
    <cellStyle name="Normal 8 3 2 3 6 2" xfId="6930" xr:uid="{00000000-0005-0000-0000-0000721D0000}"/>
    <cellStyle name="Normal 8 3 2 3 7" xfId="4865" xr:uid="{00000000-0005-0000-0000-0000731D0000}"/>
    <cellStyle name="Normal 8 3 2 4" xfId="963" xr:uid="{00000000-0005-0000-0000-0000741D0000}"/>
    <cellStyle name="Normal 8 3 2 4 2" xfId="3197" xr:uid="{00000000-0005-0000-0000-0000751D0000}"/>
    <cellStyle name="Normal 8 3 2 4 2 2" xfId="7420" xr:uid="{00000000-0005-0000-0000-0000761D0000}"/>
    <cellStyle name="Normal 8 3 2 4 3" xfId="5275" xr:uid="{00000000-0005-0000-0000-0000771D0000}"/>
    <cellStyle name="Normal 8 3 2 5" xfId="1380" xr:uid="{00000000-0005-0000-0000-0000781D0000}"/>
    <cellStyle name="Normal 8 3 2 5 2" xfId="3610" xr:uid="{00000000-0005-0000-0000-0000791D0000}"/>
    <cellStyle name="Normal 8 3 2 5 2 2" xfId="7833" xr:uid="{00000000-0005-0000-0000-00007A1D0000}"/>
    <cellStyle name="Normal 8 3 2 5 3" xfId="5688" xr:uid="{00000000-0005-0000-0000-00007B1D0000}"/>
    <cellStyle name="Normal 8 3 2 6" xfId="1793" xr:uid="{00000000-0005-0000-0000-00007C1D0000}"/>
    <cellStyle name="Normal 8 3 2 6 2" xfId="4023" xr:uid="{00000000-0005-0000-0000-00007D1D0000}"/>
    <cellStyle name="Normal 8 3 2 6 2 2" xfId="8246" xr:uid="{00000000-0005-0000-0000-00007E1D0000}"/>
    <cellStyle name="Normal 8 3 2 6 3" xfId="6101" xr:uid="{00000000-0005-0000-0000-00007F1D0000}"/>
    <cellStyle name="Normal 8 3 2 7" xfId="2207" xr:uid="{00000000-0005-0000-0000-0000801D0000}"/>
    <cellStyle name="Normal 8 3 2 7 2" xfId="4436" xr:uid="{00000000-0005-0000-0000-0000811D0000}"/>
    <cellStyle name="Normal 8 3 2 7 2 2" xfId="8659" xr:uid="{00000000-0005-0000-0000-0000821D0000}"/>
    <cellStyle name="Normal 8 3 2 7 3" xfId="6514" xr:uid="{00000000-0005-0000-0000-0000831D0000}"/>
    <cellStyle name="Normal 8 3 2 8" xfId="2643" xr:uid="{00000000-0005-0000-0000-0000841D0000}"/>
    <cellStyle name="Normal 8 3 2 8 2" xfId="6927" xr:uid="{00000000-0005-0000-0000-0000851D0000}"/>
    <cellStyle name="Normal 8 3 2 9" xfId="4862" xr:uid="{00000000-0005-0000-0000-0000861D0000}"/>
    <cellStyle name="Normal 8 3 3" xfId="500" xr:uid="{00000000-0005-0000-0000-0000871D0000}"/>
    <cellStyle name="Normal 8 3 3 2" xfId="501" xr:uid="{00000000-0005-0000-0000-0000881D0000}"/>
    <cellStyle name="Normal 8 3 3 2 2" xfId="968" xr:uid="{00000000-0005-0000-0000-0000891D0000}"/>
    <cellStyle name="Normal 8 3 3 2 2 2" xfId="3202" xr:uid="{00000000-0005-0000-0000-00008A1D0000}"/>
    <cellStyle name="Normal 8 3 3 2 2 2 2" xfId="7425" xr:uid="{00000000-0005-0000-0000-00008B1D0000}"/>
    <cellStyle name="Normal 8 3 3 2 2 3" xfId="5280" xr:uid="{00000000-0005-0000-0000-00008C1D0000}"/>
    <cellStyle name="Normal 8 3 3 2 3" xfId="1385" xr:uid="{00000000-0005-0000-0000-00008D1D0000}"/>
    <cellStyle name="Normal 8 3 3 2 3 2" xfId="3615" xr:uid="{00000000-0005-0000-0000-00008E1D0000}"/>
    <cellStyle name="Normal 8 3 3 2 3 2 2" xfId="7838" xr:uid="{00000000-0005-0000-0000-00008F1D0000}"/>
    <cellStyle name="Normal 8 3 3 2 3 3" xfId="5693" xr:uid="{00000000-0005-0000-0000-0000901D0000}"/>
    <cellStyle name="Normal 8 3 3 2 4" xfId="1798" xr:uid="{00000000-0005-0000-0000-0000911D0000}"/>
    <cellStyle name="Normal 8 3 3 2 4 2" xfId="4028" xr:uid="{00000000-0005-0000-0000-0000921D0000}"/>
    <cellStyle name="Normal 8 3 3 2 4 2 2" xfId="8251" xr:uid="{00000000-0005-0000-0000-0000931D0000}"/>
    <cellStyle name="Normal 8 3 3 2 4 3" xfId="6106" xr:uid="{00000000-0005-0000-0000-0000941D0000}"/>
    <cellStyle name="Normal 8 3 3 2 5" xfId="2212" xr:uid="{00000000-0005-0000-0000-0000951D0000}"/>
    <cellStyle name="Normal 8 3 3 2 5 2" xfId="4441" xr:uid="{00000000-0005-0000-0000-0000961D0000}"/>
    <cellStyle name="Normal 8 3 3 2 5 2 2" xfId="8664" xr:uid="{00000000-0005-0000-0000-0000971D0000}"/>
    <cellStyle name="Normal 8 3 3 2 5 3" xfId="6519" xr:uid="{00000000-0005-0000-0000-0000981D0000}"/>
    <cellStyle name="Normal 8 3 3 2 6" xfId="2648" xr:uid="{00000000-0005-0000-0000-0000991D0000}"/>
    <cellStyle name="Normal 8 3 3 2 6 2" xfId="6932" xr:uid="{00000000-0005-0000-0000-00009A1D0000}"/>
    <cellStyle name="Normal 8 3 3 2 7" xfId="4867" xr:uid="{00000000-0005-0000-0000-00009B1D0000}"/>
    <cellStyle name="Normal 8 3 3 3" xfId="967" xr:uid="{00000000-0005-0000-0000-00009C1D0000}"/>
    <cellStyle name="Normal 8 3 3 3 2" xfId="3201" xr:uid="{00000000-0005-0000-0000-00009D1D0000}"/>
    <cellStyle name="Normal 8 3 3 3 2 2" xfId="7424" xr:uid="{00000000-0005-0000-0000-00009E1D0000}"/>
    <cellStyle name="Normal 8 3 3 3 3" xfId="5279" xr:uid="{00000000-0005-0000-0000-00009F1D0000}"/>
    <cellStyle name="Normal 8 3 3 4" xfId="1384" xr:uid="{00000000-0005-0000-0000-0000A01D0000}"/>
    <cellStyle name="Normal 8 3 3 4 2" xfId="3614" xr:uid="{00000000-0005-0000-0000-0000A11D0000}"/>
    <cellStyle name="Normal 8 3 3 4 2 2" xfId="7837" xr:uid="{00000000-0005-0000-0000-0000A21D0000}"/>
    <cellStyle name="Normal 8 3 3 4 3" xfId="5692" xr:uid="{00000000-0005-0000-0000-0000A31D0000}"/>
    <cellStyle name="Normal 8 3 3 5" xfId="1797" xr:uid="{00000000-0005-0000-0000-0000A41D0000}"/>
    <cellStyle name="Normal 8 3 3 5 2" xfId="4027" xr:uid="{00000000-0005-0000-0000-0000A51D0000}"/>
    <cellStyle name="Normal 8 3 3 5 2 2" xfId="8250" xr:uid="{00000000-0005-0000-0000-0000A61D0000}"/>
    <cellStyle name="Normal 8 3 3 5 3" xfId="6105" xr:uid="{00000000-0005-0000-0000-0000A71D0000}"/>
    <cellStyle name="Normal 8 3 3 6" xfId="2211" xr:uid="{00000000-0005-0000-0000-0000A81D0000}"/>
    <cellStyle name="Normal 8 3 3 6 2" xfId="4440" xr:uid="{00000000-0005-0000-0000-0000A91D0000}"/>
    <cellStyle name="Normal 8 3 3 6 2 2" xfId="8663" xr:uid="{00000000-0005-0000-0000-0000AA1D0000}"/>
    <cellStyle name="Normal 8 3 3 6 3" xfId="6518" xr:uid="{00000000-0005-0000-0000-0000AB1D0000}"/>
    <cellStyle name="Normal 8 3 3 7" xfId="2647" xr:uid="{00000000-0005-0000-0000-0000AC1D0000}"/>
    <cellStyle name="Normal 8 3 3 7 2" xfId="6931" xr:uid="{00000000-0005-0000-0000-0000AD1D0000}"/>
    <cellStyle name="Normal 8 3 3 8" xfId="4866" xr:uid="{00000000-0005-0000-0000-0000AE1D0000}"/>
    <cellStyle name="Normal 8 3 4" xfId="502" xr:uid="{00000000-0005-0000-0000-0000AF1D0000}"/>
    <cellStyle name="Normal 8 3 4 2" xfId="969" xr:uid="{00000000-0005-0000-0000-0000B01D0000}"/>
    <cellStyle name="Normal 8 3 4 2 2" xfId="3203" xr:uid="{00000000-0005-0000-0000-0000B11D0000}"/>
    <cellStyle name="Normal 8 3 4 2 2 2" xfId="7426" xr:uid="{00000000-0005-0000-0000-0000B21D0000}"/>
    <cellStyle name="Normal 8 3 4 2 3" xfId="5281" xr:uid="{00000000-0005-0000-0000-0000B31D0000}"/>
    <cellStyle name="Normal 8 3 4 3" xfId="1386" xr:uid="{00000000-0005-0000-0000-0000B41D0000}"/>
    <cellStyle name="Normal 8 3 4 3 2" xfId="3616" xr:uid="{00000000-0005-0000-0000-0000B51D0000}"/>
    <cellStyle name="Normal 8 3 4 3 2 2" xfId="7839" xr:uid="{00000000-0005-0000-0000-0000B61D0000}"/>
    <cellStyle name="Normal 8 3 4 3 3" xfId="5694" xr:uid="{00000000-0005-0000-0000-0000B71D0000}"/>
    <cellStyle name="Normal 8 3 4 4" xfId="1799" xr:uid="{00000000-0005-0000-0000-0000B81D0000}"/>
    <cellStyle name="Normal 8 3 4 4 2" xfId="4029" xr:uid="{00000000-0005-0000-0000-0000B91D0000}"/>
    <cellStyle name="Normal 8 3 4 4 2 2" xfId="8252" xr:uid="{00000000-0005-0000-0000-0000BA1D0000}"/>
    <cellStyle name="Normal 8 3 4 4 3" xfId="6107" xr:uid="{00000000-0005-0000-0000-0000BB1D0000}"/>
    <cellStyle name="Normal 8 3 4 5" xfId="2213" xr:uid="{00000000-0005-0000-0000-0000BC1D0000}"/>
    <cellStyle name="Normal 8 3 4 5 2" xfId="4442" xr:uid="{00000000-0005-0000-0000-0000BD1D0000}"/>
    <cellStyle name="Normal 8 3 4 5 2 2" xfId="8665" xr:uid="{00000000-0005-0000-0000-0000BE1D0000}"/>
    <cellStyle name="Normal 8 3 4 5 3" xfId="6520" xr:uid="{00000000-0005-0000-0000-0000BF1D0000}"/>
    <cellStyle name="Normal 8 3 4 6" xfId="2649" xr:uid="{00000000-0005-0000-0000-0000C01D0000}"/>
    <cellStyle name="Normal 8 3 4 6 2" xfId="6933" xr:uid="{00000000-0005-0000-0000-0000C11D0000}"/>
    <cellStyle name="Normal 8 3 4 7" xfId="4868" xr:uid="{00000000-0005-0000-0000-0000C21D0000}"/>
    <cellStyle name="Normal 8 3 5" xfId="962" xr:uid="{00000000-0005-0000-0000-0000C31D0000}"/>
    <cellStyle name="Normal 8 3 5 2" xfId="3196" xr:uid="{00000000-0005-0000-0000-0000C41D0000}"/>
    <cellStyle name="Normal 8 3 5 2 2" xfId="7419" xr:uid="{00000000-0005-0000-0000-0000C51D0000}"/>
    <cellStyle name="Normal 8 3 5 3" xfId="5274" xr:uid="{00000000-0005-0000-0000-0000C61D0000}"/>
    <cellStyle name="Normal 8 3 6" xfId="1379" xr:uid="{00000000-0005-0000-0000-0000C71D0000}"/>
    <cellStyle name="Normal 8 3 6 2" xfId="3609" xr:uid="{00000000-0005-0000-0000-0000C81D0000}"/>
    <cellStyle name="Normal 8 3 6 2 2" xfId="7832" xr:uid="{00000000-0005-0000-0000-0000C91D0000}"/>
    <cellStyle name="Normal 8 3 6 3" xfId="5687" xr:uid="{00000000-0005-0000-0000-0000CA1D0000}"/>
    <cellStyle name="Normal 8 3 7" xfId="1792" xr:uid="{00000000-0005-0000-0000-0000CB1D0000}"/>
    <cellStyle name="Normal 8 3 7 2" xfId="4022" xr:uid="{00000000-0005-0000-0000-0000CC1D0000}"/>
    <cellStyle name="Normal 8 3 7 2 2" xfId="8245" xr:uid="{00000000-0005-0000-0000-0000CD1D0000}"/>
    <cellStyle name="Normal 8 3 7 3" xfId="6100" xr:uid="{00000000-0005-0000-0000-0000CE1D0000}"/>
    <cellStyle name="Normal 8 3 8" xfId="2206" xr:uid="{00000000-0005-0000-0000-0000CF1D0000}"/>
    <cellStyle name="Normal 8 3 8 2" xfId="4435" xr:uid="{00000000-0005-0000-0000-0000D01D0000}"/>
    <cellStyle name="Normal 8 3 8 2 2" xfId="8658" xr:uid="{00000000-0005-0000-0000-0000D11D0000}"/>
    <cellStyle name="Normal 8 3 8 3" xfId="6513" xr:uid="{00000000-0005-0000-0000-0000D21D0000}"/>
    <cellStyle name="Normal 8 3 9" xfId="2642" xr:uid="{00000000-0005-0000-0000-0000D31D0000}"/>
    <cellStyle name="Normal 8 3 9 2" xfId="6926" xr:uid="{00000000-0005-0000-0000-0000D41D0000}"/>
    <cellStyle name="Normal 8 4" xfId="503" xr:uid="{00000000-0005-0000-0000-0000D51D0000}"/>
    <cellStyle name="Normal 8 4 2" xfId="504" xr:uid="{00000000-0005-0000-0000-0000D61D0000}"/>
    <cellStyle name="Normal 8 4 2 2" xfId="505" xr:uid="{00000000-0005-0000-0000-0000D71D0000}"/>
    <cellStyle name="Normal 8 4 2 2 2" xfId="972" xr:uid="{00000000-0005-0000-0000-0000D81D0000}"/>
    <cellStyle name="Normal 8 4 2 2 2 2" xfId="3206" xr:uid="{00000000-0005-0000-0000-0000D91D0000}"/>
    <cellStyle name="Normal 8 4 2 2 2 2 2" xfId="7429" xr:uid="{00000000-0005-0000-0000-0000DA1D0000}"/>
    <cellStyle name="Normal 8 4 2 2 2 3" xfId="5284" xr:uid="{00000000-0005-0000-0000-0000DB1D0000}"/>
    <cellStyle name="Normal 8 4 2 2 3" xfId="1389" xr:uid="{00000000-0005-0000-0000-0000DC1D0000}"/>
    <cellStyle name="Normal 8 4 2 2 3 2" xfId="3619" xr:uid="{00000000-0005-0000-0000-0000DD1D0000}"/>
    <cellStyle name="Normal 8 4 2 2 3 2 2" xfId="7842" xr:uid="{00000000-0005-0000-0000-0000DE1D0000}"/>
    <cellStyle name="Normal 8 4 2 2 3 3" xfId="5697" xr:uid="{00000000-0005-0000-0000-0000DF1D0000}"/>
    <cellStyle name="Normal 8 4 2 2 4" xfId="1802" xr:uid="{00000000-0005-0000-0000-0000E01D0000}"/>
    <cellStyle name="Normal 8 4 2 2 4 2" xfId="4032" xr:uid="{00000000-0005-0000-0000-0000E11D0000}"/>
    <cellStyle name="Normal 8 4 2 2 4 2 2" xfId="8255" xr:uid="{00000000-0005-0000-0000-0000E21D0000}"/>
    <cellStyle name="Normal 8 4 2 2 4 3" xfId="6110" xr:uid="{00000000-0005-0000-0000-0000E31D0000}"/>
    <cellStyle name="Normal 8 4 2 2 5" xfId="2216" xr:uid="{00000000-0005-0000-0000-0000E41D0000}"/>
    <cellStyle name="Normal 8 4 2 2 5 2" xfId="4445" xr:uid="{00000000-0005-0000-0000-0000E51D0000}"/>
    <cellStyle name="Normal 8 4 2 2 5 2 2" xfId="8668" xr:uid="{00000000-0005-0000-0000-0000E61D0000}"/>
    <cellStyle name="Normal 8 4 2 2 5 3" xfId="6523" xr:uid="{00000000-0005-0000-0000-0000E71D0000}"/>
    <cellStyle name="Normal 8 4 2 2 6" xfId="2652" xr:uid="{00000000-0005-0000-0000-0000E81D0000}"/>
    <cellStyle name="Normal 8 4 2 2 6 2" xfId="6936" xr:uid="{00000000-0005-0000-0000-0000E91D0000}"/>
    <cellStyle name="Normal 8 4 2 2 7" xfId="4871" xr:uid="{00000000-0005-0000-0000-0000EA1D0000}"/>
    <cellStyle name="Normal 8 4 2 3" xfId="971" xr:uid="{00000000-0005-0000-0000-0000EB1D0000}"/>
    <cellStyle name="Normal 8 4 2 3 2" xfId="3205" xr:uid="{00000000-0005-0000-0000-0000EC1D0000}"/>
    <cellStyle name="Normal 8 4 2 3 2 2" xfId="7428" xr:uid="{00000000-0005-0000-0000-0000ED1D0000}"/>
    <cellStyle name="Normal 8 4 2 3 3" xfId="5283" xr:uid="{00000000-0005-0000-0000-0000EE1D0000}"/>
    <cellStyle name="Normal 8 4 2 4" xfId="1388" xr:uid="{00000000-0005-0000-0000-0000EF1D0000}"/>
    <cellStyle name="Normal 8 4 2 4 2" xfId="3618" xr:uid="{00000000-0005-0000-0000-0000F01D0000}"/>
    <cellStyle name="Normal 8 4 2 4 2 2" xfId="7841" xr:uid="{00000000-0005-0000-0000-0000F11D0000}"/>
    <cellStyle name="Normal 8 4 2 4 3" xfId="5696" xr:uid="{00000000-0005-0000-0000-0000F21D0000}"/>
    <cellStyle name="Normal 8 4 2 5" xfId="1801" xr:uid="{00000000-0005-0000-0000-0000F31D0000}"/>
    <cellStyle name="Normal 8 4 2 5 2" xfId="4031" xr:uid="{00000000-0005-0000-0000-0000F41D0000}"/>
    <cellStyle name="Normal 8 4 2 5 2 2" xfId="8254" xr:uid="{00000000-0005-0000-0000-0000F51D0000}"/>
    <cellStyle name="Normal 8 4 2 5 3" xfId="6109" xr:uid="{00000000-0005-0000-0000-0000F61D0000}"/>
    <cellStyle name="Normal 8 4 2 6" xfId="2215" xr:uid="{00000000-0005-0000-0000-0000F71D0000}"/>
    <cellStyle name="Normal 8 4 2 6 2" xfId="4444" xr:uid="{00000000-0005-0000-0000-0000F81D0000}"/>
    <cellStyle name="Normal 8 4 2 6 2 2" xfId="8667" xr:uid="{00000000-0005-0000-0000-0000F91D0000}"/>
    <cellStyle name="Normal 8 4 2 6 3" xfId="6522" xr:uid="{00000000-0005-0000-0000-0000FA1D0000}"/>
    <cellStyle name="Normal 8 4 2 7" xfId="2651" xr:uid="{00000000-0005-0000-0000-0000FB1D0000}"/>
    <cellStyle name="Normal 8 4 2 7 2" xfId="6935" xr:uid="{00000000-0005-0000-0000-0000FC1D0000}"/>
    <cellStyle name="Normal 8 4 2 8" xfId="4870" xr:uid="{00000000-0005-0000-0000-0000FD1D0000}"/>
    <cellStyle name="Normal 8 4 3" xfId="506" xr:uid="{00000000-0005-0000-0000-0000FE1D0000}"/>
    <cellStyle name="Normal 8 4 3 2" xfId="973" xr:uid="{00000000-0005-0000-0000-0000FF1D0000}"/>
    <cellStyle name="Normal 8 4 3 2 2" xfId="3207" xr:uid="{00000000-0005-0000-0000-0000001E0000}"/>
    <cellStyle name="Normal 8 4 3 2 2 2" xfId="7430" xr:uid="{00000000-0005-0000-0000-0000011E0000}"/>
    <cellStyle name="Normal 8 4 3 2 3" xfId="5285" xr:uid="{00000000-0005-0000-0000-0000021E0000}"/>
    <cellStyle name="Normal 8 4 3 3" xfId="1390" xr:uid="{00000000-0005-0000-0000-0000031E0000}"/>
    <cellStyle name="Normal 8 4 3 3 2" xfId="3620" xr:uid="{00000000-0005-0000-0000-0000041E0000}"/>
    <cellStyle name="Normal 8 4 3 3 2 2" xfId="7843" xr:uid="{00000000-0005-0000-0000-0000051E0000}"/>
    <cellStyle name="Normal 8 4 3 3 3" xfId="5698" xr:uid="{00000000-0005-0000-0000-0000061E0000}"/>
    <cellStyle name="Normal 8 4 3 4" xfId="1803" xr:uid="{00000000-0005-0000-0000-0000071E0000}"/>
    <cellStyle name="Normal 8 4 3 4 2" xfId="4033" xr:uid="{00000000-0005-0000-0000-0000081E0000}"/>
    <cellStyle name="Normal 8 4 3 4 2 2" xfId="8256" xr:uid="{00000000-0005-0000-0000-0000091E0000}"/>
    <cellStyle name="Normal 8 4 3 4 3" xfId="6111" xr:uid="{00000000-0005-0000-0000-00000A1E0000}"/>
    <cellStyle name="Normal 8 4 3 5" xfId="2217" xr:uid="{00000000-0005-0000-0000-00000B1E0000}"/>
    <cellStyle name="Normal 8 4 3 5 2" xfId="4446" xr:uid="{00000000-0005-0000-0000-00000C1E0000}"/>
    <cellStyle name="Normal 8 4 3 5 2 2" xfId="8669" xr:uid="{00000000-0005-0000-0000-00000D1E0000}"/>
    <cellStyle name="Normal 8 4 3 5 3" xfId="6524" xr:uid="{00000000-0005-0000-0000-00000E1E0000}"/>
    <cellStyle name="Normal 8 4 3 6" xfId="2653" xr:uid="{00000000-0005-0000-0000-00000F1E0000}"/>
    <cellStyle name="Normal 8 4 3 6 2" xfId="6937" xr:uid="{00000000-0005-0000-0000-0000101E0000}"/>
    <cellStyle name="Normal 8 4 3 7" xfId="4872" xr:uid="{00000000-0005-0000-0000-0000111E0000}"/>
    <cellStyle name="Normal 8 4 4" xfId="970" xr:uid="{00000000-0005-0000-0000-0000121E0000}"/>
    <cellStyle name="Normal 8 4 4 2" xfId="3204" xr:uid="{00000000-0005-0000-0000-0000131E0000}"/>
    <cellStyle name="Normal 8 4 4 2 2" xfId="7427" xr:uid="{00000000-0005-0000-0000-0000141E0000}"/>
    <cellStyle name="Normal 8 4 4 3" xfId="5282" xr:uid="{00000000-0005-0000-0000-0000151E0000}"/>
    <cellStyle name="Normal 8 4 5" xfId="1387" xr:uid="{00000000-0005-0000-0000-0000161E0000}"/>
    <cellStyle name="Normal 8 4 5 2" xfId="3617" xr:uid="{00000000-0005-0000-0000-0000171E0000}"/>
    <cellStyle name="Normal 8 4 5 2 2" xfId="7840" xr:uid="{00000000-0005-0000-0000-0000181E0000}"/>
    <cellStyle name="Normal 8 4 5 3" xfId="5695" xr:uid="{00000000-0005-0000-0000-0000191E0000}"/>
    <cellStyle name="Normal 8 4 6" xfId="1800" xr:uid="{00000000-0005-0000-0000-00001A1E0000}"/>
    <cellStyle name="Normal 8 4 6 2" xfId="4030" xr:uid="{00000000-0005-0000-0000-00001B1E0000}"/>
    <cellStyle name="Normal 8 4 6 2 2" xfId="8253" xr:uid="{00000000-0005-0000-0000-00001C1E0000}"/>
    <cellStyle name="Normal 8 4 6 3" xfId="6108" xr:uid="{00000000-0005-0000-0000-00001D1E0000}"/>
    <cellStyle name="Normal 8 4 7" xfId="2214" xr:uid="{00000000-0005-0000-0000-00001E1E0000}"/>
    <cellStyle name="Normal 8 4 7 2" xfId="4443" xr:uid="{00000000-0005-0000-0000-00001F1E0000}"/>
    <cellStyle name="Normal 8 4 7 2 2" xfId="8666" xr:uid="{00000000-0005-0000-0000-0000201E0000}"/>
    <cellStyle name="Normal 8 4 7 3" xfId="6521" xr:uid="{00000000-0005-0000-0000-0000211E0000}"/>
    <cellStyle name="Normal 8 4 8" xfId="2650" xr:uid="{00000000-0005-0000-0000-0000221E0000}"/>
    <cellStyle name="Normal 8 4 8 2" xfId="6934" xr:uid="{00000000-0005-0000-0000-0000231E0000}"/>
    <cellStyle name="Normal 8 4 9" xfId="4869" xr:uid="{00000000-0005-0000-0000-0000241E0000}"/>
    <cellStyle name="Normal 8 5" xfId="507" xr:uid="{00000000-0005-0000-0000-0000251E0000}"/>
    <cellStyle name="Normal 8 5 2" xfId="508" xr:uid="{00000000-0005-0000-0000-0000261E0000}"/>
    <cellStyle name="Normal 8 5 2 2" xfId="975" xr:uid="{00000000-0005-0000-0000-0000271E0000}"/>
    <cellStyle name="Normal 8 5 2 2 2" xfId="3209" xr:uid="{00000000-0005-0000-0000-0000281E0000}"/>
    <cellStyle name="Normal 8 5 2 2 2 2" xfId="7432" xr:uid="{00000000-0005-0000-0000-0000291E0000}"/>
    <cellStyle name="Normal 8 5 2 2 3" xfId="5287" xr:uid="{00000000-0005-0000-0000-00002A1E0000}"/>
    <cellStyle name="Normal 8 5 2 3" xfId="1392" xr:uid="{00000000-0005-0000-0000-00002B1E0000}"/>
    <cellStyle name="Normal 8 5 2 3 2" xfId="3622" xr:uid="{00000000-0005-0000-0000-00002C1E0000}"/>
    <cellStyle name="Normal 8 5 2 3 2 2" xfId="7845" xr:uid="{00000000-0005-0000-0000-00002D1E0000}"/>
    <cellStyle name="Normal 8 5 2 3 3" xfId="5700" xr:uid="{00000000-0005-0000-0000-00002E1E0000}"/>
    <cellStyle name="Normal 8 5 2 4" xfId="1805" xr:uid="{00000000-0005-0000-0000-00002F1E0000}"/>
    <cellStyle name="Normal 8 5 2 4 2" xfId="4035" xr:uid="{00000000-0005-0000-0000-0000301E0000}"/>
    <cellStyle name="Normal 8 5 2 4 2 2" xfId="8258" xr:uid="{00000000-0005-0000-0000-0000311E0000}"/>
    <cellStyle name="Normal 8 5 2 4 3" xfId="6113" xr:uid="{00000000-0005-0000-0000-0000321E0000}"/>
    <cellStyle name="Normal 8 5 2 5" xfId="2219" xr:uid="{00000000-0005-0000-0000-0000331E0000}"/>
    <cellStyle name="Normal 8 5 2 5 2" xfId="4448" xr:uid="{00000000-0005-0000-0000-0000341E0000}"/>
    <cellStyle name="Normal 8 5 2 5 2 2" xfId="8671" xr:uid="{00000000-0005-0000-0000-0000351E0000}"/>
    <cellStyle name="Normal 8 5 2 5 3" xfId="6526" xr:uid="{00000000-0005-0000-0000-0000361E0000}"/>
    <cellStyle name="Normal 8 5 2 6" xfId="2655" xr:uid="{00000000-0005-0000-0000-0000371E0000}"/>
    <cellStyle name="Normal 8 5 2 6 2" xfId="6939" xr:uid="{00000000-0005-0000-0000-0000381E0000}"/>
    <cellStyle name="Normal 8 5 2 7" xfId="4874" xr:uid="{00000000-0005-0000-0000-0000391E0000}"/>
    <cellStyle name="Normal 8 5 3" xfId="974" xr:uid="{00000000-0005-0000-0000-00003A1E0000}"/>
    <cellStyle name="Normal 8 5 3 2" xfId="3208" xr:uid="{00000000-0005-0000-0000-00003B1E0000}"/>
    <cellStyle name="Normal 8 5 3 2 2" xfId="7431" xr:uid="{00000000-0005-0000-0000-00003C1E0000}"/>
    <cellStyle name="Normal 8 5 3 3" xfId="5286" xr:uid="{00000000-0005-0000-0000-00003D1E0000}"/>
    <cellStyle name="Normal 8 5 4" xfId="1391" xr:uid="{00000000-0005-0000-0000-00003E1E0000}"/>
    <cellStyle name="Normal 8 5 4 2" xfId="3621" xr:uid="{00000000-0005-0000-0000-00003F1E0000}"/>
    <cellStyle name="Normal 8 5 4 2 2" xfId="7844" xr:uid="{00000000-0005-0000-0000-0000401E0000}"/>
    <cellStyle name="Normal 8 5 4 3" xfId="5699" xr:uid="{00000000-0005-0000-0000-0000411E0000}"/>
    <cellStyle name="Normal 8 5 5" xfId="1804" xr:uid="{00000000-0005-0000-0000-0000421E0000}"/>
    <cellStyle name="Normal 8 5 5 2" xfId="4034" xr:uid="{00000000-0005-0000-0000-0000431E0000}"/>
    <cellStyle name="Normal 8 5 5 2 2" xfId="8257" xr:uid="{00000000-0005-0000-0000-0000441E0000}"/>
    <cellStyle name="Normal 8 5 5 3" xfId="6112" xr:uid="{00000000-0005-0000-0000-0000451E0000}"/>
    <cellStyle name="Normal 8 5 6" xfId="2218" xr:uid="{00000000-0005-0000-0000-0000461E0000}"/>
    <cellStyle name="Normal 8 5 6 2" xfId="4447" xr:uid="{00000000-0005-0000-0000-0000471E0000}"/>
    <cellStyle name="Normal 8 5 6 2 2" xfId="8670" xr:uid="{00000000-0005-0000-0000-0000481E0000}"/>
    <cellStyle name="Normal 8 5 6 3" xfId="6525" xr:uid="{00000000-0005-0000-0000-0000491E0000}"/>
    <cellStyle name="Normal 8 5 7" xfId="2654" xr:uid="{00000000-0005-0000-0000-00004A1E0000}"/>
    <cellStyle name="Normal 8 5 7 2" xfId="6938" xr:uid="{00000000-0005-0000-0000-00004B1E0000}"/>
    <cellStyle name="Normal 8 5 8" xfId="4873" xr:uid="{00000000-0005-0000-0000-00004C1E0000}"/>
    <cellStyle name="Normal 8 6" xfId="509" xr:uid="{00000000-0005-0000-0000-00004D1E0000}"/>
    <cellStyle name="Normal 8 6 2" xfId="976" xr:uid="{00000000-0005-0000-0000-00004E1E0000}"/>
    <cellStyle name="Normal 8 6 2 2" xfId="3210" xr:uid="{00000000-0005-0000-0000-00004F1E0000}"/>
    <cellStyle name="Normal 8 6 2 2 2" xfId="7433" xr:uid="{00000000-0005-0000-0000-0000501E0000}"/>
    <cellStyle name="Normal 8 6 2 3" xfId="5288" xr:uid="{00000000-0005-0000-0000-0000511E0000}"/>
    <cellStyle name="Normal 8 6 3" xfId="1393" xr:uid="{00000000-0005-0000-0000-0000521E0000}"/>
    <cellStyle name="Normal 8 6 3 2" xfId="3623" xr:uid="{00000000-0005-0000-0000-0000531E0000}"/>
    <cellStyle name="Normal 8 6 3 2 2" xfId="7846" xr:uid="{00000000-0005-0000-0000-0000541E0000}"/>
    <cellStyle name="Normal 8 6 3 3" xfId="5701" xr:uid="{00000000-0005-0000-0000-0000551E0000}"/>
    <cellStyle name="Normal 8 6 4" xfId="1806" xr:uid="{00000000-0005-0000-0000-0000561E0000}"/>
    <cellStyle name="Normal 8 6 4 2" xfId="4036" xr:uid="{00000000-0005-0000-0000-0000571E0000}"/>
    <cellStyle name="Normal 8 6 4 2 2" xfId="8259" xr:uid="{00000000-0005-0000-0000-0000581E0000}"/>
    <cellStyle name="Normal 8 6 4 3" xfId="6114" xr:uid="{00000000-0005-0000-0000-0000591E0000}"/>
    <cellStyle name="Normal 8 6 5" xfId="2220" xr:uid="{00000000-0005-0000-0000-00005A1E0000}"/>
    <cellStyle name="Normal 8 6 5 2" xfId="4449" xr:uid="{00000000-0005-0000-0000-00005B1E0000}"/>
    <cellStyle name="Normal 8 6 5 2 2" xfId="8672" xr:uid="{00000000-0005-0000-0000-00005C1E0000}"/>
    <cellStyle name="Normal 8 6 5 3" xfId="6527" xr:uid="{00000000-0005-0000-0000-00005D1E0000}"/>
    <cellStyle name="Normal 8 6 6" xfId="2656" xr:uid="{00000000-0005-0000-0000-00005E1E0000}"/>
    <cellStyle name="Normal 8 6 6 2" xfId="6940" xr:uid="{00000000-0005-0000-0000-00005F1E0000}"/>
    <cellStyle name="Normal 8 6 7" xfId="4875" xr:uid="{00000000-0005-0000-0000-0000601E0000}"/>
    <cellStyle name="Normal 8 7" xfId="945" xr:uid="{00000000-0005-0000-0000-0000611E0000}"/>
    <cellStyle name="Normal 8 7 2" xfId="3179" xr:uid="{00000000-0005-0000-0000-0000621E0000}"/>
    <cellStyle name="Normal 8 7 2 2" xfId="7402" xr:uid="{00000000-0005-0000-0000-0000631E0000}"/>
    <cellStyle name="Normal 8 7 3" xfId="5257" xr:uid="{00000000-0005-0000-0000-0000641E0000}"/>
    <cellStyle name="Normal 8 8" xfId="1362" xr:uid="{00000000-0005-0000-0000-0000651E0000}"/>
    <cellStyle name="Normal 8 8 2" xfId="3592" xr:uid="{00000000-0005-0000-0000-0000661E0000}"/>
    <cellStyle name="Normal 8 8 2 2" xfId="7815" xr:uid="{00000000-0005-0000-0000-0000671E0000}"/>
    <cellStyle name="Normal 8 8 3" xfId="5670" xr:uid="{00000000-0005-0000-0000-0000681E0000}"/>
    <cellStyle name="Normal 8 9" xfId="1775" xr:uid="{00000000-0005-0000-0000-0000691E0000}"/>
    <cellStyle name="Normal 8 9 2" xfId="4005" xr:uid="{00000000-0005-0000-0000-00006A1E0000}"/>
    <cellStyle name="Normal 8 9 2 2" xfId="8228" xr:uid="{00000000-0005-0000-0000-00006B1E0000}"/>
    <cellStyle name="Normal 8 9 3" xfId="6083" xr:uid="{00000000-0005-0000-0000-00006C1E0000}"/>
    <cellStyle name="Normal 9" xfId="510" xr:uid="{00000000-0005-0000-0000-00006D1E0000}"/>
    <cellStyle name="Normal 9 2" xfId="511" xr:uid="{00000000-0005-0000-0000-00006E1E0000}"/>
    <cellStyle name="Normal 9 2 10" xfId="2657" xr:uid="{00000000-0005-0000-0000-00006F1E0000}"/>
    <cellStyle name="Normal 9 2 10 2" xfId="6941" xr:uid="{00000000-0005-0000-0000-0000701E0000}"/>
    <cellStyle name="Normal 9 2 11" xfId="4876" xr:uid="{00000000-0005-0000-0000-0000711E0000}"/>
    <cellStyle name="Normal 9 2 2" xfId="512" xr:uid="{00000000-0005-0000-0000-0000721E0000}"/>
    <cellStyle name="Normal 9 2 2 10" xfId="4877" xr:uid="{00000000-0005-0000-0000-0000731E0000}"/>
    <cellStyle name="Normal 9 2 2 2" xfId="513" xr:uid="{00000000-0005-0000-0000-0000741E0000}"/>
    <cellStyle name="Normal 9 2 2 2 2" xfId="514" xr:uid="{00000000-0005-0000-0000-0000751E0000}"/>
    <cellStyle name="Normal 9 2 2 2 2 2" xfId="515" xr:uid="{00000000-0005-0000-0000-0000761E0000}"/>
    <cellStyle name="Normal 9 2 2 2 2 2 2" xfId="982" xr:uid="{00000000-0005-0000-0000-0000771E0000}"/>
    <cellStyle name="Normal 9 2 2 2 2 2 2 2" xfId="3215" xr:uid="{00000000-0005-0000-0000-0000781E0000}"/>
    <cellStyle name="Normal 9 2 2 2 2 2 2 2 2" xfId="7438" xr:uid="{00000000-0005-0000-0000-0000791E0000}"/>
    <cellStyle name="Normal 9 2 2 2 2 2 2 3" xfId="5293" xr:uid="{00000000-0005-0000-0000-00007A1E0000}"/>
    <cellStyle name="Normal 9 2 2 2 2 2 3" xfId="1398" xr:uid="{00000000-0005-0000-0000-00007B1E0000}"/>
    <cellStyle name="Normal 9 2 2 2 2 2 3 2" xfId="3628" xr:uid="{00000000-0005-0000-0000-00007C1E0000}"/>
    <cellStyle name="Normal 9 2 2 2 2 2 3 2 2" xfId="7851" xr:uid="{00000000-0005-0000-0000-00007D1E0000}"/>
    <cellStyle name="Normal 9 2 2 2 2 2 3 3" xfId="5706" xr:uid="{00000000-0005-0000-0000-00007E1E0000}"/>
    <cellStyle name="Normal 9 2 2 2 2 2 4" xfId="1811" xr:uid="{00000000-0005-0000-0000-00007F1E0000}"/>
    <cellStyle name="Normal 9 2 2 2 2 2 4 2" xfId="4041" xr:uid="{00000000-0005-0000-0000-0000801E0000}"/>
    <cellStyle name="Normal 9 2 2 2 2 2 4 2 2" xfId="8264" xr:uid="{00000000-0005-0000-0000-0000811E0000}"/>
    <cellStyle name="Normal 9 2 2 2 2 2 4 3" xfId="6119" xr:uid="{00000000-0005-0000-0000-0000821E0000}"/>
    <cellStyle name="Normal 9 2 2 2 2 2 5" xfId="2225" xr:uid="{00000000-0005-0000-0000-0000831E0000}"/>
    <cellStyle name="Normal 9 2 2 2 2 2 5 2" xfId="4454" xr:uid="{00000000-0005-0000-0000-0000841E0000}"/>
    <cellStyle name="Normal 9 2 2 2 2 2 5 2 2" xfId="8677" xr:uid="{00000000-0005-0000-0000-0000851E0000}"/>
    <cellStyle name="Normal 9 2 2 2 2 2 5 3" xfId="6532" xr:uid="{00000000-0005-0000-0000-0000861E0000}"/>
    <cellStyle name="Normal 9 2 2 2 2 2 6" xfId="2661" xr:uid="{00000000-0005-0000-0000-0000871E0000}"/>
    <cellStyle name="Normal 9 2 2 2 2 2 6 2" xfId="6945" xr:uid="{00000000-0005-0000-0000-0000881E0000}"/>
    <cellStyle name="Normal 9 2 2 2 2 2 7" xfId="4880" xr:uid="{00000000-0005-0000-0000-0000891E0000}"/>
    <cellStyle name="Normal 9 2 2 2 2 3" xfId="981" xr:uid="{00000000-0005-0000-0000-00008A1E0000}"/>
    <cellStyle name="Normal 9 2 2 2 2 3 2" xfId="3214" xr:uid="{00000000-0005-0000-0000-00008B1E0000}"/>
    <cellStyle name="Normal 9 2 2 2 2 3 2 2" xfId="7437" xr:uid="{00000000-0005-0000-0000-00008C1E0000}"/>
    <cellStyle name="Normal 9 2 2 2 2 3 3" xfId="5292" xr:uid="{00000000-0005-0000-0000-00008D1E0000}"/>
    <cellStyle name="Normal 9 2 2 2 2 4" xfId="1397" xr:uid="{00000000-0005-0000-0000-00008E1E0000}"/>
    <cellStyle name="Normal 9 2 2 2 2 4 2" xfId="3627" xr:uid="{00000000-0005-0000-0000-00008F1E0000}"/>
    <cellStyle name="Normal 9 2 2 2 2 4 2 2" xfId="7850" xr:uid="{00000000-0005-0000-0000-0000901E0000}"/>
    <cellStyle name="Normal 9 2 2 2 2 4 3" xfId="5705" xr:uid="{00000000-0005-0000-0000-0000911E0000}"/>
    <cellStyle name="Normal 9 2 2 2 2 5" xfId="1810" xr:uid="{00000000-0005-0000-0000-0000921E0000}"/>
    <cellStyle name="Normal 9 2 2 2 2 5 2" xfId="4040" xr:uid="{00000000-0005-0000-0000-0000931E0000}"/>
    <cellStyle name="Normal 9 2 2 2 2 5 2 2" xfId="8263" xr:uid="{00000000-0005-0000-0000-0000941E0000}"/>
    <cellStyle name="Normal 9 2 2 2 2 5 3" xfId="6118" xr:uid="{00000000-0005-0000-0000-0000951E0000}"/>
    <cellStyle name="Normal 9 2 2 2 2 6" xfId="2224" xr:uid="{00000000-0005-0000-0000-0000961E0000}"/>
    <cellStyle name="Normal 9 2 2 2 2 6 2" xfId="4453" xr:uid="{00000000-0005-0000-0000-0000971E0000}"/>
    <cellStyle name="Normal 9 2 2 2 2 6 2 2" xfId="8676" xr:uid="{00000000-0005-0000-0000-0000981E0000}"/>
    <cellStyle name="Normal 9 2 2 2 2 6 3" xfId="6531" xr:uid="{00000000-0005-0000-0000-0000991E0000}"/>
    <cellStyle name="Normal 9 2 2 2 2 7" xfId="2660" xr:uid="{00000000-0005-0000-0000-00009A1E0000}"/>
    <cellStyle name="Normal 9 2 2 2 2 7 2" xfId="6944" xr:uid="{00000000-0005-0000-0000-00009B1E0000}"/>
    <cellStyle name="Normal 9 2 2 2 2 8" xfId="4879" xr:uid="{00000000-0005-0000-0000-00009C1E0000}"/>
    <cellStyle name="Normal 9 2 2 2 3" xfId="516" xr:uid="{00000000-0005-0000-0000-00009D1E0000}"/>
    <cellStyle name="Normal 9 2 2 2 3 2" xfId="983" xr:uid="{00000000-0005-0000-0000-00009E1E0000}"/>
    <cellStyle name="Normal 9 2 2 2 3 2 2" xfId="3216" xr:uid="{00000000-0005-0000-0000-00009F1E0000}"/>
    <cellStyle name="Normal 9 2 2 2 3 2 2 2" xfId="7439" xr:uid="{00000000-0005-0000-0000-0000A01E0000}"/>
    <cellStyle name="Normal 9 2 2 2 3 2 3" xfId="5294" xr:uid="{00000000-0005-0000-0000-0000A11E0000}"/>
    <cellStyle name="Normal 9 2 2 2 3 3" xfId="1399" xr:uid="{00000000-0005-0000-0000-0000A21E0000}"/>
    <cellStyle name="Normal 9 2 2 2 3 3 2" xfId="3629" xr:uid="{00000000-0005-0000-0000-0000A31E0000}"/>
    <cellStyle name="Normal 9 2 2 2 3 3 2 2" xfId="7852" xr:uid="{00000000-0005-0000-0000-0000A41E0000}"/>
    <cellStyle name="Normal 9 2 2 2 3 3 3" xfId="5707" xr:uid="{00000000-0005-0000-0000-0000A51E0000}"/>
    <cellStyle name="Normal 9 2 2 2 3 4" xfId="1812" xr:uid="{00000000-0005-0000-0000-0000A61E0000}"/>
    <cellStyle name="Normal 9 2 2 2 3 4 2" xfId="4042" xr:uid="{00000000-0005-0000-0000-0000A71E0000}"/>
    <cellStyle name="Normal 9 2 2 2 3 4 2 2" xfId="8265" xr:uid="{00000000-0005-0000-0000-0000A81E0000}"/>
    <cellStyle name="Normal 9 2 2 2 3 4 3" xfId="6120" xr:uid="{00000000-0005-0000-0000-0000A91E0000}"/>
    <cellStyle name="Normal 9 2 2 2 3 5" xfId="2226" xr:uid="{00000000-0005-0000-0000-0000AA1E0000}"/>
    <cellStyle name="Normal 9 2 2 2 3 5 2" xfId="4455" xr:uid="{00000000-0005-0000-0000-0000AB1E0000}"/>
    <cellStyle name="Normal 9 2 2 2 3 5 2 2" xfId="8678" xr:uid="{00000000-0005-0000-0000-0000AC1E0000}"/>
    <cellStyle name="Normal 9 2 2 2 3 5 3" xfId="6533" xr:uid="{00000000-0005-0000-0000-0000AD1E0000}"/>
    <cellStyle name="Normal 9 2 2 2 3 6" xfId="2662" xr:uid="{00000000-0005-0000-0000-0000AE1E0000}"/>
    <cellStyle name="Normal 9 2 2 2 3 6 2" xfId="6946" xr:uid="{00000000-0005-0000-0000-0000AF1E0000}"/>
    <cellStyle name="Normal 9 2 2 2 3 7" xfId="4881" xr:uid="{00000000-0005-0000-0000-0000B01E0000}"/>
    <cellStyle name="Normal 9 2 2 2 4" xfId="980" xr:uid="{00000000-0005-0000-0000-0000B11E0000}"/>
    <cellStyle name="Normal 9 2 2 2 4 2" xfId="3213" xr:uid="{00000000-0005-0000-0000-0000B21E0000}"/>
    <cellStyle name="Normal 9 2 2 2 4 2 2" xfId="7436" xr:uid="{00000000-0005-0000-0000-0000B31E0000}"/>
    <cellStyle name="Normal 9 2 2 2 4 3" xfId="5291" xr:uid="{00000000-0005-0000-0000-0000B41E0000}"/>
    <cellStyle name="Normal 9 2 2 2 5" xfId="1396" xr:uid="{00000000-0005-0000-0000-0000B51E0000}"/>
    <cellStyle name="Normal 9 2 2 2 5 2" xfId="3626" xr:uid="{00000000-0005-0000-0000-0000B61E0000}"/>
    <cellStyle name="Normal 9 2 2 2 5 2 2" xfId="7849" xr:uid="{00000000-0005-0000-0000-0000B71E0000}"/>
    <cellStyle name="Normal 9 2 2 2 5 3" xfId="5704" xr:uid="{00000000-0005-0000-0000-0000B81E0000}"/>
    <cellStyle name="Normal 9 2 2 2 6" xfId="1809" xr:uid="{00000000-0005-0000-0000-0000B91E0000}"/>
    <cellStyle name="Normal 9 2 2 2 6 2" xfId="4039" xr:uid="{00000000-0005-0000-0000-0000BA1E0000}"/>
    <cellStyle name="Normal 9 2 2 2 6 2 2" xfId="8262" xr:uid="{00000000-0005-0000-0000-0000BB1E0000}"/>
    <cellStyle name="Normal 9 2 2 2 6 3" xfId="6117" xr:uid="{00000000-0005-0000-0000-0000BC1E0000}"/>
    <cellStyle name="Normal 9 2 2 2 7" xfId="2223" xr:uid="{00000000-0005-0000-0000-0000BD1E0000}"/>
    <cellStyle name="Normal 9 2 2 2 7 2" xfId="4452" xr:uid="{00000000-0005-0000-0000-0000BE1E0000}"/>
    <cellStyle name="Normal 9 2 2 2 7 2 2" xfId="8675" xr:uid="{00000000-0005-0000-0000-0000BF1E0000}"/>
    <cellStyle name="Normal 9 2 2 2 7 3" xfId="6530" xr:uid="{00000000-0005-0000-0000-0000C01E0000}"/>
    <cellStyle name="Normal 9 2 2 2 8" xfId="2659" xr:uid="{00000000-0005-0000-0000-0000C11E0000}"/>
    <cellStyle name="Normal 9 2 2 2 8 2" xfId="6943" xr:uid="{00000000-0005-0000-0000-0000C21E0000}"/>
    <cellStyle name="Normal 9 2 2 2 9" xfId="4878" xr:uid="{00000000-0005-0000-0000-0000C31E0000}"/>
    <cellStyle name="Normal 9 2 2 3" xfId="517" xr:uid="{00000000-0005-0000-0000-0000C41E0000}"/>
    <cellStyle name="Normal 9 2 2 3 2" xfId="518" xr:uid="{00000000-0005-0000-0000-0000C51E0000}"/>
    <cellStyle name="Normal 9 2 2 3 2 2" xfId="985" xr:uid="{00000000-0005-0000-0000-0000C61E0000}"/>
    <cellStyle name="Normal 9 2 2 3 2 2 2" xfId="3218" xr:uid="{00000000-0005-0000-0000-0000C71E0000}"/>
    <cellStyle name="Normal 9 2 2 3 2 2 2 2" xfId="7441" xr:uid="{00000000-0005-0000-0000-0000C81E0000}"/>
    <cellStyle name="Normal 9 2 2 3 2 2 3" xfId="5296" xr:uid="{00000000-0005-0000-0000-0000C91E0000}"/>
    <cellStyle name="Normal 9 2 2 3 2 3" xfId="1401" xr:uid="{00000000-0005-0000-0000-0000CA1E0000}"/>
    <cellStyle name="Normal 9 2 2 3 2 3 2" xfId="3631" xr:uid="{00000000-0005-0000-0000-0000CB1E0000}"/>
    <cellStyle name="Normal 9 2 2 3 2 3 2 2" xfId="7854" xr:uid="{00000000-0005-0000-0000-0000CC1E0000}"/>
    <cellStyle name="Normal 9 2 2 3 2 3 3" xfId="5709" xr:uid="{00000000-0005-0000-0000-0000CD1E0000}"/>
    <cellStyle name="Normal 9 2 2 3 2 4" xfId="1814" xr:uid="{00000000-0005-0000-0000-0000CE1E0000}"/>
    <cellStyle name="Normal 9 2 2 3 2 4 2" xfId="4044" xr:uid="{00000000-0005-0000-0000-0000CF1E0000}"/>
    <cellStyle name="Normal 9 2 2 3 2 4 2 2" xfId="8267" xr:uid="{00000000-0005-0000-0000-0000D01E0000}"/>
    <cellStyle name="Normal 9 2 2 3 2 4 3" xfId="6122" xr:uid="{00000000-0005-0000-0000-0000D11E0000}"/>
    <cellStyle name="Normal 9 2 2 3 2 5" xfId="2228" xr:uid="{00000000-0005-0000-0000-0000D21E0000}"/>
    <cellStyle name="Normal 9 2 2 3 2 5 2" xfId="4457" xr:uid="{00000000-0005-0000-0000-0000D31E0000}"/>
    <cellStyle name="Normal 9 2 2 3 2 5 2 2" xfId="8680" xr:uid="{00000000-0005-0000-0000-0000D41E0000}"/>
    <cellStyle name="Normal 9 2 2 3 2 5 3" xfId="6535" xr:uid="{00000000-0005-0000-0000-0000D51E0000}"/>
    <cellStyle name="Normal 9 2 2 3 2 6" xfId="2664" xr:uid="{00000000-0005-0000-0000-0000D61E0000}"/>
    <cellStyle name="Normal 9 2 2 3 2 6 2" xfId="6948" xr:uid="{00000000-0005-0000-0000-0000D71E0000}"/>
    <cellStyle name="Normal 9 2 2 3 2 7" xfId="4883" xr:uid="{00000000-0005-0000-0000-0000D81E0000}"/>
    <cellStyle name="Normal 9 2 2 3 3" xfId="984" xr:uid="{00000000-0005-0000-0000-0000D91E0000}"/>
    <cellStyle name="Normal 9 2 2 3 3 2" xfId="3217" xr:uid="{00000000-0005-0000-0000-0000DA1E0000}"/>
    <cellStyle name="Normal 9 2 2 3 3 2 2" xfId="7440" xr:uid="{00000000-0005-0000-0000-0000DB1E0000}"/>
    <cellStyle name="Normal 9 2 2 3 3 3" xfId="5295" xr:uid="{00000000-0005-0000-0000-0000DC1E0000}"/>
    <cellStyle name="Normal 9 2 2 3 4" xfId="1400" xr:uid="{00000000-0005-0000-0000-0000DD1E0000}"/>
    <cellStyle name="Normal 9 2 2 3 4 2" xfId="3630" xr:uid="{00000000-0005-0000-0000-0000DE1E0000}"/>
    <cellStyle name="Normal 9 2 2 3 4 2 2" xfId="7853" xr:uid="{00000000-0005-0000-0000-0000DF1E0000}"/>
    <cellStyle name="Normal 9 2 2 3 4 3" xfId="5708" xr:uid="{00000000-0005-0000-0000-0000E01E0000}"/>
    <cellStyle name="Normal 9 2 2 3 5" xfId="1813" xr:uid="{00000000-0005-0000-0000-0000E11E0000}"/>
    <cellStyle name="Normal 9 2 2 3 5 2" xfId="4043" xr:uid="{00000000-0005-0000-0000-0000E21E0000}"/>
    <cellStyle name="Normal 9 2 2 3 5 2 2" xfId="8266" xr:uid="{00000000-0005-0000-0000-0000E31E0000}"/>
    <cellStyle name="Normal 9 2 2 3 5 3" xfId="6121" xr:uid="{00000000-0005-0000-0000-0000E41E0000}"/>
    <cellStyle name="Normal 9 2 2 3 6" xfId="2227" xr:uid="{00000000-0005-0000-0000-0000E51E0000}"/>
    <cellStyle name="Normal 9 2 2 3 6 2" xfId="4456" xr:uid="{00000000-0005-0000-0000-0000E61E0000}"/>
    <cellStyle name="Normal 9 2 2 3 6 2 2" xfId="8679" xr:uid="{00000000-0005-0000-0000-0000E71E0000}"/>
    <cellStyle name="Normal 9 2 2 3 6 3" xfId="6534" xr:uid="{00000000-0005-0000-0000-0000E81E0000}"/>
    <cellStyle name="Normal 9 2 2 3 7" xfId="2663" xr:uid="{00000000-0005-0000-0000-0000E91E0000}"/>
    <cellStyle name="Normal 9 2 2 3 7 2" xfId="6947" xr:uid="{00000000-0005-0000-0000-0000EA1E0000}"/>
    <cellStyle name="Normal 9 2 2 3 8" xfId="4882" xr:uid="{00000000-0005-0000-0000-0000EB1E0000}"/>
    <cellStyle name="Normal 9 2 2 4" xfId="519" xr:uid="{00000000-0005-0000-0000-0000EC1E0000}"/>
    <cellStyle name="Normal 9 2 2 4 2" xfId="986" xr:uid="{00000000-0005-0000-0000-0000ED1E0000}"/>
    <cellStyle name="Normal 9 2 2 4 2 2" xfId="3219" xr:uid="{00000000-0005-0000-0000-0000EE1E0000}"/>
    <cellStyle name="Normal 9 2 2 4 2 2 2" xfId="7442" xr:uid="{00000000-0005-0000-0000-0000EF1E0000}"/>
    <cellStyle name="Normal 9 2 2 4 2 3" xfId="5297" xr:uid="{00000000-0005-0000-0000-0000F01E0000}"/>
    <cellStyle name="Normal 9 2 2 4 3" xfId="1402" xr:uid="{00000000-0005-0000-0000-0000F11E0000}"/>
    <cellStyle name="Normal 9 2 2 4 3 2" xfId="3632" xr:uid="{00000000-0005-0000-0000-0000F21E0000}"/>
    <cellStyle name="Normal 9 2 2 4 3 2 2" xfId="7855" xr:uid="{00000000-0005-0000-0000-0000F31E0000}"/>
    <cellStyle name="Normal 9 2 2 4 3 3" xfId="5710" xr:uid="{00000000-0005-0000-0000-0000F41E0000}"/>
    <cellStyle name="Normal 9 2 2 4 4" xfId="1815" xr:uid="{00000000-0005-0000-0000-0000F51E0000}"/>
    <cellStyle name="Normal 9 2 2 4 4 2" xfId="4045" xr:uid="{00000000-0005-0000-0000-0000F61E0000}"/>
    <cellStyle name="Normal 9 2 2 4 4 2 2" xfId="8268" xr:uid="{00000000-0005-0000-0000-0000F71E0000}"/>
    <cellStyle name="Normal 9 2 2 4 4 3" xfId="6123" xr:uid="{00000000-0005-0000-0000-0000F81E0000}"/>
    <cellStyle name="Normal 9 2 2 4 5" xfId="2229" xr:uid="{00000000-0005-0000-0000-0000F91E0000}"/>
    <cellStyle name="Normal 9 2 2 4 5 2" xfId="4458" xr:uid="{00000000-0005-0000-0000-0000FA1E0000}"/>
    <cellStyle name="Normal 9 2 2 4 5 2 2" xfId="8681" xr:uid="{00000000-0005-0000-0000-0000FB1E0000}"/>
    <cellStyle name="Normal 9 2 2 4 5 3" xfId="6536" xr:uid="{00000000-0005-0000-0000-0000FC1E0000}"/>
    <cellStyle name="Normal 9 2 2 4 6" xfId="2665" xr:uid="{00000000-0005-0000-0000-0000FD1E0000}"/>
    <cellStyle name="Normal 9 2 2 4 6 2" xfId="6949" xr:uid="{00000000-0005-0000-0000-0000FE1E0000}"/>
    <cellStyle name="Normal 9 2 2 4 7" xfId="4884" xr:uid="{00000000-0005-0000-0000-0000FF1E0000}"/>
    <cellStyle name="Normal 9 2 2 5" xfId="979" xr:uid="{00000000-0005-0000-0000-0000001F0000}"/>
    <cellStyle name="Normal 9 2 2 5 2" xfId="3212" xr:uid="{00000000-0005-0000-0000-0000011F0000}"/>
    <cellStyle name="Normal 9 2 2 5 2 2" xfId="7435" xr:uid="{00000000-0005-0000-0000-0000021F0000}"/>
    <cellStyle name="Normal 9 2 2 5 3" xfId="5290" xr:uid="{00000000-0005-0000-0000-0000031F0000}"/>
    <cellStyle name="Normal 9 2 2 6" xfId="1395" xr:uid="{00000000-0005-0000-0000-0000041F0000}"/>
    <cellStyle name="Normal 9 2 2 6 2" xfId="3625" xr:uid="{00000000-0005-0000-0000-0000051F0000}"/>
    <cellStyle name="Normal 9 2 2 6 2 2" xfId="7848" xr:uid="{00000000-0005-0000-0000-0000061F0000}"/>
    <cellStyle name="Normal 9 2 2 6 3" xfId="5703" xr:uid="{00000000-0005-0000-0000-0000071F0000}"/>
    <cellStyle name="Normal 9 2 2 7" xfId="1808" xr:uid="{00000000-0005-0000-0000-0000081F0000}"/>
    <cellStyle name="Normal 9 2 2 7 2" xfId="4038" xr:uid="{00000000-0005-0000-0000-0000091F0000}"/>
    <cellStyle name="Normal 9 2 2 7 2 2" xfId="8261" xr:uid="{00000000-0005-0000-0000-00000A1F0000}"/>
    <cellStyle name="Normal 9 2 2 7 3" xfId="6116" xr:uid="{00000000-0005-0000-0000-00000B1F0000}"/>
    <cellStyle name="Normal 9 2 2 8" xfId="2222" xr:uid="{00000000-0005-0000-0000-00000C1F0000}"/>
    <cellStyle name="Normal 9 2 2 8 2" xfId="4451" xr:uid="{00000000-0005-0000-0000-00000D1F0000}"/>
    <cellStyle name="Normal 9 2 2 8 2 2" xfId="8674" xr:uid="{00000000-0005-0000-0000-00000E1F0000}"/>
    <cellStyle name="Normal 9 2 2 8 3" xfId="6529" xr:uid="{00000000-0005-0000-0000-00000F1F0000}"/>
    <cellStyle name="Normal 9 2 2 9" xfId="2658" xr:uid="{00000000-0005-0000-0000-0000101F0000}"/>
    <cellStyle name="Normal 9 2 2 9 2" xfId="6942" xr:uid="{00000000-0005-0000-0000-0000111F0000}"/>
    <cellStyle name="Normal 9 2 3" xfId="520" xr:uid="{00000000-0005-0000-0000-0000121F0000}"/>
    <cellStyle name="Normal 9 2 3 2" xfId="521" xr:uid="{00000000-0005-0000-0000-0000131F0000}"/>
    <cellStyle name="Normal 9 2 3 2 2" xfId="522" xr:uid="{00000000-0005-0000-0000-0000141F0000}"/>
    <cellStyle name="Normal 9 2 3 2 2 2" xfId="989" xr:uid="{00000000-0005-0000-0000-0000151F0000}"/>
    <cellStyle name="Normal 9 2 3 2 2 2 2" xfId="3222" xr:uid="{00000000-0005-0000-0000-0000161F0000}"/>
    <cellStyle name="Normal 9 2 3 2 2 2 2 2" xfId="7445" xr:uid="{00000000-0005-0000-0000-0000171F0000}"/>
    <cellStyle name="Normal 9 2 3 2 2 2 3" xfId="5300" xr:uid="{00000000-0005-0000-0000-0000181F0000}"/>
    <cellStyle name="Normal 9 2 3 2 2 3" xfId="1405" xr:uid="{00000000-0005-0000-0000-0000191F0000}"/>
    <cellStyle name="Normal 9 2 3 2 2 3 2" xfId="3635" xr:uid="{00000000-0005-0000-0000-00001A1F0000}"/>
    <cellStyle name="Normal 9 2 3 2 2 3 2 2" xfId="7858" xr:uid="{00000000-0005-0000-0000-00001B1F0000}"/>
    <cellStyle name="Normal 9 2 3 2 2 3 3" xfId="5713" xr:uid="{00000000-0005-0000-0000-00001C1F0000}"/>
    <cellStyle name="Normal 9 2 3 2 2 4" xfId="1818" xr:uid="{00000000-0005-0000-0000-00001D1F0000}"/>
    <cellStyle name="Normal 9 2 3 2 2 4 2" xfId="4048" xr:uid="{00000000-0005-0000-0000-00001E1F0000}"/>
    <cellStyle name="Normal 9 2 3 2 2 4 2 2" xfId="8271" xr:uid="{00000000-0005-0000-0000-00001F1F0000}"/>
    <cellStyle name="Normal 9 2 3 2 2 4 3" xfId="6126" xr:uid="{00000000-0005-0000-0000-0000201F0000}"/>
    <cellStyle name="Normal 9 2 3 2 2 5" xfId="2232" xr:uid="{00000000-0005-0000-0000-0000211F0000}"/>
    <cellStyle name="Normal 9 2 3 2 2 5 2" xfId="4461" xr:uid="{00000000-0005-0000-0000-0000221F0000}"/>
    <cellStyle name="Normal 9 2 3 2 2 5 2 2" xfId="8684" xr:uid="{00000000-0005-0000-0000-0000231F0000}"/>
    <cellStyle name="Normal 9 2 3 2 2 5 3" xfId="6539" xr:uid="{00000000-0005-0000-0000-0000241F0000}"/>
    <cellStyle name="Normal 9 2 3 2 2 6" xfId="2668" xr:uid="{00000000-0005-0000-0000-0000251F0000}"/>
    <cellStyle name="Normal 9 2 3 2 2 6 2" xfId="6952" xr:uid="{00000000-0005-0000-0000-0000261F0000}"/>
    <cellStyle name="Normal 9 2 3 2 2 7" xfId="4887" xr:uid="{00000000-0005-0000-0000-0000271F0000}"/>
    <cellStyle name="Normal 9 2 3 2 3" xfId="988" xr:uid="{00000000-0005-0000-0000-0000281F0000}"/>
    <cellStyle name="Normal 9 2 3 2 3 2" xfId="3221" xr:uid="{00000000-0005-0000-0000-0000291F0000}"/>
    <cellStyle name="Normal 9 2 3 2 3 2 2" xfId="7444" xr:uid="{00000000-0005-0000-0000-00002A1F0000}"/>
    <cellStyle name="Normal 9 2 3 2 3 3" xfId="5299" xr:uid="{00000000-0005-0000-0000-00002B1F0000}"/>
    <cellStyle name="Normal 9 2 3 2 4" xfId="1404" xr:uid="{00000000-0005-0000-0000-00002C1F0000}"/>
    <cellStyle name="Normal 9 2 3 2 4 2" xfId="3634" xr:uid="{00000000-0005-0000-0000-00002D1F0000}"/>
    <cellStyle name="Normal 9 2 3 2 4 2 2" xfId="7857" xr:uid="{00000000-0005-0000-0000-00002E1F0000}"/>
    <cellStyle name="Normal 9 2 3 2 4 3" xfId="5712" xr:uid="{00000000-0005-0000-0000-00002F1F0000}"/>
    <cellStyle name="Normal 9 2 3 2 5" xfId="1817" xr:uid="{00000000-0005-0000-0000-0000301F0000}"/>
    <cellStyle name="Normal 9 2 3 2 5 2" xfId="4047" xr:uid="{00000000-0005-0000-0000-0000311F0000}"/>
    <cellStyle name="Normal 9 2 3 2 5 2 2" xfId="8270" xr:uid="{00000000-0005-0000-0000-0000321F0000}"/>
    <cellStyle name="Normal 9 2 3 2 5 3" xfId="6125" xr:uid="{00000000-0005-0000-0000-0000331F0000}"/>
    <cellStyle name="Normal 9 2 3 2 6" xfId="2231" xr:uid="{00000000-0005-0000-0000-0000341F0000}"/>
    <cellStyle name="Normal 9 2 3 2 6 2" xfId="4460" xr:uid="{00000000-0005-0000-0000-0000351F0000}"/>
    <cellStyle name="Normal 9 2 3 2 6 2 2" xfId="8683" xr:uid="{00000000-0005-0000-0000-0000361F0000}"/>
    <cellStyle name="Normal 9 2 3 2 6 3" xfId="6538" xr:uid="{00000000-0005-0000-0000-0000371F0000}"/>
    <cellStyle name="Normal 9 2 3 2 7" xfId="2667" xr:uid="{00000000-0005-0000-0000-0000381F0000}"/>
    <cellStyle name="Normal 9 2 3 2 7 2" xfId="6951" xr:uid="{00000000-0005-0000-0000-0000391F0000}"/>
    <cellStyle name="Normal 9 2 3 2 8" xfId="4886" xr:uid="{00000000-0005-0000-0000-00003A1F0000}"/>
    <cellStyle name="Normal 9 2 3 3" xfId="523" xr:uid="{00000000-0005-0000-0000-00003B1F0000}"/>
    <cellStyle name="Normal 9 2 3 3 2" xfId="990" xr:uid="{00000000-0005-0000-0000-00003C1F0000}"/>
    <cellStyle name="Normal 9 2 3 3 2 2" xfId="3223" xr:uid="{00000000-0005-0000-0000-00003D1F0000}"/>
    <cellStyle name="Normal 9 2 3 3 2 2 2" xfId="7446" xr:uid="{00000000-0005-0000-0000-00003E1F0000}"/>
    <cellStyle name="Normal 9 2 3 3 2 3" xfId="5301" xr:uid="{00000000-0005-0000-0000-00003F1F0000}"/>
    <cellStyle name="Normal 9 2 3 3 3" xfId="1406" xr:uid="{00000000-0005-0000-0000-0000401F0000}"/>
    <cellStyle name="Normal 9 2 3 3 3 2" xfId="3636" xr:uid="{00000000-0005-0000-0000-0000411F0000}"/>
    <cellStyle name="Normal 9 2 3 3 3 2 2" xfId="7859" xr:uid="{00000000-0005-0000-0000-0000421F0000}"/>
    <cellStyle name="Normal 9 2 3 3 3 3" xfId="5714" xr:uid="{00000000-0005-0000-0000-0000431F0000}"/>
    <cellStyle name="Normal 9 2 3 3 4" xfId="1819" xr:uid="{00000000-0005-0000-0000-0000441F0000}"/>
    <cellStyle name="Normal 9 2 3 3 4 2" xfId="4049" xr:uid="{00000000-0005-0000-0000-0000451F0000}"/>
    <cellStyle name="Normal 9 2 3 3 4 2 2" xfId="8272" xr:uid="{00000000-0005-0000-0000-0000461F0000}"/>
    <cellStyle name="Normal 9 2 3 3 4 3" xfId="6127" xr:uid="{00000000-0005-0000-0000-0000471F0000}"/>
    <cellStyle name="Normal 9 2 3 3 5" xfId="2233" xr:uid="{00000000-0005-0000-0000-0000481F0000}"/>
    <cellStyle name="Normal 9 2 3 3 5 2" xfId="4462" xr:uid="{00000000-0005-0000-0000-0000491F0000}"/>
    <cellStyle name="Normal 9 2 3 3 5 2 2" xfId="8685" xr:uid="{00000000-0005-0000-0000-00004A1F0000}"/>
    <cellStyle name="Normal 9 2 3 3 5 3" xfId="6540" xr:uid="{00000000-0005-0000-0000-00004B1F0000}"/>
    <cellStyle name="Normal 9 2 3 3 6" xfId="2669" xr:uid="{00000000-0005-0000-0000-00004C1F0000}"/>
    <cellStyle name="Normal 9 2 3 3 6 2" xfId="6953" xr:uid="{00000000-0005-0000-0000-00004D1F0000}"/>
    <cellStyle name="Normal 9 2 3 3 7" xfId="4888" xr:uid="{00000000-0005-0000-0000-00004E1F0000}"/>
    <cellStyle name="Normal 9 2 3 4" xfId="987" xr:uid="{00000000-0005-0000-0000-00004F1F0000}"/>
    <cellStyle name="Normal 9 2 3 4 2" xfId="3220" xr:uid="{00000000-0005-0000-0000-0000501F0000}"/>
    <cellStyle name="Normal 9 2 3 4 2 2" xfId="7443" xr:uid="{00000000-0005-0000-0000-0000511F0000}"/>
    <cellStyle name="Normal 9 2 3 4 3" xfId="5298" xr:uid="{00000000-0005-0000-0000-0000521F0000}"/>
    <cellStyle name="Normal 9 2 3 5" xfId="1403" xr:uid="{00000000-0005-0000-0000-0000531F0000}"/>
    <cellStyle name="Normal 9 2 3 5 2" xfId="3633" xr:uid="{00000000-0005-0000-0000-0000541F0000}"/>
    <cellStyle name="Normal 9 2 3 5 2 2" xfId="7856" xr:uid="{00000000-0005-0000-0000-0000551F0000}"/>
    <cellStyle name="Normal 9 2 3 5 3" xfId="5711" xr:uid="{00000000-0005-0000-0000-0000561F0000}"/>
    <cellStyle name="Normal 9 2 3 6" xfId="1816" xr:uid="{00000000-0005-0000-0000-0000571F0000}"/>
    <cellStyle name="Normal 9 2 3 6 2" xfId="4046" xr:uid="{00000000-0005-0000-0000-0000581F0000}"/>
    <cellStyle name="Normal 9 2 3 6 2 2" xfId="8269" xr:uid="{00000000-0005-0000-0000-0000591F0000}"/>
    <cellStyle name="Normal 9 2 3 6 3" xfId="6124" xr:uid="{00000000-0005-0000-0000-00005A1F0000}"/>
    <cellStyle name="Normal 9 2 3 7" xfId="2230" xr:uid="{00000000-0005-0000-0000-00005B1F0000}"/>
    <cellStyle name="Normal 9 2 3 7 2" xfId="4459" xr:uid="{00000000-0005-0000-0000-00005C1F0000}"/>
    <cellStyle name="Normal 9 2 3 7 2 2" xfId="8682" xr:uid="{00000000-0005-0000-0000-00005D1F0000}"/>
    <cellStyle name="Normal 9 2 3 7 3" xfId="6537" xr:uid="{00000000-0005-0000-0000-00005E1F0000}"/>
    <cellStyle name="Normal 9 2 3 8" xfId="2666" xr:uid="{00000000-0005-0000-0000-00005F1F0000}"/>
    <cellStyle name="Normal 9 2 3 8 2" xfId="6950" xr:uid="{00000000-0005-0000-0000-0000601F0000}"/>
    <cellStyle name="Normal 9 2 3 9" xfId="4885" xr:uid="{00000000-0005-0000-0000-0000611F0000}"/>
    <cellStyle name="Normal 9 2 4" xfId="524" xr:uid="{00000000-0005-0000-0000-0000621F0000}"/>
    <cellStyle name="Normal 9 2 4 2" xfId="525" xr:uid="{00000000-0005-0000-0000-0000631F0000}"/>
    <cellStyle name="Normal 9 2 4 2 2" xfId="992" xr:uid="{00000000-0005-0000-0000-0000641F0000}"/>
    <cellStyle name="Normal 9 2 4 2 2 2" xfId="3225" xr:uid="{00000000-0005-0000-0000-0000651F0000}"/>
    <cellStyle name="Normal 9 2 4 2 2 2 2" xfId="7448" xr:uid="{00000000-0005-0000-0000-0000661F0000}"/>
    <cellStyle name="Normal 9 2 4 2 2 3" xfId="5303" xr:uid="{00000000-0005-0000-0000-0000671F0000}"/>
    <cellStyle name="Normal 9 2 4 2 3" xfId="1408" xr:uid="{00000000-0005-0000-0000-0000681F0000}"/>
    <cellStyle name="Normal 9 2 4 2 3 2" xfId="3638" xr:uid="{00000000-0005-0000-0000-0000691F0000}"/>
    <cellStyle name="Normal 9 2 4 2 3 2 2" xfId="7861" xr:uid="{00000000-0005-0000-0000-00006A1F0000}"/>
    <cellStyle name="Normal 9 2 4 2 3 3" xfId="5716" xr:uid="{00000000-0005-0000-0000-00006B1F0000}"/>
    <cellStyle name="Normal 9 2 4 2 4" xfId="1821" xr:uid="{00000000-0005-0000-0000-00006C1F0000}"/>
    <cellStyle name="Normal 9 2 4 2 4 2" xfId="4051" xr:uid="{00000000-0005-0000-0000-00006D1F0000}"/>
    <cellStyle name="Normal 9 2 4 2 4 2 2" xfId="8274" xr:uid="{00000000-0005-0000-0000-00006E1F0000}"/>
    <cellStyle name="Normal 9 2 4 2 4 3" xfId="6129" xr:uid="{00000000-0005-0000-0000-00006F1F0000}"/>
    <cellStyle name="Normal 9 2 4 2 5" xfId="2235" xr:uid="{00000000-0005-0000-0000-0000701F0000}"/>
    <cellStyle name="Normal 9 2 4 2 5 2" xfId="4464" xr:uid="{00000000-0005-0000-0000-0000711F0000}"/>
    <cellStyle name="Normal 9 2 4 2 5 2 2" xfId="8687" xr:uid="{00000000-0005-0000-0000-0000721F0000}"/>
    <cellStyle name="Normal 9 2 4 2 5 3" xfId="6542" xr:uid="{00000000-0005-0000-0000-0000731F0000}"/>
    <cellStyle name="Normal 9 2 4 2 6" xfId="2671" xr:uid="{00000000-0005-0000-0000-0000741F0000}"/>
    <cellStyle name="Normal 9 2 4 2 6 2" xfId="6955" xr:uid="{00000000-0005-0000-0000-0000751F0000}"/>
    <cellStyle name="Normal 9 2 4 2 7" xfId="4890" xr:uid="{00000000-0005-0000-0000-0000761F0000}"/>
    <cellStyle name="Normal 9 2 4 3" xfId="991" xr:uid="{00000000-0005-0000-0000-0000771F0000}"/>
    <cellStyle name="Normal 9 2 4 3 2" xfId="3224" xr:uid="{00000000-0005-0000-0000-0000781F0000}"/>
    <cellStyle name="Normal 9 2 4 3 2 2" xfId="7447" xr:uid="{00000000-0005-0000-0000-0000791F0000}"/>
    <cellStyle name="Normal 9 2 4 3 3" xfId="5302" xr:uid="{00000000-0005-0000-0000-00007A1F0000}"/>
    <cellStyle name="Normal 9 2 4 4" xfId="1407" xr:uid="{00000000-0005-0000-0000-00007B1F0000}"/>
    <cellStyle name="Normal 9 2 4 4 2" xfId="3637" xr:uid="{00000000-0005-0000-0000-00007C1F0000}"/>
    <cellStyle name="Normal 9 2 4 4 2 2" xfId="7860" xr:uid="{00000000-0005-0000-0000-00007D1F0000}"/>
    <cellStyle name="Normal 9 2 4 4 3" xfId="5715" xr:uid="{00000000-0005-0000-0000-00007E1F0000}"/>
    <cellStyle name="Normal 9 2 4 5" xfId="1820" xr:uid="{00000000-0005-0000-0000-00007F1F0000}"/>
    <cellStyle name="Normal 9 2 4 5 2" xfId="4050" xr:uid="{00000000-0005-0000-0000-0000801F0000}"/>
    <cellStyle name="Normal 9 2 4 5 2 2" xfId="8273" xr:uid="{00000000-0005-0000-0000-0000811F0000}"/>
    <cellStyle name="Normal 9 2 4 5 3" xfId="6128" xr:uid="{00000000-0005-0000-0000-0000821F0000}"/>
    <cellStyle name="Normal 9 2 4 6" xfId="2234" xr:uid="{00000000-0005-0000-0000-0000831F0000}"/>
    <cellStyle name="Normal 9 2 4 6 2" xfId="4463" xr:uid="{00000000-0005-0000-0000-0000841F0000}"/>
    <cellStyle name="Normal 9 2 4 6 2 2" xfId="8686" xr:uid="{00000000-0005-0000-0000-0000851F0000}"/>
    <cellStyle name="Normal 9 2 4 6 3" xfId="6541" xr:uid="{00000000-0005-0000-0000-0000861F0000}"/>
    <cellStyle name="Normal 9 2 4 7" xfId="2670" xr:uid="{00000000-0005-0000-0000-0000871F0000}"/>
    <cellStyle name="Normal 9 2 4 7 2" xfId="6954" xr:uid="{00000000-0005-0000-0000-0000881F0000}"/>
    <cellStyle name="Normal 9 2 4 8" xfId="4889" xr:uid="{00000000-0005-0000-0000-0000891F0000}"/>
    <cellStyle name="Normal 9 2 5" xfId="526" xr:uid="{00000000-0005-0000-0000-00008A1F0000}"/>
    <cellStyle name="Normal 9 2 5 2" xfId="993" xr:uid="{00000000-0005-0000-0000-00008B1F0000}"/>
    <cellStyle name="Normal 9 2 5 2 2" xfId="3226" xr:uid="{00000000-0005-0000-0000-00008C1F0000}"/>
    <cellStyle name="Normal 9 2 5 2 2 2" xfId="7449" xr:uid="{00000000-0005-0000-0000-00008D1F0000}"/>
    <cellStyle name="Normal 9 2 5 2 3" xfId="5304" xr:uid="{00000000-0005-0000-0000-00008E1F0000}"/>
    <cellStyle name="Normal 9 2 5 3" xfId="1409" xr:uid="{00000000-0005-0000-0000-00008F1F0000}"/>
    <cellStyle name="Normal 9 2 5 3 2" xfId="3639" xr:uid="{00000000-0005-0000-0000-0000901F0000}"/>
    <cellStyle name="Normal 9 2 5 3 2 2" xfId="7862" xr:uid="{00000000-0005-0000-0000-0000911F0000}"/>
    <cellStyle name="Normal 9 2 5 3 3" xfId="5717" xr:uid="{00000000-0005-0000-0000-0000921F0000}"/>
    <cellStyle name="Normal 9 2 5 4" xfId="1822" xr:uid="{00000000-0005-0000-0000-0000931F0000}"/>
    <cellStyle name="Normal 9 2 5 4 2" xfId="4052" xr:uid="{00000000-0005-0000-0000-0000941F0000}"/>
    <cellStyle name="Normal 9 2 5 4 2 2" xfId="8275" xr:uid="{00000000-0005-0000-0000-0000951F0000}"/>
    <cellStyle name="Normal 9 2 5 4 3" xfId="6130" xr:uid="{00000000-0005-0000-0000-0000961F0000}"/>
    <cellStyle name="Normal 9 2 5 5" xfId="2236" xr:uid="{00000000-0005-0000-0000-0000971F0000}"/>
    <cellStyle name="Normal 9 2 5 5 2" xfId="4465" xr:uid="{00000000-0005-0000-0000-0000981F0000}"/>
    <cellStyle name="Normal 9 2 5 5 2 2" xfId="8688" xr:uid="{00000000-0005-0000-0000-0000991F0000}"/>
    <cellStyle name="Normal 9 2 5 5 3" xfId="6543" xr:uid="{00000000-0005-0000-0000-00009A1F0000}"/>
    <cellStyle name="Normal 9 2 5 6" xfId="2672" xr:uid="{00000000-0005-0000-0000-00009B1F0000}"/>
    <cellStyle name="Normal 9 2 5 6 2" xfId="6956" xr:uid="{00000000-0005-0000-0000-00009C1F0000}"/>
    <cellStyle name="Normal 9 2 5 7" xfId="4891" xr:uid="{00000000-0005-0000-0000-00009D1F0000}"/>
    <cellStyle name="Normal 9 2 6" xfId="978" xr:uid="{00000000-0005-0000-0000-00009E1F0000}"/>
    <cellStyle name="Normal 9 2 6 2" xfId="3211" xr:uid="{00000000-0005-0000-0000-00009F1F0000}"/>
    <cellStyle name="Normal 9 2 6 2 2" xfId="7434" xr:uid="{00000000-0005-0000-0000-0000A01F0000}"/>
    <cellStyle name="Normal 9 2 6 3" xfId="5289" xr:uid="{00000000-0005-0000-0000-0000A11F0000}"/>
    <cellStyle name="Normal 9 2 7" xfId="1394" xr:uid="{00000000-0005-0000-0000-0000A21F0000}"/>
    <cellStyle name="Normal 9 2 7 2" xfId="3624" xr:uid="{00000000-0005-0000-0000-0000A31F0000}"/>
    <cellStyle name="Normal 9 2 7 2 2" xfId="7847" xr:uid="{00000000-0005-0000-0000-0000A41F0000}"/>
    <cellStyle name="Normal 9 2 7 3" xfId="5702" xr:uid="{00000000-0005-0000-0000-0000A51F0000}"/>
    <cellStyle name="Normal 9 2 8" xfId="1807" xr:uid="{00000000-0005-0000-0000-0000A61F0000}"/>
    <cellStyle name="Normal 9 2 8 2" xfId="4037" xr:uid="{00000000-0005-0000-0000-0000A71F0000}"/>
    <cellStyle name="Normal 9 2 8 2 2" xfId="8260" xr:uid="{00000000-0005-0000-0000-0000A81F0000}"/>
    <cellStyle name="Normal 9 2 8 3" xfId="6115" xr:uid="{00000000-0005-0000-0000-0000A91F0000}"/>
    <cellStyle name="Normal 9 2 9" xfId="2221" xr:uid="{00000000-0005-0000-0000-0000AA1F0000}"/>
    <cellStyle name="Normal 9 2 9 2" xfId="4450" xr:uid="{00000000-0005-0000-0000-0000AB1F0000}"/>
    <cellStyle name="Normal 9 2 9 2 2" xfId="8673" xr:uid="{00000000-0005-0000-0000-0000AC1F0000}"/>
    <cellStyle name="Normal 9 2 9 3" xfId="6528" xr:uid="{00000000-0005-0000-0000-0000AD1F0000}"/>
    <cellStyle name="Normal 9 3" xfId="527" xr:uid="{00000000-0005-0000-0000-0000AE1F0000}"/>
    <cellStyle name="Normal 9 3 10" xfId="4892" xr:uid="{00000000-0005-0000-0000-0000AF1F0000}"/>
    <cellStyle name="Normal 9 3 2" xfId="528" xr:uid="{00000000-0005-0000-0000-0000B01F0000}"/>
    <cellStyle name="Normal 9 3 2 2" xfId="529" xr:uid="{00000000-0005-0000-0000-0000B11F0000}"/>
    <cellStyle name="Normal 9 3 2 2 2" xfId="530" xr:uid="{00000000-0005-0000-0000-0000B21F0000}"/>
    <cellStyle name="Normal 9 3 2 2 2 2" xfId="997" xr:uid="{00000000-0005-0000-0000-0000B31F0000}"/>
    <cellStyle name="Normal 9 3 2 2 2 2 2" xfId="3230" xr:uid="{00000000-0005-0000-0000-0000B41F0000}"/>
    <cellStyle name="Normal 9 3 2 2 2 2 2 2" xfId="7453" xr:uid="{00000000-0005-0000-0000-0000B51F0000}"/>
    <cellStyle name="Normal 9 3 2 2 2 2 3" xfId="5308" xr:uid="{00000000-0005-0000-0000-0000B61F0000}"/>
    <cellStyle name="Normal 9 3 2 2 2 3" xfId="1413" xr:uid="{00000000-0005-0000-0000-0000B71F0000}"/>
    <cellStyle name="Normal 9 3 2 2 2 3 2" xfId="3643" xr:uid="{00000000-0005-0000-0000-0000B81F0000}"/>
    <cellStyle name="Normal 9 3 2 2 2 3 2 2" xfId="7866" xr:uid="{00000000-0005-0000-0000-0000B91F0000}"/>
    <cellStyle name="Normal 9 3 2 2 2 3 3" xfId="5721" xr:uid="{00000000-0005-0000-0000-0000BA1F0000}"/>
    <cellStyle name="Normal 9 3 2 2 2 4" xfId="1826" xr:uid="{00000000-0005-0000-0000-0000BB1F0000}"/>
    <cellStyle name="Normal 9 3 2 2 2 4 2" xfId="4056" xr:uid="{00000000-0005-0000-0000-0000BC1F0000}"/>
    <cellStyle name="Normal 9 3 2 2 2 4 2 2" xfId="8279" xr:uid="{00000000-0005-0000-0000-0000BD1F0000}"/>
    <cellStyle name="Normal 9 3 2 2 2 4 3" xfId="6134" xr:uid="{00000000-0005-0000-0000-0000BE1F0000}"/>
    <cellStyle name="Normal 9 3 2 2 2 5" xfId="2240" xr:uid="{00000000-0005-0000-0000-0000BF1F0000}"/>
    <cellStyle name="Normal 9 3 2 2 2 5 2" xfId="4469" xr:uid="{00000000-0005-0000-0000-0000C01F0000}"/>
    <cellStyle name="Normal 9 3 2 2 2 5 2 2" xfId="8692" xr:uid="{00000000-0005-0000-0000-0000C11F0000}"/>
    <cellStyle name="Normal 9 3 2 2 2 5 3" xfId="6547" xr:uid="{00000000-0005-0000-0000-0000C21F0000}"/>
    <cellStyle name="Normal 9 3 2 2 2 6" xfId="2676" xr:uid="{00000000-0005-0000-0000-0000C31F0000}"/>
    <cellStyle name="Normal 9 3 2 2 2 6 2" xfId="6960" xr:uid="{00000000-0005-0000-0000-0000C41F0000}"/>
    <cellStyle name="Normal 9 3 2 2 2 7" xfId="4895" xr:uid="{00000000-0005-0000-0000-0000C51F0000}"/>
    <cellStyle name="Normal 9 3 2 2 3" xfId="996" xr:uid="{00000000-0005-0000-0000-0000C61F0000}"/>
    <cellStyle name="Normal 9 3 2 2 3 2" xfId="3229" xr:uid="{00000000-0005-0000-0000-0000C71F0000}"/>
    <cellStyle name="Normal 9 3 2 2 3 2 2" xfId="7452" xr:uid="{00000000-0005-0000-0000-0000C81F0000}"/>
    <cellStyle name="Normal 9 3 2 2 3 3" xfId="5307" xr:uid="{00000000-0005-0000-0000-0000C91F0000}"/>
    <cellStyle name="Normal 9 3 2 2 4" xfId="1412" xr:uid="{00000000-0005-0000-0000-0000CA1F0000}"/>
    <cellStyle name="Normal 9 3 2 2 4 2" xfId="3642" xr:uid="{00000000-0005-0000-0000-0000CB1F0000}"/>
    <cellStyle name="Normal 9 3 2 2 4 2 2" xfId="7865" xr:uid="{00000000-0005-0000-0000-0000CC1F0000}"/>
    <cellStyle name="Normal 9 3 2 2 4 3" xfId="5720" xr:uid="{00000000-0005-0000-0000-0000CD1F0000}"/>
    <cellStyle name="Normal 9 3 2 2 5" xfId="1825" xr:uid="{00000000-0005-0000-0000-0000CE1F0000}"/>
    <cellStyle name="Normal 9 3 2 2 5 2" xfId="4055" xr:uid="{00000000-0005-0000-0000-0000CF1F0000}"/>
    <cellStyle name="Normal 9 3 2 2 5 2 2" xfId="8278" xr:uid="{00000000-0005-0000-0000-0000D01F0000}"/>
    <cellStyle name="Normal 9 3 2 2 5 3" xfId="6133" xr:uid="{00000000-0005-0000-0000-0000D11F0000}"/>
    <cellStyle name="Normal 9 3 2 2 6" xfId="2239" xr:uid="{00000000-0005-0000-0000-0000D21F0000}"/>
    <cellStyle name="Normal 9 3 2 2 6 2" xfId="4468" xr:uid="{00000000-0005-0000-0000-0000D31F0000}"/>
    <cellStyle name="Normal 9 3 2 2 6 2 2" xfId="8691" xr:uid="{00000000-0005-0000-0000-0000D41F0000}"/>
    <cellStyle name="Normal 9 3 2 2 6 3" xfId="6546" xr:uid="{00000000-0005-0000-0000-0000D51F0000}"/>
    <cellStyle name="Normal 9 3 2 2 7" xfId="2675" xr:uid="{00000000-0005-0000-0000-0000D61F0000}"/>
    <cellStyle name="Normal 9 3 2 2 7 2" xfId="6959" xr:uid="{00000000-0005-0000-0000-0000D71F0000}"/>
    <cellStyle name="Normal 9 3 2 2 8" xfId="4894" xr:uid="{00000000-0005-0000-0000-0000D81F0000}"/>
    <cellStyle name="Normal 9 3 2 3" xfId="531" xr:uid="{00000000-0005-0000-0000-0000D91F0000}"/>
    <cellStyle name="Normal 9 3 2 3 2" xfId="998" xr:uid="{00000000-0005-0000-0000-0000DA1F0000}"/>
    <cellStyle name="Normal 9 3 2 3 2 2" xfId="3231" xr:uid="{00000000-0005-0000-0000-0000DB1F0000}"/>
    <cellStyle name="Normal 9 3 2 3 2 2 2" xfId="7454" xr:uid="{00000000-0005-0000-0000-0000DC1F0000}"/>
    <cellStyle name="Normal 9 3 2 3 2 3" xfId="5309" xr:uid="{00000000-0005-0000-0000-0000DD1F0000}"/>
    <cellStyle name="Normal 9 3 2 3 3" xfId="1414" xr:uid="{00000000-0005-0000-0000-0000DE1F0000}"/>
    <cellStyle name="Normal 9 3 2 3 3 2" xfId="3644" xr:uid="{00000000-0005-0000-0000-0000DF1F0000}"/>
    <cellStyle name="Normal 9 3 2 3 3 2 2" xfId="7867" xr:uid="{00000000-0005-0000-0000-0000E01F0000}"/>
    <cellStyle name="Normal 9 3 2 3 3 3" xfId="5722" xr:uid="{00000000-0005-0000-0000-0000E11F0000}"/>
    <cellStyle name="Normal 9 3 2 3 4" xfId="1827" xr:uid="{00000000-0005-0000-0000-0000E21F0000}"/>
    <cellStyle name="Normal 9 3 2 3 4 2" xfId="4057" xr:uid="{00000000-0005-0000-0000-0000E31F0000}"/>
    <cellStyle name="Normal 9 3 2 3 4 2 2" xfId="8280" xr:uid="{00000000-0005-0000-0000-0000E41F0000}"/>
    <cellStyle name="Normal 9 3 2 3 4 3" xfId="6135" xr:uid="{00000000-0005-0000-0000-0000E51F0000}"/>
    <cellStyle name="Normal 9 3 2 3 5" xfId="2241" xr:uid="{00000000-0005-0000-0000-0000E61F0000}"/>
    <cellStyle name="Normal 9 3 2 3 5 2" xfId="4470" xr:uid="{00000000-0005-0000-0000-0000E71F0000}"/>
    <cellStyle name="Normal 9 3 2 3 5 2 2" xfId="8693" xr:uid="{00000000-0005-0000-0000-0000E81F0000}"/>
    <cellStyle name="Normal 9 3 2 3 5 3" xfId="6548" xr:uid="{00000000-0005-0000-0000-0000E91F0000}"/>
    <cellStyle name="Normal 9 3 2 3 6" xfId="2677" xr:uid="{00000000-0005-0000-0000-0000EA1F0000}"/>
    <cellStyle name="Normal 9 3 2 3 6 2" xfId="6961" xr:uid="{00000000-0005-0000-0000-0000EB1F0000}"/>
    <cellStyle name="Normal 9 3 2 3 7" xfId="4896" xr:uid="{00000000-0005-0000-0000-0000EC1F0000}"/>
    <cellStyle name="Normal 9 3 2 4" xfId="995" xr:uid="{00000000-0005-0000-0000-0000ED1F0000}"/>
    <cellStyle name="Normal 9 3 2 4 2" xfId="3228" xr:uid="{00000000-0005-0000-0000-0000EE1F0000}"/>
    <cellStyle name="Normal 9 3 2 4 2 2" xfId="7451" xr:uid="{00000000-0005-0000-0000-0000EF1F0000}"/>
    <cellStyle name="Normal 9 3 2 4 3" xfId="5306" xr:uid="{00000000-0005-0000-0000-0000F01F0000}"/>
    <cellStyle name="Normal 9 3 2 5" xfId="1411" xr:uid="{00000000-0005-0000-0000-0000F11F0000}"/>
    <cellStyle name="Normal 9 3 2 5 2" xfId="3641" xr:uid="{00000000-0005-0000-0000-0000F21F0000}"/>
    <cellStyle name="Normal 9 3 2 5 2 2" xfId="7864" xr:uid="{00000000-0005-0000-0000-0000F31F0000}"/>
    <cellStyle name="Normal 9 3 2 5 3" xfId="5719" xr:uid="{00000000-0005-0000-0000-0000F41F0000}"/>
    <cellStyle name="Normal 9 3 2 6" xfId="1824" xr:uid="{00000000-0005-0000-0000-0000F51F0000}"/>
    <cellStyle name="Normal 9 3 2 6 2" xfId="4054" xr:uid="{00000000-0005-0000-0000-0000F61F0000}"/>
    <cellStyle name="Normal 9 3 2 6 2 2" xfId="8277" xr:uid="{00000000-0005-0000-0000-0000F71F0000}"/>
    <cellStyle name="Normal 9 3 2 6 3" xfId="6132" xr:uid="{00000000-0005-0000-0000-0000F81F0000}"/>
    <cellStyle name="Normal 9 3 2 7" xfId="2238" xr:uid="{00000000-0005-0000-0000-0000F91F0000}"/>
    <cellStyle name="Normal 9 3 2 7 2" xfId="4467" xr:uid="{00000000-0005-0000-0000-0000FA1F0000}"/>
    <cellStyle name="Normal 9 3 2 7 2 2" xfId="8690" xr:uid="{00000000-0005-0000-0000-0000FB1F0000}"/>
    <cellStyle name="Normal 9 3 2 7 3" xfId="6545" xr:uid="{00000000-0005-0000-0000-0000FC1F0000}"/>
    <cellStyle name="Normal 9 3 2 8" xfId="2674" xr:uid="{00000000-0005-0000-0000-0000FD1F0000}"/>
    <cellStyle name="Normal 9 3 2 8 2" xfId="6958" xr:uid="{00000000-0005-0000-0000-0000FE1F0000}"/>
    <cellStyle name="Normal 9 3 2 9" xfId="4893" xr:uid="{00000000-0005-0000-0000-0000FF1F0000}"/>
    <cellStyle name="Normal 9 3 3" xfId="532" xr:uid="{00000000-0005-0000-0000-000000200000}"/>
    <cellStyle name="Normal 9 3 3 2" xfId="533" xr:uid="{00000000-0005-0000-0000-000001200000}"/>
    <cellStyle name="Normal 9 3 3 2 2" xfId="1000" xr:uid="{00000000-0005-0000-0000-000002200000}"/>
    <cellStyle name="Normal 9 3 3 2 2 2" xfId="3233" xr:uid="{00000000-0005-0000-0000-000003200000}"/>
    <cellStyle name="Normal 9 3 3 2 2 2 2" xfId="7456" xr:uid="{00000000-0005-0000-0000-000004200000}"/>
    <cellStyle name="Normal 9 3 3 2 2 3" xfId="5311" xr:uid="{00000000-0005-0000-0000-000005200000}"/>
    <cellStyle name="Normal 9 3 3 2 3" xfId="1416" xr:uid="{00000000-0005-0000-0000-000006200000}"/>
    <cellStyle name="Normal 9 3 3 2 3 2" xfId="3646" xr:uid="{00000000-0005-0000-0000-000007200000}"/>
    <cellStyle name="Normal 9 3 3 2 3 2 2" xfId="7869" xr:uid="{00000000-0005-0000-0000-000008200000}"/>
    <cellStyle name="Normal 9 3 3 2 3 3" xfId="5724" xr:uid="{00000000-0005-0000-0000-000009200000}"/>
    <cellStyle name="Normal 9 3 3 2 4" xfId="1829" xr:uid="{00000000-0005-0000-0000-00000A200000}"/>
    <cellStyle name="Normal 9 3 3 2 4 2" xfId="4059" xr:uid="{00000000-0005-0000-0000-00000B200000}"/>
    <cellStyle name="Normal 9 3 3 2 4 2 2" xfId="8282" xr:uid="{00000000-0005-0000-0000-00000C200000}"/>
    <cellStyle name="Normal 9 3 3 2 4 3" xfId="6137" xr:uid="{00000000-0005-0000-0000-00000D200000}"/>
    <cellStyle name="Normal 9 3 3 2 5" xfId="2243" xr:uid="{00000000-0005-0000-0000-00000E200000}"/>
    <cellStyle name="Normal 9 3 3 2 5 2" xfId="4472" xr:uid="{00000000-0005-0000-0000-00000F200000}"/>
    <cellStyle name="Normal 9 3 3 2 5 2 2" xfId="8695" xr:uid="{00000000-0005-0000-0000-000010200000}"/>
    <cellStyle name="Normal 9 3 3 2 5 3" xfId="6550" xr:uid="{00000000-0005-0000-0000-000011200000}"/>
    <cellStyle name="Normal 9 3 3 2 6" xfId="2679" xr:uid="{00000000-0005-0000-0000-000012200000}"/>
    <cellStyle name="Normal 9 3 3 2 6 2" xfId="6963" xr:uid="{00000000-0005-0000-0000-000013200000}"/>
    <cellStyle name="Normal 9 3 3 2 7" xfId="4898" xr:uid="{00000000-0005-0000-0000-000014200000}"/>
    <cellStyle name="Normal 9 3 3 3" xfId="999" xr:uid="{00000000-0005-0000-0000-000015200000}"/>
    <cellStyle name="Normal 9 3 3 3 2" xfId="3232" xr:uid="{00000000-0005-0000-0000-000016200000}"/>
    <cellStyle name="Normal 9 3 3 3 2 2" xfId="7455" xr:uid="{00000000-0005-0000-0000-000017200000}"/>
    <cellStyle name="Normal 9 3 3 3 3" xfId="5310" xr:uid="{00000000-0005-0000-0000-000018200000}"/>
    <cellStyle name="Normal 9 3 3 4" xfId="1415" xr:uid="{00000000-0005-0000-0000-000019200000}"/>
    <cellStyle name="Normal 9 3 3 4 2" xfId="3645" xr:uid="{00000000-0005-0000-0000-00001A200000}"/>
    <cellStyle name="Normal 9 3 3 4 2 2" xfId="7868" xr:uid="{00000000-0005-0000-0000-00001B200000}"/>
    <cellStyle name="Normal 9 3 3 4 3" xfId="5723" xr:uid="{00000000-0005-0000-0000-00001C200000}"/>
    <cellStyle name="Normal 9 3 3 5" xfId="1828" xr:uid="{00000000-0005-0000-0000-00001D200000}"/>
    <cellStyle name="Normal 9 3 3 5 2" xfId="4058" xr:uid="{00000000-0005-0000-0000-00001E200000}"/>
    <cellStyle name="Normal 9 3 3 5 2 2" xfId="8281" xr:uid="{00000000-0005-0000-0000-00001F200000}"/>
    <cellStyle name="Normal 9 3 3 5 3" xfId="6136" xr:uid="{00000000-0005-0000-0000-000020200000}"/>
    <cellStyle name="Normal 9 3 3 6" xfId="2242" xr:uid="{00000000-0005-0000-0000-000021200000}"/>
    <cellStyle name="Normal 9 3 3 6 2" xfId="4471" xr:uid="{00000000-0005-0000-0000-000022200000}"/>
    <cellStyle name="Normal 9 3 3 6 2 2" xfId="8694" xr:uid="{00000000-0005-0000-0000-000023200000}"/>
    <cellStyle name="Normal 9 3 3 6 3" xfId="6549" xr:uid="{00000000-0005-0000-0000-000024200000}"/>
    <cellStyle name="Normal 9 3 3 7" xfId="2678" xr:uid="{00000000-0005-0000-0000-000025200000}"/>
    <cellStyle name="Normal 9 3 3 7 2" xfId="6962" xr:uid="{00000000-0005-0000-0000-000026200000}"/>
    <cellStyle name="Normal 9 3 3 8" xfId="4897" xr:uid="{00000000-0005-0000-0000-000027200000}"/>
    <cellStyle name="Normal 9 3 4" xfId="534" xr:uid="{00000000-0005-0000-0000-000028200000}"/>
    <cellStyle name="Normal 9 3 4 2" xfId="1001" xr:uid="{00000000-0005-0000-0000-000029200000}"/>
    <cellStyle name="Normal 9 3 4 2 2" xfId="3234" xr:uid="{00000000-0005-0000-0000-00002A200000}"/>
    <cellStyle name="Normal 9 3 4 2 2 2" xfId="7457" xr:uid="{00000000-0005-0000-0000-00002B200000}"/>
    <cellStyle name="Normal 9 3 4 2 3" xfId="5312" xr:uid="{00000000-0005-0000-0000-00002C200000}"/>
    <cellStyle name="Normal 9 3 4 3" xfId="1417" xr:uid="{00000000-0005-0000-0000-00002D200000}"/>
    <cellStyle name="Normal 9 3 4 3 2" xfId="3647" xr:uid="{00000000-0005-0000-0000-00002E200000}"/>
    <cellStyle name="Normal 9 3 4 3 2 2" xfId="7870" xr:uid="{00000000-0005-0000-0000-00002F200000}"/>
    <cellStyle name="Normal 9 3 4 3 3" xfId="5725" xr:uid="{00000000-0005-0000-0000-000030200000}"/>
    <cellStyle name="Normal 9 3 4 4" xfId="1830" xr:uid="{00000000-0005-0000-0000-000031200000}"/>
    <cellStyle name="Normal 9 3 4 4 2" xfId="4060" xr:uid="{00000000-0005-0000-0000-000032200000}"/>
    <cellStyle name="Normal 9 3 4 4 2 2" xfId="8283" xr:uid="{00000000-0005-0000-0000-000033200000}"/>
    <cellStyle name="Normal 9 3 4 4 3" xfId="6138" xr:uid="{00000000-0005-0000-0000-000034200000}"/>
    <cellStyle name="Normal 9 3 4 5" xfId="2244" xr:uid="{00000000-0005-0000-0000-000035200000}"/>
    <cellStyle name="Normal 9 3 4 5 2" xfId="4473" xr:uid="{00000000-0005-0000-0000-000036200000}"/>
    <cellStyle name="Normal 9 3 4 5 2 2" xfId="8696" xr:uid="{00000000-0005-0000-0000-000037200000}"/>
    <cellStyle name="Normal 9 3 4 5 3" xfId="6551" xr:uid="{00000000-0005-0000-0000-000038200000}"/>
    <cellStyle name="Normal 9 3 4 6" xfId="2680" xr:uid="{00000000-0005-0000-0000-000039200000}"/>
    <cellStyle name="Normal 9 3 4 6 2" xfId="6964" xr:uid="{00000000-0005-0000-0000-00003A200000}"/>
    <cellStyle name="Normal 9 3 4 7" xfId="4899" xr:uid="{00000000-0005-0000-0000-00003B200000}"/>
    <cellStyle name="Normal 9 3 5" xfId="994" xr:uid="{00000000-0005-0000-0000-00003C200000}"/>
    <cellStyle name="Normal 9 3 5 2" xfId="3227" xr:uid="{00000000-0005-0000-0000-00003D200000}"/>
    <cellStyle name="Normal 9 3 5 2 2" xfId="7450" xr:uid="{00000000-0005-0000-0000-00003E200000}"/>
    <cellStyle name="Normal 9 3 5 3" xfId="5305" xr:uid="{00000000-0005-0000-0000-00003F200000}"/>
    <cellStyle name="Normal 9 3 6" xfId="1410" xr:uid="{00000000-0005-0000-0000-000040200000}"/>
    <cellStyle name="Normal 9 3 6 2" xfId="3640" xr:uid="{00000000-0005-0000-0000-000041200000}"/>
    <cellStyle name="Normal 9 3 6 2 2" xfId="7863" xr:uid="{00000000-0005-0000-0000-000042200000}"/>
    <cellStyle name="Normal 9 3 6 3" xfId="5718" xr:uid="{00000000-0005-0000-0000-000043200000}"/>
    <cellStyle name="Normal 9 3 7" xfId="1823" xr:uid="{00000000-0005-0000-0000-000044200000}"/>
    <cellStyle name="Normal 9 3 7 2" xfId="4053" xr:uid="{00000000-0005-0000-0000-000045200000}"/>
    <cellStyle name="Normal 9 3 7 2 2" xfId="8276" xr:uid="{00000000-0005-0000-0000-000046200000}"/>
    <cellStyle name="Normal 9 3 7 3" xfId="6131" xr:uid="{00000000-0005-0000-0000-000047200000}"/>
    <cellStyle name="Normal 9 3 8" xfId="2237" xr:uid="{00000000-0005-0000-0000-000048200000}"/>
    <cellStyle name="Normal 9 3 8 2" xfId="4466" xr:uid="{00000000-0005-0000-0000-000049200000}"/>
    <cellStyle name="Normal 9 3 8 2 2" xfId="8689" xr:uid="{00000000-0005-0000-0000-00004A200000}"/>
    <cellStyle name="Normal 9 3 8 3" xfId="6544" xr:uid="{00000000-0005-0000-0000-00004B200000}"/>
    <cellStyle name="Normal 9 3 9" xfId="2673" xr:uid="{00000000-0005-0000-0000-00004C200000}"/>
    <cellStyle name="Normal 9 3 9 2" xfId="6957" xr:uid="{00000000-0005-0000-0000-00004D200000}"/>
    <cellStyle name="Normal 9 4" xfId="535" xr:uid="{00000000-0005-0000-0000-00004E200000}"/>
    <cellStyle name="Normal 9 4 2" xfId="1002" xr:uid="{00000000-0005-0000-0000-00004F200000}"/>
    <cellStyle name="Normal 9 5" xfId="536" xr:uid="{00000000-0005-0000-0000-000050200000}"/>
    <cellStyle name="Normal 9 5 2" xfId="537" xr:uid="{00000000-0005-0000-0000-000051200000}"/>
    <cellStyle name="Normal 9 5 2 2" xfId="1004" xr:uid="{00000000-0005-0000-0000-000052200000}"/>
    <cellStyle name="Normal 9 5 2 2 2" xfId="3236" xr:uid="{00000000-0005-0000-0000-000053200000}"/>
    <cellStyle name="Normal 9 5 2 2 2 2" xfId="7459" xr:uid="{00000000-0005-0000-0000-000054200000}"/>
    <cellStyle name="Normal 9 5 2 2 3" xfId="5314" xr:uid="{00000000-0005-0000-0000-000055200000}"/>
    <cellStyle name="Normal 9 5 2 3" xfId="1419" xr:uid="{00000000-0005-0000-0000-000056200000}"/>
    <cellStyle name="Normal 9 5 2 3 2" xfId="3649" xr:uid="{00000000-0005-0000-0000-000057200000}"/>
    <cellStyle name="Normal 9 5 2 3 2 2" xfId="7872" xr:uid="{00000000-0005-0000-0000-000058200000}"/>
    <cellStyle name="Normal 9 5 2 3 3" xfId="5727" xr:uid="{00000000-0005-0000-0000-000059200000}"/>
    <cellStyle name="Normal 9 5 2 4" xfId="1832" xr:uid="{00000000-0005-0000-0000-00005A200000}"/>
    <cellStyle name="Normal 9 5 2 4 2" xfId="4062" xr:uid="{00000000-0005-0000-0000-00005B200000}"/>
    <cellStyle name="Normal 9 5 2 4 2 2" xfId="8285" xr:uid="{00000000-0005-0000-0000-00005C200000}"/>
    <cellStyle name="Normal 9 5 2 4 3" xfId="6140" xr:uid="{00000000-0005-0000-0000-00005D200000}"/>
    <cellStyle name="Normal 9 5 2 5" xfId="2246" xr:uid="{00000000-0005-0000-0000-00005E200000}"/>
    <cellStyle name="Normal 9 5 2 5 2" xfId="4475" xr:uid="{00000000-0005-0000-0000-00005F200000}"/>
    <cellStyle name="Normal 9 5 2 5 2 2" xfId="8698" xr:uid="{00000000-0005-0000-0000-000060200000}"/>
    <cellStyle name="Normal 9 5 2 5 3" xfId="6553" xr:uid="{00000000-0005-0000-0000-000061200000}"/>
    <cellStyle name="Normal 9 5 2 6" xfId="2682" xr:uid="{00000000-0005-0000-0000-000062200000}"/>
    <cellStyle name="Normal 9 5 2 6 2" xfId="6966" xr:uid="{00000000-0005-0000-0000-000063200000}"/>
    <cellStyle name="Normal 9 5 2 7" xfId="4901" xr:uid="{00000000-0005-0000-0000-000064200000}"/>
    <cellStyle name="Normal 9 5 3" xfId="1003" xr:uid="{00000000-0005-0000-0000-000065200000}"/>
    <cellStyle name="Normal 9 5 3 2" xfId="3235" xr:uid="{00000000-0005-0000-0000-000066200000}"/>
    <cellStyle name="Normal 9 5 3 2 2" xfId="7458" xr:uid="{00000000-0005-0000-0000-000067200000}"/>
    <cellStyle name="Normal 9 5 3 3" xfId="5313" xr:uid="{00000000-0005-0000-0000-000068200000}"/>
    <cellStyle name="Normal 9 5 4" xfId="1418" xr:uid="{00000000-0005-0000-0000-000069200000}"/>
    <cellStyle name="Normal 9 5 4 2" xfId="3648" xr:uid="{00000000-0005-0000-0000-00006A200000}"/>
    <cellStyle name="Normal 9 5 4 2 2" xfId="7871" xr:uid="{00000000-0005-0000-0000-00006B200000}"/>
    <cellStyle name="Normal 9 5 4 3" xfId="5726" xr:uid="{00000000-0005-0000-0000-00006C200000}"/>
    <cellStyle name="Normal 9 5 5" xfId="1831" xr:uid="{00000000-0005-0000-0000-00006D200000}"/>
    <cellStyle name="Normal 9 5 5 2" xfId="4061" xr:uid="{00000000-0005-0000-0000-00006E200000}"/>
    <cellStyle name="Normal 9 5 5 2 2" xfId="8284" xr:uid="{00000000-0005-0000-0000-00006F200000}"/>
    <cellStyle name="Normal 9 5 5 3" xfId="6139" xr:uid="{00000000-0005-0000-0000-000070200000}"/>
    <cellStyle name="Normal 9 5 6" xfId="2245" xr:uid="{00000000-0005-0000-0000-000071200000}"/>
    <cellStyle name="Normal 9 5 6 2" xfId="4474" xr:uid="{00000000-0005-0000-0000-000072200000}"/>
    <cellStyle name="Normal 9 5 6 2 2" xfId="8697" xr:uid="{00000000-0005-0000-0000-000073200000}"/>
    <cellStyle name="Normal 9 5 6 3" xfId="6552" xr:uid="{00000000-0005-0000-0000-000074200000}"/>
    <cellStyle name="Normal 9 5 7" xfId="2681" xr:uid="{00000000-0005-0000-0000-000075200000}"/>
    <cellStyle name="Normal 9 5 7 2" xfId="6965" xr:uid="{00000000-0005-0000-0000-000076200000}"/>
    <cellStyle name="Normal 9 5 8" xfId="4900" xr:uid="{00000000-0005-0000-0000-000077200000}"/>
    <cellStyle name="Normal 9 6" xfId="538" xr:uid="{00000000-0005-0000-0000-000078200000}"/>
    <cellStyle name="Normal 9 6 2" xfId="1005" xr:uid="{00000000-0005-0000-0000-000079200000}"/>
    <cellStyle name="Normal 9 6 2 2" xfId="3237" xr:uid="{00000000-0005-0000-0000-00007A200000}"/>
    <cellStyle name="Normal 9 6 2 2 2" xfId="7460" xr:uid="{00000000-0005-0000-0000-00007B200000}"/>
    <cellStyle name="Normal 9 6 2 3" xfId="5315" xr:uid="{00000000-0005-0000-0000-00007C200000}"/>
    <cellStyle name="Normal 9 6 3" xfId="1420" xr:uid="{00000000-0005-0000-0000-00007D200000}"/>
    <cellStyle name="Normal 9 6 3 2" xfId="3650" xr:uid="{00000000-0005-0000-0000-00007E200000}"/>
    <cellStyle name="Normal 9 6 3 2 2" xfId="7873" xr:uid="{00000000-0005-0000-0000-00007F200000}"/>
    <cellStyle name="Normal 9 6 3 3" xfId="5728" xr:uid="{00000000-0005-0000-0000-000080200000}"/>
    <cellStyle name="Normal 9 6 4" xfId="1833" xr:uid="{00000000-0005-0000-0000-000081200000}"/>
    <cellStyle name="Normal 9 6 4 2" xfId="4063" xr:uid="{00000000-0005-0000-0000-000082200000}"/>
    <cellStyle name="Normal 9 6 4 2 2" xfId="8286" xr:uid="{00000000-0005-0000-0000-000083200000}"/>
    <cellStyle name="Normal 9 6 4 3" xfId="6141" xr:uid="{00000000-0005-0000-0000-000084200000}"/>
    <cellStyle name="Normal 9 6 5" xfId="2247" xr:uid="{00000000-0005-0000-0000-000085200000}"/>
    <cellStyle name="Normal 9 6 5 2" xfId="4476" xr:uid="{00000000-0005-0000-0000-000086200000}"/>
    <cellStyle name="Normal 9 6 5 2 2" xfId="8699" xr:uid="{00000000-0005-0000-0000-000087200000}"/>
    <cellStyle name="Normal 9 6 5 3" xfId="6554" xr:uid="{00000000-0005-0000-0000-000088200000}"/>
    <cellStyle name="Normal 9 6 6" xfId="2683" xr:uid="{00000000-0005-0000-0000-000089200000}"/>
    <cellStyle name="Normal 9 6 6 2" xfId="6967" xr:uid="{00000000-0005-0000-0000-00008A200000}"/>
    <cellStyle name="Normal 9 6 7" xfId="4902" xr:uid="{00000000-0005-0000-0000-00008B200000}"/>
    <cellStyle name="Normal 9 7" xfId="977" xr:uid="{00000000-0005-0000-0000-00008C200000}"/>
    <cellStyle name="Normal_07-190 basis matrix" xfId="539" xr:uid="{00000000-0005-0000-0000-00008D200000}"/>
    <cellStyle name="Normal_07-190 basis matrix 2" xfId="540" xr:uid="{00000000-0005-0000-0000-00008E200000}"/>
    <cellStyle name="Normal_1" xfId="541" xr:uid="{00000000-0005-0000-0000-00008F200000}"/>
    <cellStyle name="Normal_100%RENTS" xfId="542" xr:uid="{00000000-0005-0000-0000-000090200000}"/>
    <cellStyle name="Normal_Contact  Development Universal Application 8-02" xfId="4503" xr:uid="{00000000-0005-0000-0000-000091200000}"/>
    <cellStyle name="Normal_CTCAC 9% Application 7-18-07 practice run 3" xfId="543" xr:uid="{00000000-0005-0000-0000-000092200000}"/>
    <cellStyle name="Normal_CTCAC 9% Application 7-18-07 practice run 3 2 2" xfId="4497" xr:uid="{00000000-0005-0000-0000-000093200000}"/>
    <cellStyle name="Normal_CTCAC 9% Application 7-18-07 practice run 3 3" xfId="1834" xr:uid="{00000000-0005-0000-0000-000094200000}"/>
    <cellStyle name="Note 2" xfId="544" xr:uid="{00000000-0005-0000-0000-000095200000}"/>
    <cellStyle name="Note 2 2" xfId="545" xr:uid="{00000000-0005-0000-0000-000096200000}"/>
    <cellStyle name="Note 2 2 10" xfId="2824" xr:uid="{00000000-0005-0000-0000-000097200000}"/>
    <cellStyle name="Note 2 2 10 2" xfId="7048" xr:uid="{00000000-0005-0000-0000-000098200000}"/>
    <cellStyle name="Note 2 2 11" xfId="4903" xr:uid="{00000000-0005-0000-0000-000099200000}"/>
    <cellStyle name="Note 2 2 2" xfId="546" xr:uid="{00000000-0005-0000-0000-00009A200000}"/>
    <cellStyle name="Note 2 2 2 10" xfId="4904" xr:uid="{00000000-0005-0000-0000-00009B200000}"/>
    <cellStyle name="Note 2 2 2 2" xfId="547" xr:uid="{00000000-0005-0000-0000-00009C200000}"/>
    <cellStyle name="Note 2 2 2 2 2" xfId="1008" xr:uid="{00000000-0005-0000-0000-00009D200000}"/>
    <cellStyle name="Note 2 2 2 2 2 2" xfId="3240" xr:uid="{00000000-0005-0000-0000-00009E200000}"/>
    <cellStyle name="Note 2 2 2 2 2 2 2" xfId="7463" xr:uid="{00000000-0005-0000-0000-00009F200000}"/>
    <cellStyle name="Note 2 2 2 2 2 3" xfId="5318" xr:uid="{00000000-0005-0000-0000-0000A0200000}"/>
    <cellStyle name="Note 2 2 2 2 3" xfId="1423" xr:uid="{00000000-0005-0000-0000-0000A1200000}"/>
    <cellStyle name="Note 2 2 2 2 3 2" xfId="3653" xr:uid="{00000000-0005-0000-0000-0000A2200000}"/>
    <cellStyle name="Note 2 2 2 2 3 2 2" xfId="7876" xr:uid="{00000000-0005-0000-0000-0000A3200000}"/>
    <cellStyle name="Note 2 2 2 2 3 3" xfId="5731" xr:uid="{00000000-0005-0000-0000-0000A4200000}"/>
    <cellStyle name="Note 2 2 2 2 4" xfId="1837" xr:uid="{00000000-0005-0000-0000-0000A5200000}"/>
    <cellStyle name="Note 2 2 2 2 4 2" xfId="4066" xr:uid="{00000000-0005-0000-0000-0000A6200000}"/>
    <cellStyle name="Note 2 2 2 2 4 2 2" xfId="8289" xr:uid="{00000000-0005-0000-0000-0000A7200000}"/>
    <cellStyle name="Note 2 2 2 2 4 3" xfId="6144" xr:uid="{00000000-0005-0000-0000-0000A8200000}"/>
    <cellStyle name="Note 2 2 2 2 5" xfId="2250" xr:uid="{00000000-0005-0000-0000-0000A9200000}"/>
    <cellStyle name="Note 2 2 2 2 5 2" xfId="4479" xr:uid="{00000000-0005-0000-0000-0000AA200000}"/>
    <cellStyle name="Note 2 2 2 2 5 2 2" xfId="8702" xr:uid="{00000000-0005-0000-0000-0000AB200000}"/>
    <cellStyle name="Note 2 2 2 2 5 3" xfId="6557" xr:uid="{00000000-0005-0000-0000-0000AC200000}"/>
    <cellStyle name="Note 2 2 2 2 6" xfId="2686" xr:uid="{00000000-0005-0000-0000-0000AD200000}"/>
    <cellStyle name="Note 2 2 2 2 6 2" xfId="6970" xr:uid="{00000000-0005-0000-0000-0000AE200000}"/>
    <cellStyle name="Note 2 2 2 2 7" xfId="2745" xr:uid="{00000000-0005-0000-0000-0000AF200000}"/>
    <cellStyle name="Note 2 2 2 2 8" xfId="2826" xr:uid="{00000000-0005-0000-0000-0000B0200000}"/>
    <cellStyle name="Note 2 2 2 2 8 2" xfId="7050" xr:uid="{00000000-0005-0000-0000-0000B1200000}"/>
    <cellStyle name="Note 2 2 2 2 9" xfId="4905" xr:uid="{00000000-0005-0000-0000-0000B2200000}"/>
    <cellStyle name="Note 2 2 2 3" xfId="1007" xr:uid="{00000000-0005-0000-0000-0000B3200000}"/>
    <cellStyle name="Note 2 2 2 3 2" xfId="3239" xr:uid="{00000000-0005-0000-0000-0000B4200000}"/>
    <cellStyle name="Note 2 2 2 3 2 2" xfId="7462" xr:uid="{00000000-0005-0000-0000-0000B5200000}"/>
    <cellStyle name="Note 2 2 2 3 3" xfId="5317" xr:uid="{00000000-0005-0000-0000-0000B6200000}"/>
    <cellStyle name="Note 2 2 2 4" xfId="1422" xr:uid="{00000000-0005-0000-0000-0000B7200000}"/>
    <cellStyle name="Note 2 2 2 4 2" xfId="3652" xr:uid="{00000000-0005-0000-0000-0000B8200000}"/>
    <cellStyle name="Note 2 2 2 4 2 2" xfId="7875" xr:uid="{00000000-0005-0000-0000-0000B9200000}"/>
    <cellStyle name="Note 2 2 2 4 3" xfId="5730" xr:uid="{00000000-0005-0000-0000-0000BA200000}"/>
    <cellStyle name="Note 2 2 2 5" xfId="1836" xr:uid="{00000000-0005-0000-0000-0000BB200000}"/>
    <cellStyle name="Note 2 2 2 5 2" xfId="4065" xr:uid="{00000000-0005-0000-0000-0000BC200000}"/>
    <cellStyle name="Note 2 2 2 5 2 2" xfId="8288" xr:uid="{00000000-0005-0000-0000-0000BD200000}"/>
    <cellStyle name="Note 2 2 2 5 3" xfId="6143" xr:uid="{00000000-0005-0000-0000-0000BE200000}"/>
    <cellStyle name="Note 2 2 2 6" xfId="2249" xr:uid="{00000000-0005-0000-0000-0000BF200000}"/>
    <cellStyle name="Note 2 2 2 6 2" xfId="4478" xr:uid="{00000000-0005-0000-0000-0000C0200000}"/>
    <cellStyle name="Note 2 2 2 6 2 2" xfId="8701" xr:uid="{00000000-0005-0000-0000-0000C1200000}"/>
    <cellStyle name="Note 2 2 2 6 3" xfId="6556" xr:uid="{00000000-0005-0000-0000-0000C2200000}"/>
    <cellStyle name="Note 2 2 2 7" xfId="2685" xr:uid="{00000000-0005-0000-0000-0000C3200000}"/>
    <cellStyle name="Note 2 2 2 7 2" xfId="6969" xr:uid="{00000000-0005-0000-0000-0000C4200000}"/>
    <cellStyle name="Note 2 2 2 8" xfId="2744" xr:uid="{00000000-0005-0000-0000-0000C5200000}"/>
    <cellStyle name="Note 2 2 2 9" xfId="2825" xr:uid="{00000000-0005-0000-0000-0000C6200000}"/>
    <cellStyle name="Note 2 2 2 9 2" xfId="7049" xr:uid="{00000000-0005-0000-0000-0000C7200000}"/>
    <cellStyle name="Note 2 2 3" xfId="548" xr:uid="{00000000-0005-0000-0000-0000C8200000}"/>
    <cellStyle name="Note 2 2 3 2" xfId="1009" xr:uid="{00000000-0005-0000-0000-0000C9200000}"/>
    <cellStyle name="Note 2 2 3 2 2" xfId="3241" xr:uid="{00000000-0005-0000-0000-0000CA200000}"/>
    <cellStyle name="Note 2 2 3 2 2 2" xfId="7464" xr:uid="{00000000-0005-0000-0000-0000CB200000}"/>
    <cellStyle name="Note 2 2 3 2 3" xfId="5319" xr:uid="{00000000-0005-0000-0000-0000CC200000}"/>
    <cellStyle name="Note 2 2 3 3" xfId="1424" xr:uid="{00000000-0005-0000-0000-0000CD200000}"/>
    <cellStyle name="Note 2 2 3 3 2" xfId="3654" xr:uid="{00000000-0005-0000-0000-0000CE200000}"/>
    <cellStyle name="Note 2 2 3 3 2 2" xfId="7877" xr:uid="{00000000-0005-0000-0000-0000CF200000}"/>
    <cellStyle name="Note 2 2 3 3 3" xfId="5732" xr:uid="{00000000-0005-0000-0000-0000D0200000}"/>
    <cellStyle name="Note 2 2 3 4" xfId="1838" xr:uid="{00000000-0005-0000-0000-0000D1200000}"/>
    <cellStyle name="Note 2 2 3 4 2" xfId="4067" xr:uid="{00000000-0005-0000-0000-0000D2200000}"/>
    <cellStyle name="Note 2 2 3 4 2 2" xfId="8290" xr:uid="{00000000-0005-0000-0000-0000D3200000}"/>
    <cellStyle name="Note 2 2 3 4 3" xfId="6145" xr:uid="{00000000-0005-0000-0000-0000D4200000}"/>
    <cellStyle name="Note 2 2 3 5" xfId="2251" xr:uid="{00000000-0005-0000-0000-0000D5200000}"/>
    <cellStyle name="Note 2 2 3 5 2" xfId="4480" xr:uid="{00000000-0005-0000-0000-0000D6200000}"/>
    <cellStyle name="Note 2 2 3 5 2 2" xfId="8703" xr:uid="{00000000-0005-0000-0000-0000D7200000}"/>
    <cellStyle name="Note 2 2 3 5 3" xfId="6558" xr:uid="{00000000-0005-0000-0000-0000D8200000}"/>
    <cellStyle name="Note 2 2 3 6" xfId="2687" xr:uid="{00000000-0005-0000-0000-0000D9200000}"/>
    <cellStyle name="Note 2 2 3 6 2" xfId="6971" xr:uid="{00000000-0005-0000-0000-0000DA200000}"/>
    <cellStyle name="Note 2 2 3 7" xfId="2746" xr:uid="{00000000-0005-0000-0000-0000DB200000}"/>
    <cellStyle name="Note 2 2 3 8" xfId="2827" xr:uid="{00000000-0005-0000-0000-0000DC200000}"/>
    <cellStyle name="Note 2 2 3 8 2" xfId="7051" xr:uid="{00000000-0005-0000-0000-0000DD200000}"/>
    <cellStyle name="Note 2 2 3 9" xfId="4906" xr:uid="{00000000-0005-0000-0000-0000DE200000}"/>
    <cellStyle name="Note 2 2 4" xfId="1006" xr:uid="{00000000-0005-0000-0000-0000DF200000}"/>
    <cellStyle name="Note 2 2 4 2" xfId="3238" xr:uid="{00000000-0005-0000-0000-0000E0200000}"/>
    <cellStyle name="Note 2 2 4 2 2" xfId="7461" xr:uid="{00000000-0005-0000-0000-0000E1200000}"/>
    <cellStyle name="Note 2 2 4 3" xfId="5316" xr:uid="{00000000-0005-0000-0000-0000E2200000}"/>
    <cellStyle name="Note 2 2 5" xfId="1421" xr:uid="{00000000-0005-0000-0000-0000E3200000}"/>
    <cellStyle name="Note 2 2 5 2" xfId="3651" xr:uid="{00000000-0005-0000-0000-0000E4200000}"/>
    <cellStyle name="Note 2 2 5 2 2" xfId="7874" xr:uid="{00000000-0005-0000-0000-0000E5200000}"/>
    <cellStyle name="Note 2 2 5 3" xfId="5729" xr:uid="{00000000-0005-0000-0000-0000E6200000}"/>
    <cellStyle name="Note 2 2 6" xfId="1835" xr:uid="{00000000-0005-0000-0000-0000E7200000}"/>
    <cellStyle name="Note 2 2 6 2" xfId="4064" xr:uid="{00000000-0005-0000-0000-0000E8200000}"/>
    <cellStyle name="Note 2 2 6 2 2" xfId="8287" xr:uid="{00000000-0005-0000-0000-0000E9200000}"/>
    <cellStyle name="Note 2 2 6 3" xfId="6142" xr:uid="{00000000-0005-0000-0000-0000EA200000}"/>
    <cellStyle name="Note 2 2 7" xfId="2248" xr:uid="{00000000-0005-0000-0000-0000EB200000}"/>
    <cellStyle name="Note 2 2 7 2" xfId="4477" xr:uid="{00000000-0005-0000-0000-0000EC200000}"/>
    <cellStyle name="Note 2 2 7 2 2" xfId="8700" xr:uid="{00000000-0005-0000-0000-0000ED200000}"/>
    <cellStyle name="Note 2 2 7 3" xfId="6555" xr:uid="{00000000-0005-0000-0000-0000EE200000}"/>
    <cellStyle name="Note 2 2 8" xfId="2684" xr:uid="{00000000-0005-0000-0000-0000EF200000}"/>
    <cellStyle name="Note 2 2 8 2" xfId="6968" xr:uid="{00000000-0005-0000-0000-0000F0200000}"/>
    <cellStyle name="Note 2 2 9" xfId="2743" xr:uid="{00000000-0005-0000-0000-0000F1200000}"/>
    <cellStyle name="Note 2 3" xfId="549" xr:uid="{00000000-0005-0000-0000-0000F2200000}"/>
    <cellStyle name="Note 2 3 10" xfId="4907" xr:uid="{00000000-0005-0000-0000-0000F3200000}"/>
    <cellStyle name="Note 2 3 2" xfId="550" xr:uid="{00000000-0005-0000-0000-0000F4200000}"/>
    <cellStyle name="Note 2 3 2 2" xfId="1011" xr:uid="{00000000-0005-0000-0000-0000F5200000}"/>
    <cellStyle name="Note 2 3 2 2 2" xfId="3243" xr:uid="{00000000-0005-0000-0000-0000F6200000}"/>
    <cellStyle name="Note 2 3 2 2 2 2" xfId="7466" xr:uid="{00000000-0005-0000-0000-0000F7200000}"/>
    <cellStyle name="Note 2 3 2 2 3" xfId="5321" xr:uid="{00000000-0005-0000-0000-0000F8200000}"/>
    <cellStyle name="Note 2 3 2 3" xfId="1426" xr:uid="{00000000-0005-0000-0000-0000F9200000}"/>
    <cellStyle name="Note 2 3 2 3 2" xfId="3656" xr:uid="{00000000-0005-0000-0000-0000FA200000}"/>
    <cellStyle name="Note 2 3 2 3 2 2" xfId="7879" xr:uid="{00000000-0005-0000-0000-0000FB200000}"/>
    <cellStyle name="Note 2 3 2 3 3" xfId="5734" xr:uid="{00000000-0005-0000-0000-0000FC200000}"/>
    <cellStyle name="Note 2 3 2 4" xfId="1840" xr:uid="{00000000-0005-0000-0000-0000FD200000}"/>
    <cellStyle name="Note 2 3 2 4 2" xfId="4069" xr:uid="{00000000-0005-0000-0000-0000FE200000}"/>
    <cellStyle name="Note 2 3 2 4 2 2" xfId="8292" xr:uid="{00000000-0005-0000-0000-0000FF200000}"/>
    <cellStyle name="Note 2 3 2 4 3" xfId="6147" xr:uid="{00000000-0005-0000-0000-000000210000}"/>
    <cellStyle name="Note 2 3 2 5" xfId="2253" xr:uid="{00000000-0005-0000-0000-000001210000}"/>
    <cellStyle name="Note 2 3 2 5 2" xfId="4482" xr:uid="{00000000-0005-0000-0000-000002210000}"/>
    <cellStyle name="Note 2 3 2 5 2 2" xfId="8705" xr:uid="{00000000-0005-0000-0000-000003210000}"/>
    <cellStyle name="Note 2 3 2 5 3" xfId="6560" xr:uid="{00000000-0005-0000-0000-000004210000}"/>
    <cellStyle name="Note 2 3 2 6" xfId="2689" xr:uid="{00000000-0005-0000-0000-000005210000}"/>
    <cellStyle name="Note 2 3 2 6 2" xfId="6973" xr:uid="{00000000-0005-0000-0000-000006210000}"/>
    <cellStyle name="Note 2 3 2 7" xfId="2748" xr:uid="{00000000-0005-0000-0000-000007210000}"/>
    <cellStyle name="Note 2 3 2 8" xfId="2829" xr:uid="{00000000-0005-0000-0000-000008210000}"/>
    <cellStyle name="Note 2 3 2 8 2" xfId="7053" xr:uid="{00000000-0005-0000-0000-000009210000}"/>
    <cellStyle name="Note 2 3 2 9" xfId="4908" xr:uid="{00000000-0005-0000-0000-00000A210000}"/>
    <cellStyle name="Note 2 3 3" xfId="1010" xr:uid="{00000000-0005-0000-0000-00000B210000}"/>
    <cellStyle name="Note 2 3 3 2" xfId="3242" xr:uid="{00000000-0005-0000-0000-00000C210000}"/>
    <cellStyle name="Note 2 3 3 2 2" xfId="7465" xr:uid="{00000000-0005-0000-0000-00000D210000}"/>
    <cellStyle name="Note 2 3 3 3" xfId="5320" xr:uid="{00000000-0005-0000-0000-00000E210000}"/>
    <cellStyle name="Note 2 3 4" xfId="1425" xr:uid="{00000000-0005-0000-0000-00000F210000}"/>
    <cellStyle name="Note 2 3 4 2" xfId="3655" xr:uid="{00000000-0005-0000-0000-000010210000}"/>
    <cellStyle name="Note 2 3 4 2 2" xfId="7878" xr:uid="{00000000-0005-0000-0000-000011210000}"/>
    <cellStyle name="Note 2 3 4 3" xfId="5733" xr:uid="{00000000-0005-0000-0000-000012210000}"/>
    <cellStyle name="Note 2 3 5" xfId="1839" xr:uid="{00000000-0005-0000-0000-000013210000}"/>
    <cellStyle name="Note 2 3 5 2" xfId="4068" xr:uid="{00000000-0005-0000-0000-000014210000}"/>
    <cellStyle name="Note 2 3 5 2 2" xfId="8291" xr:uid="{00000000-0005-0000-0000-000015210000}"/>
    <cellStyle name="Note 2 3 5 3" xfId="6146" xr:uid="{00000000-0005-0000-0000-000016210000}"/>
    <cellStyle name="Note 2 3 6" xfId="2252" xr:uid="{00000000-0005-0000-0000-000017210000}"/>
    <cellStyle name="Note 2 3 6 2" xfId="4481" xr:uid="{00000000-0005-0000-0000-000018210000}"/>
    <cellStyle name="Note 2 3 6 2 2" xfId="8704" xr:uid="{00000000-0005-0000-0000-000019210000}"/>
    <cellStyle name="Note 2 3 6 3" xfId="6559" xr:uid="{00000000-0005-0000-0000-00001A210000}"/>
    <cellStyle name="Note 2 3 7" xfId="2688" xr:uid="{00000000-0005-0000-0000-00001B210000}"/>
    <cellStyle name="Note 2 3 7 2" xfId="6972" xr:uid="{00000000-0005-0000-0000-00001C210000}"/>
    <cellStyle name="Note 2 3 8" xfId="2747" xr:uid="{00000000-0005-0000-0000-00001D210000}"/>
    <cellStyle name="Note 2 3 9" xfId="2828" xr:uid="{00000000-0005-0000-0000-00001E210000}"/>
    <cellStyle name="Note 2 3 9 2" xfId="7052" xr:uid="{00000000-0005-0000-0000-00001F210000}"/>
    <cellStyle name="Note 2 4" xfId="551" xr:uid="{00000000-0005-0000-0000-000020210000}"/>
    <cellStyle name="Note 2 4 2" xfId="1012" xr:uid="{00000000-0005-0000-0000-000021210000}"/>
    <cellStyle name="Note 2 4 2 2" xfId="3244" xr:uid="{00000000-0005-0000-0000-000022210000}"/>
    <cellStyle name="Note 2 4 2 2 2" xfId="7467" xr:uid="{00000000-0005-0000-0000-000023210000}"/>
    <cellStyle name="Note 2 4 2 3" xfId="5322" xr:uid="{00000000-0005-0000-0000-000024210000}"/>
    <cellStyle name="Note 2 4 3" xfId="1427" xr:uid="{00000000-0005-0000-0000-000025210000}"/>
    <cellStyle name="Note 2 4 3 2" xfId="3657" xr:uid="{00000000-0005-0000-0000-000026210000}"/>
    <cellStyle name="Note 2 4 3 2 2" xfId="7880" xr:uid="{00000000-0005-0000-0000-000027210000}"/>
    <cellStyle name="Note 2 4 3 3" xfId="5735" xr:uid="{00000000-0005-0000-0000-000028210000}"/>
    <cellStyle name="Note 2 4 4" xfId="1841" xr:uid="{00000000-0005-0000-0000-000029210000}"/>
    <cellStyle name="Note 2 4 4 2" xfId="4070" xr:uid="{00000000-0005-0000-0000-00002A210000}"/>
    <cellStyle name="Note 2 4 4 2 2" xfId="8293" xr:uid="{00000000-0005-0000-0000-00002B210000}"/>
    <cellStyle name="Note 2 4 4 3" xfId="6148" xr:uid="{00000000-0005-0000-0000-00002C210000}"/>
    <cellStyle name="Note 2 4 5" xfId="2254" xr:uid="{00000000-0005-0000-0000-00002D210000}"/>
    <cellStyle name="Note 2 4 5 2" xfId="4483" xr:uid="{00000000-0005-0000-0000-00002E210000}"/>
    <cellStyle name="Note 2 4 5 2 2" xfId="8706" xr:uid="{00000000-0005-0000-0000-00002F210000}"/>
    <cellStyle name="Note 2 4 5 3" xfId="6561" xr:uid="{00000000-0005-0000-0000-000030210000}"/>
    <cellStyle name="Note 2 4 6" xfId="2690" xr:uid="{00000000-0005-0000-0000-000031210000}"/>
    <cellStyle name="Note 2 4 6 2" xfId="6974" xr:uid="{00000000-0005-0000-0000-000032210000}"/>
    <cellStyle name="Note 2 4 7" xfId="2749" xr:uid="{00000000-0005-0000-0000-000033210000}"/>
    <cellStyle name="Note 2 4 8" xfId="2830" xr:uid="{00000000-0005-0000-0000-000034210000}"/>
    <cellStyle name="Note 2 4 8 2" xfId="7054" xr:uid="{00000000-0005-0000-0000-000035210000}"/>
    <cellStyle name="Note 2 4 9" xfId="4909" xr:uid="{00000000-0005-0000-0000-000036210000}"/>
    <cellStyle name="Note 2 5" xfId="552" xr:uid="{00000000-0005-0000-0000-000037210000}"/>
    <cellStyle name="Note 2 5 2" xfId="1013" xr:uid="{00000000-0005-0000-0000-000038210000}"/>
    <cellStyle name="Note 2 5 2 2" xfId="3245" xr:uid="{00000000-0005-0000-0000-000039210000}"/>
    <cellStyle name="Note 2 5 2 2 2" xfId="7468" xr:uid="{00000000-0005-0000-0000-00003A210000}"/>
    <cellStyle name="Note 2 5 2 3" xfId="5323" xr:uid="{00000000-0005-0000-0000-00003B210000}"/>
    <cellStyle name="Note 2 5 3" xfId="1428" xr:uid="{00000000-0005-0000-0000-00003C210000}"/>
    <cellStyle name="Note 2 5 3 2" xfId="3658" xr:uid="{00000000-0005-0000-0000-00003D210000}"/>
    <cellStyle name="Note 2 5 3 2 2" xfId="7881" xr:uid="{00000000-0005-0000-0000-00003E210000}"/>
    <cellStyle name="Note 2 5 3 3" xfId="5736" xr:uid="{00000000-0005-0000-0000-00003F210000}"/>
    <cellStyle name="Note 2 5 4" xfId="1842" xr:uid="{00000000-0005-0000-0000-000040210000}"/>
    <cellStyle name="Note 2 5 4 2" xfId="4071" xr:uid="{00000000-0005-0000-0000-000041210000}"/>
    <cellStyle name="Note 2 5 4 2 2" xfId="8294" xr:uid="{00000000-0005-0000-0000-000042210000}"/>
    <cellStyle name="Note 2 5 4 3" xfId="6149" xr:uid="{00000000-0005-0000-0000-000043210000}"/>
    <cellStyle name="Note 2 5 5" xfId="2255" xr:uid="{00000000-0005-0000-0000-000044210000}"/>
    <cellStyle name="Note 2 5 5 2" xfId="4484" xr:uid="{00000000-0005-0000-0000-000045210000}"/>
    <cellStyle name="Note 2 5 5 2 2" xfId="8707" xr:uid="{00000000-0005-0000-0000-000046210000}"/>
    <cellStyle name="Note 2 5 5 3" xfId="6562" xr:uid="{00000000-0005-0000-0000-000047210000}"/>
    <cellStyle name="Note 2 5 6" xfId="2691" xr:uid="{00000000-0005-0000-0000-000048210000}"/>
    <cellStyle name="Note 2 5 6 2" xfId="6975" xr:uid="{00000000-0005-0000-0000-000049210000}"/>
    <cellStyle name="Note 2 5 7" xfId="2750" xr:uid="{00000000-0005-0000-0000-00004A210000}"/>
    <cellStyle name="Note 2 5 8" xfId="2831" xr:uid="{00000000-0005-0000-0000-00004B210000}"/>
    <cellStyle name="Note 2 5 8 2" xfId="7055" xr:uid="{00000000-0005-0000-0000-00004C210000}"/>
    <cellStyle name="Note 2 5 9" xfId="4910" xr:uid="{00000000-0005-0000-0000-00004D210000}"/>
    <cellStyle name="Note 3" xfId="553" xr:uid="{00000000-0005-0000-0000-00004E210000}"/>
    <cellStyle name="Note 3 2" xfId="554" xr:uid="{00000000-0005-0000-0000-00004F210000}"/>
    <cellStyle name="Note 3 2 10" xfId="2832" xr:uid="{00000000-0005-0000-0000-000050210000}"/>
    <cellStyle name="Note 3 2 10 2" xfId="7056" xr:uid="{00000000-0005-0000-0000-000051210000}"/>
    <cellStyle name="Note 3 2 11" xfId="4911" xr:uid="{00000000-0005-0000-0000-000052210000}"/>
    <cellStyle name="Note 3 2 2" xfId="555" xr:uid="{00000000-0005-0000-0000-000053210000}"/>
    <cellStyle name="Note 3 2 2 10" xfId="4912" xr:uid="{00000000-0005-0000-0000-000054210000}"/>
    <cellStyle name="Note 3 2 2 2" xfId="556" xr:uid="{00000000-0005-0000-0000-000055210000}"/>
    <cellStyle name="Note 3 2 2 2 2" xfId="1016" xr:uid="{00000000-0005-0000-0000-000056210000}"/>
    <cellStyle name="Note 3 2 2 2 2 2" xfId="3248" xr:uid="{00000000-0005-0000-0000-000057210000}"/>
    <cellStyle name="Note 3 2 2 2 2 2 2" xfId="7471" xr:uid="{00000000-0005-0000-0000-000058210000}"/>
    <cellStyle name="Note 3 2 2 2 2 3" xfId="5326" xr:uid="{00000000-0005-0000-0000-000059210000}"/>
    <cellStyle name="Note 3 2 2 2 3" xfId="1431" xr:uid="{00000000-0005-0000-0000-00005A210000}"/>
    <cellStyle name="Note 3 2 2 2 3 2" xfId="3661" xr:uid="{00000000-0005-0000-0000-00005B210000}"/>
    <cellStyle name="Note 3 2 2 2 3 2 2" xfId="7884" xr:uid="{00000000-0005-0000-0000-00005C210000}"/>
    <cellStyle name="Note 3 2 2 2 3 3" xfId="5739" xr:uid="{00000000-0005-0000-0000-00005D210000}"/>
    <cellStyle name="Note 3 2 2 2 4" xfId="1845" xr:uid="{00000000-0005-0000-0000-00005E210000}"/>
    <cellStyle name="Note 3 2 2 2 4 2" xfId="4074" xr:uid="{00000000-0005-0000-0000-00005F210000}"/>
    <cellStyle name="Note 3 2 2 2 4 2 2" xfId="8297" xr:uid="{00000000-0005-0000-0000-000060210000}"/>
    <cellStyle name="Note 3 2 2 2 4 3" xfId="6152" xr:uid="{00000000-0005-0000-0000-000061210000}"/>
    <cellStyle name="Note 3 2 2 2 5" xfId="2258" xr:uid="{00000000-0005-0000-0000-000062210000}"/>
    <cellStyle name="Note 3 2 2 2 5 2" xfId="4487" xr:uid="{00000000-0005-0000-0000-000063210000}"/>
    <cellStyle name="Note 3 2 2 2 5 2 2" xfId="8710" xr:uid="{00000000-0005-0000-0000-000064210000}"/>
    <cellStyle name="Note 3 2 2 2 5 3" xfId="6565" xr:uid="{00000000-0005-0000-0000-000065210000}"/>
    <cellStyle name="Note 3 2 2 2 6" xfId="2694" xr:uid="{00000000-0005-0000-0000-000066210000}"/>
    <cellStyle name="Note 3 2 2 2 6 2" xfId="6978" xr:uid="{00000000-0005-0000-0000-000067210000}"/>
    <cellStyle name="Note 3 2 2 2 7" xfId="2753" xr:uid="{00000000-0005-0000-0000-000068210000}"/>
    <cellStyle name="Note 3 2 2 2 8" xfId="2834" xr:uid="{00000000-0005-0000-0000-000069210000}"/>
    <cellStyle name="Note 3 2 2 2 8 2" xfId="7058" xr:uid="{00000000-0005-0000-0000-00006A210000}"/>
    <cellStyle name="Note 3 2 2 2 9" xfId="4913" xr:uid="{00000000-0005-0000-0000-00006B210000}"/>
    <cellStyle name="Note 3 2 2 3" xfId="1015" xr:uid="{00000000-0005-0000-0000-00006C210000}"/>
    <cellStyle name="Note 3 2 2 3 2" xfId="3247" xr:uid="{00000000-0005-0000-0000-00006D210000}"/>
    <cellStyle name="Note 3 2 2 3 2 2" xfId="7470" xr:uid="{00000000-0005-0000-0000-00006E210000}"/>
    <cellStyle name="Note 3 2 2 3 3" xfId="5325" xr:uid="{00000000-0005-0000-0000-00006F210000}"/>
    <cellStyle name="Note 3 2 2 4" xfId="1430" xr:uid="{00000000-0005-0000-0000-000070210000}"/>
    <cellStyle name="Note 3 2 2 4 2" xfId="3660" xr:uid="{00000000-0005-0000-0000-000071210000}"/>
    <cellStyle name="Note 3 2 2 4 2 2" xfId="7883" xr:uid="{00000000-0005-0000-0000-000072210000}"/>
    <cellStyle name="Note 3 2 2 4 3" xfId="5738" xr:uid="{00000000-0005-0000-0000-000073210000}"/>
    <cellStyle name="Note 3 2 2 5" xfId="1844" xr:uid="{00000000-0005-0000-0000-000074210000}"/>
    <cellStyle name="Note 3 2 2 5 2" xfId="4073" xr:uid="{00000000-0005-0000-0000-000075210000}"/>
    <cellStyle name="Note 3 2 2 5 2 2" xfId="8296" xr:uid="{00000000-0005-0000-0000-000076210000}"/>
    <cellStyle name="Note 3 2 2 5 3" xfId="6151" xr:uid="{00000000-0005-0000-0000-000077210000}"/>
    <cellStyle name="Note 3 2 2 6" xfId="2257" xr:uid="{00000000-0005-0000-0000-000078210000}"/>
    <cellStyle name="Note 3 2 2 6 2" xfId="4486" xr:uid="{00000000-0005-0000-0000-000079210000}"/>
    <cellStyle name="Note 3 2 2 6 2 2" xfId="8709" xr:uid="{00000000-0005-0000-0000-00007A210000}"/>
    <cellStyle name="Note 3 2 2 6 3" xfId="6564" xr:uid="{00000000-0005-0000-0000-00007B210000}"/>
    <cellStyle name="Note 3 2 2 7" xfId="2693" xr:uid="{00000000-0005-0000-0000-00007C210000}"/>
    <cellStyle name="Note 3 2 2 7 2" xfId="6977" xr:uid="{00000000-0005-0000-0000-00007D210000}"/>
    <cellStyle name="Note 3 2 2 8" xfId="2752" xr:uid="{00000000-0005-0000-0000-00007E210000}"/>
    <cellStyle name="Note 3 2 2 9" xfId="2833" xr:uid="{00000000-0005-0000-0000-00007F210000}"/>
    <cellStyle name="Note 3 2 2 9 2" xfId="7057" xr:uid="{00000000-0005-0000-0000-000080210000}"/>
    <cellStyle name="Note 3 2 3" xfId="557" xr:uid="{00000000-0005-0000-0000-000081210000}"/>
    <cellStyle name="Note 3 2 3 2" xfId="1017" xr:uid="{00000000-0005-0000-0000-000082210000}"/>
    <cellStyle name="Note 3 2 3 2 2" xfId="3249" xr:uid="{00000000-0005-0000-0000-000083210000}"/>
    <cellStyle name="Note 3 2 3 2 2 2" xfId="7472" xr:uid="{00000000-0005-0000-0000-000084210000}"/>
    <cellStyle name="Note 3 2 3 2 3" xfId="5327" xr:uid="{00000000-0005-0000-0000-000085210000}"/>
    <cellStyle name="Note 3 2 3 3" xfId="1432" xr:uid="{00000000-0005-0000-0000-000086210000}"/>
    <cellStyle name="Note 3 2 3 3 2" xfId="3662" xr:uid="{00000000-0005-0000-0000-000087210000}"/>
    <cellStyle name="Note 3 2 3 3 2 2" xfId="7885" xr:uid="{00000000-0005-0000-0000-000088210000}"/>
    <cellStyle name="Note 3 2 3 3 3" xfId="5740" xr:uid="{00000000-0005-0000-0000-000089210000}"/>
    <cellStyle name="Note 3 2 3 4" xfId="1846" xr:uid="{00000000-0005-0000-0000-00008A210000}"/>
    <cellStyle name="Note 3 2 3 4 2" xfId="4075" xr:uid="{00000000-0005-0000-0000-00008B210000}"/>
    <cellStyle name="Note 3 2 3 4 2 2" xfId="8298" xr:uid="{00000000-0005-0000-0000-00008C210000}"/>
    <cellStyle name="Note 3 2 3 4 3" xfId="6153" xr:uid="{00000000-0005-0000-0000-00008D210000}"/>
    <cellStyle name="Note 3 2 3 5" xfId="2259" xr:uid="{00000000-0005-0000-0000-00008E210000}"/>
    <cellStyle name="Note 3 2 3 5 2" xfId="4488" xr:uid="{00000000-0005-0000-0000-00008F210000}"/>
    <cellStyle name="Note 3 2 3 5 2 2" xfId="8711" xr:uid="{00000000-0005-0000-0000-000090210000}"/>
    <cellStyle name="Note 3 2 3 5 3" xfId="6566" xr:uid="{00000000-0005-0000-0000-000091210000}"/>
    <cellStyle name="Note 3 2 3 6" xfId="2695" xr:uid="{00000000-0005-0000-0000-000092210000}"/>
    <cellStyle name="Note 3 2 3 6 2" xfId="6979" xr:uid="{00000000-0005-0000-0000-000093210000}"/>
    <cellStyle name="Note 3 2 3 7" xfId="2754" xr:uid="{00000000-0005-0000-0000-000094210000}"/>
    <cellStyle name="Note 3 2 3 8" xfId="2835" xr:uid="{00000000-0005-0000-0000-000095210000}"/>
    <cellStyle name="Note 3 2 3 8 2" xfId="7059" xr:uid="{00000000-0005-0000-0000-000096210000}"/>
    <cellStyle name="Note 3 2 3 9" xfId="4914" xr:uid="{00000000-0005-0000-0000-000097210000}"/>
    <cellStyle name="Note 3 2 4" xfId="1014" xr:uid="{00000000-0005-0000-0000-000098210000}"/>
    <cellStyle name="Note 3 2 4 2" xfId="3246" xr:uid="{00000000-0005-0000-0000-000099210000}"/>
    <cellStyle name="Note 3 2 4 2 2" xfId="7469" xr:uid="{00000000-0005-0000-0000-00009A210000}"/>
    <cellStyle name="Note 3 2 4 3" xfId="5324" xr:uid="{00000000-0005-0000-0000-00009B210000}"/>
    <cellStyle name="Note 3 2 5" xfId="1429" xr:uid="{00000000-0005-0000-0000-00009C210000}"/>
    <cellStyle name="Note 3 2 5 2" xfId="3659" xr:uid="{00000000-0005-0000-0000-00009D210000}"/>
    <cellStyle name="Note 3 2 5 2 2" xfId="7882" xr:uid="{00000000-0005-0000-0000-00009E210000}"/>
    <cellStyle name="Note 3 2 5 3" xfId="5737" xr:uid="{00000000-0005-0000-0000-00009F210000}"/>
    <cellStyle name="Note 3 2 6" xfId="1843" xr:uid="{00000000-0005-0000-0000-0000A0210000}"/>
    <cellStyle name="Note 3 2 6 2" xfId="4072" xr:uid="{00000000-0005-0000-0000-0000A1210000}"/>
    <cellStyle name="Note 3 2 6 2 2" xfId="8295" xr:uid="{00000000-0005-0000-0000-0000A2210000}"/>
    <cellStyle name="Note 3 2 6 3" xfId="6150" xr:uid="{00000000-0005-0000-0000-0000A3210000}"/>
    <cellStyle name="Note 3 2 7" xfId="2256" xr:uid="{00000000-0005-0000-0000-0000A4210000}"/>
    <cellStyle name="Note 3 2 7 2" xfId="4485" xr:uid="{00000000-0005-0000-0000-0000A5210000}"/>
    <cellStyle name="Note 3 2 7 2 2" xfId="8708" xr:uid="{00000000-0005-0000-0000-0000A6210000}"/>
    <cellStyle name="Note 3 2 7 3" xfId="6563" xr:uid="{00000000-0005-0000-0000-0000A7210000}"/>
    <cellStyle name="Note 3 2 8" xfId="2692" xr:uid="{00000000-0005-0000-0000-0000A8210000}"/>
    <cellStyle name="Note 3 2 8 2" xfId="6976" xr:uid="{00000000-0005-0000-0000-0000A9210000}"/>
    <cellStyle name="Note 3 2 9" xfId="2751" xr:uid="{00000000-0005-0000-0000-0000AA210000}"/>
    <cellStyle name="Note 3 3" xfId="558" xr:uid="{00000000-0005-0000-0000-0000AB210000}"/>
    <cellStyle name="Note 3 3 10" xfId="4915" xr:uid="{00000000-0005-0000-0000-0000AC210000}"/>
    <cellStyle name="Note 3 3 2" xfId="559" xr:uid="{00000000-0005-0000-0000-0000AD210000}"/>
    <cellStyle name="Note 3 3 2 2" xfId="1019" xr:uid="{00000000-0005-0000-0000-0000AE210000}"/>
    <cellStyle name="Note 3 3 2 2 2" xfId="3251" xr:uid="{00000000-0005-0000-0000-0000AF210000}"/>
    <cellStyle name="Note 3 3 2 2 2 2" xfId="7474" xr:uid="{00000000-0005-0000-0000-0000B0210000}"/>
    <cellStyle name="Note 3 3 2 2 3" xfId="5329" xr:uid="{00000000-0005-0000-0000-0000B1210000}"/>
    <cellStyle name="Note 3 3 2 3" xfId="1434" xr:uid="{00000000-0005-0000-0000-0000B2210000}"/>
    <cellStyle name="Note 3 3 2 3 2" xfId="3664" xr:uid="{00000000-0005-0000-0000-0000B3210000}"/>
    <cellStyle name="Note 3 3 2 3 2 2" xfId="7887" xr:uid="{00000000-0005-0000-0000-0000B4210000}"/>
    <cellStyle name="Note 3 3 2 3 3" xfId="5742" xr:uid="{00000000-0005-0000-0000-0000B5210000}"/>
    <cellStyle name="Note 3 3 2 4" xfId="1848" xr:uid="{00000000-0005-0000-0000-0000B6210000}"/>
    <cellStyle name="Note 3 3 2 4 2" xfId="4077" xr:uid="{00000000-0005-0000-0000-0000B7210000}"/>
    <cellStyle name="Note 3 3 2 4 2 2" xfId="8300" xr:uid="{00000000-0005-0000-0000-0000B8210000}"/>
    <cellStyle name="Note 3 3 2 4 3" xfId="6155" xr:uid="{00000000-0005-0000-0000-0000B9210000}"/>
    <cellStyle name="Note 3 3 2 5" xfId="2261" xr:uid="{00000000-0005-0000-0000-0000BA210000}"/>
    <cellStyle name="Note 3 3 2 5 2" xfId="4490" xr:uid="{00000000-0005-0000-0000-0000BB210000}"/>
    <cellStyle name="Note 3 3 2 5 2 2" xfId="8713" xr:uid="{00000000-0005-0000-0000-0000BC210000}"/>
    <cellStyle name="Note 3 3 2 5 3" xfId="6568" xr:uid="{00000000-0005-0000-0000-0000BD210000}"/>
    <cellStyle name="Note 3 3 2 6" xfId="2697" xr:uid="{00000000-0005-0000-0000-0000BE210000}"/>
    <cellStyle name="Note 3 3 2 6 2" xfId="6981" xr:uid="{00000000-0005-0000-0000-0000BF210000}"/>
    <cellStyle name="Note 3 3 2 7" xfId="2756" xr:uid="{00000000-0005-0000-0000-0000C0210000}"/>
    <cellStyle name="Note 3 3 2 8" xfId="2837" xr:uid="{00000000-0005-0000-0000-0000C1210000}"/>
    <cellStyle name="Note 3 3 2 8 2" xfId="7061" xr:uid="{00000000-0005-0000-0000-0000C2210000}"/>
    <cellStyle name="Note 3 3 2 9" xfId="4916" xr:uid="{00000000-0005-0000-0000-0000C3210000}"/>
    <cellStyle name="Note 3 3 3" xfId="1018" xr:uid="{00000000-0005-0000-0000-0000C4210000}"/>
    <cellStyle name="Note 3 3 3 2" xfId="3250" xr:uid="{00000000-0005-0000-0000-0000C5210000}"/>
    <cellStyle name="Note 3 3 3 2 2" xfId="7473" xr:uid="{00000000-0005-0000-0000-0000C6210000}"/>
    <cellStyle name="Note 3 3 3 3" xfId="5328" xr:uid="{00000000-0005-0000-0000-0000C7210000}"/>
    <cellStyle name="Note 3 3 4" xfId="1433" xr:uid="{00000000-0005-0000-0000-0000C8210000}"/>
    <cellStyle name="Note 3 3 4 2" xfId="3663" xr:uid="{00000000-0005-0000-0000-0000C9210000}"/>
    <cellStyle name="Note 3 3 4 2 2" xfId="7886" xr:uid="{00000000-0005-0000-0000-0000CA210000}"/>
    <cellStyle name="Note 3 3 4 3" xfId="5741" xr:uid="{00000000-0005-0000-0000-0000CB210000}"/>
    <cellStyle name="Note 3 3 5" xfId="1847" xr:uid="{00000000-0005-0000-0000-0000CC210000}"/>
    <cellStyle name="Note 3 3 5 2" xfId="4076" xr:uid="{00000000-0005-0000-0000-0000CD210000}"/>
    <cellStyle name="Note 3 3 5 2 2" xfId="8299" xr:uid="{00000000-0005-0000-0000-0000CE210000}"/>
    <cellStyle name="Note 3 3 5 3" xfId="6154" xr:uid="{00000000-0005-0000-0000-0000CF210000}"/>
    <cellStyle name="Note 3 3 6" xfId="2260" xr:uid="{00000000-0005-0000-0000-0000D0210000}"/>
    <cellStyle name="Note 3 3 6 2" xfId="4489" xr:uid="{00000000-0005-0000-0000-0000D1210000}"/>
    <cellStyle name="Note 3 3 6 2 2" xfId="8712" xr:uid="{00000000-0005-0000-0000-0000D2210000}"/>
    <cellStyle name="Note 3 3 6 3" xfId="6567" xr:uid="{00000000-0005-0000-0000-0000D3210000}"/>
    <cellStyle name="Note 3 3 7" xfId="2696" xr:uid="{00000000-0005-0000-0000-0000D4210000}"/>
    <cellStyle name="Note 3 3 7 2" xfId="6980" xr:uid="{00000000-0005-0000-0000-0000D5210000}"/>
    <cellStyle name="Note 3 3 8" xfId="2755" xr:uid="{00000000-0005-0000-0000-0000D6210000}"/>
    <cellStyle name="Note 3 3 9" xfId="2836" xr:uid="{00000000-0005-0000-0000-0000D7210000}"/>
    <cellStyle name="Note 3 3 9 2" xfId="7060" xr:uid="{00000000-0005-0000-0000-0000D8210000}"/>
    <cellStyle name="Note 3 4" xfId="560" xr:uid="{00000000-0005-0000-0000-0000D9210000}"/>
    <cellStyle name="Note 3 4 2" xfId="1020" xr:uid="{00000000-0005-0000-0000-0000DA210000}"/>
    <cellStyle name="Note 3 4 2 2" xfId="3252" xr:uid="{00000000-0005-0000-0000-0000DB210000}"/>
    <cellStyle name="Note 3 4 2 2 2" xfId="7475" xr:uid="{00000000-0005-0000-0000-0000DC210000}"/>
    <cellStyle name="Note 3 4 2 3" xfId="5330" xr:uid="{00000000-0005-0000-0000-0000DD210000}"/>
    <cellStyle name="Note 3 4 3" xfId="1435" xr:uid="{00000000-0005-0000-0000-0000DE210000}"/>
    <cellStyle name="Note 3 4 3 2" xfId="3665" xr:uid="{00000000-0005-0000-0000-0000DF210000}"/>
    <cellStyle name="Note 3 4 3 2 2" xfId="7888" xr:uid="{00000000-0005-0000-0000-0000E0210000}"/>
    <cellStyle name="Note 3 4 3 3" xfId="5743" xr:uid="{00000000-0005-0000-0000-0000E1210000}"/>
    <cellStyle name="Note 3 4 4" xfId="1849" xr:uid="{00000000-0005-0000-0000-0000E2210000}"/>
    <cellStyle name="Note 3 4 4 2" xfId="4078" xr:uid="{00000000-0005-0000-0000-0000E3210000}"/>
    <cellStyle name="Note 3 4 4 2 2" xfId="8301" xr:uid="{00000000-0005-0000-0000-0000E4210000}"/>
    <cellStyle name="Note 3 4 4 3" xfId="6156" xr:uid="{00000000-0005-0000-0000-0000E5210000}"/>
    <cellStyle name="Note 3 4 5" xfId="2262" xr:uid="{00000000-0005-0000-0000-0000E6210000}"/>
    <cellStyle name="Note 3 4 5 2" xfId="4491" xr:uid="{00000000-0005-0000-0000-0000E7210000}"/>
    <cellStyle name="Note 3 4 5 2 2" xfId="8714" xr:uid="{00000000-0005-0000-0000-0000E8210000}"/>
    <cellStyle name="Note 3 4 5 3" xfId="6569" xr:uid="{00000000-0005-0000-0000-0000E9210000}"/>
    <cellStyle name="Note 3 4 6" xfId="2698" xr:uid="{00000000-0005-0000-0000-0000EA210000}"/>
    <cellStyle name="Note 3 4 6 2" xfId="6982" xr:uid="{00000000-0005-0000-0000-0000EB210000}"/>
    <cellStyle name="Note 3 4 7" xfId="2757" xr:uid="{00000000-0005-0000-0000-0000EC210000}"/>
    <cellStyle name="Note 3 4 8" xfId="2838" xr:uid="{00000000-0005-0000-0000-0000ED210000}"/>
    <cellStyle name="Note 3 4 8 2" xfId="7062" xr:uid="{00000000-0005-0000-0000-0000EE210000}"/>
    <cellStyle name="Note 3 4 9" xfId="4917" xr:uid="{00000000-0005-0000-0000-0000EF210000}"/>
    <cellStyle name="Note 3 5" xfId="561" xr:uid="{00000000-0005-0000-0000-0000F0210000}"/>
    <cellStyle name="Note 3 5 2" xfId="1021" xr:uid="{00000000-0005-0000-0000-0000F1210000}"/>
    <cellStyle name="Note 3 5 2 2" xfId="3253" xr:uid="{00000000-0005-0000-0000-0000F2210000}"/>
    <cellStyle name="Note 3 5 2 2 2" xfId="7476" xr:uid="{00000000-0005-0000-0000-0000F3210000}"/>
    <cellStyle name="Note 3 5 2 3" xfId="5331" xr:uid="{00000000-0005-0000-0000-0000F4210000}"/>
    <cellStyle name="Note 3 5 3" xfId="1436" xr:uid="{00000000-0005-0000-0000-0000F5210000}"/>
    <cellStyle name="Note 3 5 3 2" xfId="3666" xr:uid="{00000000-0005-0000-0000-0000F6210000}"/>
    <cellStyle name="Note 3 5 3 2 2" xfId="7889" xr:uid="{00000000-0005-0000-0000-0000F7210000}"/>
    <cellStyle name="Note 3 5 3 3" xfId="5744" xr:uid="{00000000-0005-0000-0000-0000F8210000}"/>
    <cellStyle name="Note 3 5 4" xfId="1850" xr:uid="{00000000-0005-0000-0000-0000F9210000}"/>
    <cellStyle name="Note 3 5 4 2" xfId="4079" xr:uid="{00000000-0005-0000-0000-0000FA210000}"/>
    <cellStyle name="Note 3 5 4 2 2" xfId="8302" xr:uid="{00000000-0005-0000-0000-0000FB210000}"/>
    <cellStyle name="Note 3 5 4 3" xfId="6157" xr:uid="{00000000-0005-0000-0000-0000FC210000}"/>
    <cellStyle name="Note 3 5 5" xfId="2263" xr:uid="{00000000-0005-0000-0000-0000FD210000}"/>
    <cellStyle name="Note 3 5 5 2" xfId="4492" xr:uid="{00000000-0005-0000-0000-0000FE210000}"/>
    <cellStyle name="Note 3 5 5 2 2" xfId="8715" xr:uid="{00000000-0005-0000-0000-0000FF210000}"/>
    <cellStyle name="Note 3 5 5 3" xfId="6570" xr:uid="{00000000-0005-0000-0000-000000220000}"/>
    <cellStyle name="Note 3 5 6" xfId="2699" xr:uid="{00000000-0005-0000-0000-000001220000}"/>
    <cellStyle name="Note 3 5 6 2" xfId="6983" xr:uid="{00000000-0005-0000-0000-000002220000}"/>
    <cellStyle name="Note 3 5 7" xfId="2758" xr:uid="{00000000-0005-0000-0000-000003220000}"/>
    <cellStyle name="Note 3 5 8" xfId="2839" xr:uid="{00000000-0005-0000-0000-000004220000}"/>
    <cellStyle name="Note 3 5 8 2" xfId="7063" xr:uid="{00000000-0005-0000-0000-000005220000}"/>
    <cellStyle name="Note 3 5 9" xfId="4918" xr:uid="{00000000-0005-0000-0000-000006220000}"/>
    <cellStyle name="Output" xfId="562" builtinId="21" customBuiltin="1"/>
    <cellStyle name="Output 2" xfId="563" xr:uid="{00000000-0005-0000-0000-000008220000}"/>
    <cellStyle name="Percent" xfId="4494" builtinId="5"/>
    <cellStyle name="Percent 2" xfId="1022" xr:uid="{00000000-0005-0000-0000-00000A220000}"/>
    <cellStyle name="Percent 3" xfId="4499" xr:uid="{00000000-0005-0000-0000-00000B220000}"/>
    <cellStyle name="Percent 4" xfId="4502" xr:uid="{00000000-0005-0000-0000-00000C220000}"/>
    <cellStyle name="Percent 4 2" xfId="8718" xr:uid="{00000000-0005-0000-0000-00000D220000}"/>
    <cellStyle name="Percent 4 3" xfId="8721" xr:uid="{00000000-0005-0000-0000-00000E220000}"/>
    <cellStyle name="Percent 4 3 2" xfId="8725" xr:uid="{00000000-0005-0000-0000-00000F220000}"/>
    <cellStyle name="Text Entry" xfId="564" xr:uid="{00000000-0005-0000-0000-000010220000}"/>
    <cellStyle name="Title 2" xfId="565" xr:uid="{00000000-0005-0000-0000-000011220000}"/>
    <cellStyle name="Title 2 2" xfId="2759" xr:uid="{00000000-0005-0000-0000-000012220000}"/>
    <cellStyle name="Title 2 3" xfId="2840" xr:uid="{00000000-0005-0000-0000-000013220000}"/>
    <cellStyle name="Total" xfId="566" builtinId="25" customBuiltin="1"/>
    <cellStyle name="Total 2" xfId="567" xr:uid="{00000000-0005-0000-0000-000015220000}"/>
    <cellStyle name="Warning Text" xfId="568" builtinId="11" customBuiltin="1"/>
  </cellStyles>
  <dxfs count="191">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7" dataDxfId="16"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5" dataCellStyle="Normal 15">
      <calculatedColumnFormula>IFERROR(MIN(4,MATCH(Application!B714,UnitSizes,0)-1),"")</calculatedColumnFormula>
    </tableColumn>
    <tableColumn id="3" xr3:uid="{00000000-0010-0000-0000-000003000000}" name="Quantity" dataDxfId="14" dataCellStyle="Normal 15">
      <calculatedColumnFormula>Application!G714</calculatedColumnFormula>
    </tableColumn>
    <tableColumn id="6" xr3:uid="{00000000-0010-0000-0000-000006000000}" name="iAMI" dataDxfId="13" dataCellStyle="Percent">
      <calculatedColumnFormula>Application!AC714</calculatedColumnFormula>
    </tableColumn>
    <tableColumn id="7" xr3:uid="{00000000-0010-0000-0000-000007000000}" name="AMI" dataDxfId="12" dataCellStyle="Percent">
      <calculatedColumnFormula>IF(Cdlac[[#This Row],[Quantity]]&gt;0,IF(Cdlac[[#This Row],[Federal]],30%,IF($G$36,40%,Cdlac[[#This Row],[iAMI]])),"")</calculatedColumnFormula>
    </tableColumn>
    <tableColumn id="8" xr3:uid="{00000000-0010-0000-0000-000008000000}" name="Restricted Rent" dataDxfId="11" dataCellStyle="Normal 15">
      <calculatedColumnFormula array="1">IF(Cdlac[[#This Row],[Quantity]]&gt;0,INDEX(TcacRents,$P$18,Cdlac[[#This Row],[Bedrooms]]+1)*Cdlac[[#This Row],[AMI]],"")</calculatedColumnFormula>
    </tableColumn>
    <tableColumn id="9" xr3:uid="{00000000-0010-0000-0000-000009000000}" name="Fair Market Rent" dataDxfId="10" dataCellStyle="Normal 15">
      <calculatedColumnFormula array="1">IF(Cdlac[[#This Row],[Quantity]]&gt;0,INDEX(HudFmrs,$P$18,Cdlac[[#This Row],[Bedrooms]]+1),"")</calculatedColumnFormula>
    </tableColumn>
    <tableColumn id="10" xr3:uid="{00000000-0010-0000-0000-00000A000000}" name="Delta" dataDxfId="9" dataCellStyle="Normal 15">
      <calculatedColumnFormula>IF(Cdlac[[#This Row],[Quantity]]&gt;0,MAX(0,Cdlac[[#This Row],[Fair Market Rent]]-Cdlac[[#This Row],[Restricted Rent]]),"")</calculatedColumnFormula>
    </tableColumn>
    <tableColumn id="11" xr3:uid="{00000000-0010-0000-0000-00000B000000}" name="Population" dataDxfId="8" dataCellStyle="Normal 15">
      <calculatedColumnFormula>IF(Cdlac[[#This Row],[Quantity]]&gt;0,AND(Application!AK714&lt;&gt;"N/A",Application!AK714&lt;&gt;"")*Cdlac[[#This Row],[Quantity]],"")</calculatedColumnFormula>
    </tableColumn>
    <tableColumn id="4" xr3:uid="{00000000-0010-0000-0000-000004000000}"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6" dataDxfId="5" headerRowCellStyle="Normal 16 3" dataCellStyle="Normal 16 3">
  <autoFilter ref="BM8:BM13" xr:uid="{00000000-0009-0000-0100-000002000000}"/>
  <tableColumns count="1">
    <tableColumn id="1" xr3:uid="{00000000-0010-0000-0100-000001000000}"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A3" sqref="A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930" t="s">
        <v>559</v>
      </c>
      <c r="B1" s="1930"/>
      <c r="C1" s="1930"/>
      <c r="D1" s="1930"/>
      <c r="E1" s="1930"/>
      <c r="F1" s="1930"/>
      <c r="G1" s="1930"/>
      <c r="H1" s="1930"/>
      <c r="I1" s="1930"/>
      <c r="J1" s="1930"/>
      <c r="K1" s="1930"/>
      <c r="L1" s="1930"/>
      <c r="M1" s="1930"/>
      <c r="N1" s="1930"/>
      <c r="O1" s="1930"/>
      <c r="P1" s="1930"/>
      <c r="Q1" s="1930"/>
      <c r="R1" s="1930"/>
      <c r="S1" s="1930"/>
      <c r="T1" s="1930"/>
      <c r="U1" s="1930"/>
      <c r="V1" s="1930"/>
      <c r="W1" s="1930"/>
      <c r="X1" s="1930"/>
      <c r="Y1" s="1930"/>
      <c r="Z1" s="1930"/>
      <c r="AA1" s="1930"/>
      <c r="AB1" s="1930"/>
      <c r="AC1" s="1930"/>
      <c r="AD1" s="1930"/>
      <c r="AE1" s="1930"/>
      <c r="AF1" s="1930"/>
      <c r="AG1" s="1930"/>
      <c r="AH1" s="1930"/>
      <c r="AI1" s="1930"/>
      <c r="AJ1" s="1930"/>
      <c r="AK1" s="1930"/>
      <c r="AL1" s="1930"/>
    </row>
    <row r="2" spans="1:38" ht="13.5" thickBot="1">
      <c r="A2" s="1931"/>
      <c r="B2" s="1931"/>
      <c r="C2" s="1931"/>
      <c r="D2" s="1931"/>
      <c r="E2" s="1931"/>
      <c r="F2" s="1931"/>
      <c r="G2" s="1931"/>
      <c r="H2" s="1931"/>
      <c r="I2" s="1931"/>
      <c r="J2" s="1931"/>
      <c r="K2" s="1931"/>
      <c r="L2" s="1931"/>
      <c r="M2" s="1931"/>
      <c r="N2" s="1931"/>
      <c r="O2" s="1931"/>
      <c r="P2" s="1931"/>
      <c r="Q2" s="1931"/>
      <c r="R2" s="1931"/>
      <c r="S2" s="1931"/>
      <c r="T2" s="1931"/>
      <c r="U2" s="1931"/>
      <c r="V2" s="1931"/>
      <c r="W2" s="1931"/>
      <c r="X2" s="1931"/>
      <c r="Y2" s="1931"/>
      <c r="Z2" s="1931"/>
      <c r="AA2" s="1931"/>
      <c r="AB2" s="1931"/>
      <c r="AC2" s="1931"/>
      <c r="AD2" s="1931"/>
      <c r="AE2" s="1931"/>
      <c r="AF2" s="1931"/>
      <c r="AG2" s="1931"/>
      <c r="AH2" s="1931"/>
      <c r="AI2" s="1931"/>
      <c r="AJ2" s="1931"/>
      <c r="AK2" s="1931"/>
      <c r="AL2" s="1931"/>
    </row>
    <row r="3" spans="1:38" ht="13.5" thickTop="1"/>
    <row r="4" spans="1:38" s="8" customFormat="1">
      <c r="B4" s="17" t="s">
        <v>565</v>
      </c>
      <c r="C4" s="17" t="s">
        <v>517</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208</v>
      </c>
      <c r="D6" s="5" t="s">
        <v>331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6"/>
      <c r="B7" s="324"/>
      <c r="C7" s="325"/>
      <c r="D7" s="1932" t="s">
        <v>2422</v>
      </c>
      <c r="E7" s="1932"/>
      <c r="F7" s="1932"/>
      <c r="G7" s="1932"/>
      <c r="H7" s="1932"/>
      <c r="I7" s="1932"/>
      <c r="J7" s="1932"/>
      <c r="K7" s="1932"/>
      <c r="L7" s="1932"/>
      <c r="M7" s="1932"/>
      <c r="N7" s="1932"/>
      <c r="O7" s="1932"/>
      <c r="P7" s="1932"/>
      <c r="Q7" s="1932"/>
      <c r="R7" s="1932"/>
      <c r="S7" s="1932"/>
      <c r="T7" s="1932"/>
      <c r="U7" s="1932"/>
      <c r="V7" s="1932"/>
      <c r="W7" s="1932"/>
      <c r="X7" s="1932"/>
      <c r="Y7" s="1932"/>
      <c r="Z7" s="1932"/>
      <c r="AA7" s="1932"/>
      <c r="AB7" s="1932"/>
      <c r="AC7" s="1932"/>
      <c r="AD7" s="1932"/>
      <c r="AE7" s="1932"/>
      <c r="AF7" s="1932"/>
      <c r="AG7" s="1932"/>
      <c r="AH7" s="1932"/>
      <c r="AI7" s="1932"/>
      <c r="AJ7" s="1932"/>
      <c r="AK7" s="1932"/>
      <c r="AL7" s="735"/>
    </row>
    <row r="8" spans="1:38">
      <c r="A8" s="326"/>
      <c r="B8" s="324"/>
      <c r="C8" s="325"/>
      <c r="D8" s="1932"/>
      <c r="E8" s="1932"/>
      <c r="F8" s="1932"/>
      <c r="G8" s="1932"/>
      <c r="H8" s="1932"/>
      <c r="I8" s="1932"/>
      <c r="J8" s="1932"/>
      <c r="K8" s="1932"/>
      <c r="L8" s="1932"/>
      <c r="M8" s="1932"/>
      <c r="N8" s="1932"/>
      <c r="O8" s="1932"/>
      <c r="P8" s="1932"/>
      <c r="Q8" s="1932"/>
      <c r="R8" s="1932"/>
      <c r="S8" s="1932"/>
      <c r="T8" s="1932"/>
      <c r="U8" s="1932"/>
      <c r="V8" s="1932"/>
      <c r="W8" s="1932"/>
      <c r="X8" s="1932"/>
      <c r="Y8" s="1932"/>
      <c r="Z8" s="1932"/>
      <c r="AA8" s="1932"/>
      <c r="AB8" s="1932"/>
      <c r="AC8" s="1932"/>
      <c r="AD8" s="1932"/>
      <c r="AE8" s="1932"/>
      <c r="AF8" s="1932"/>
      <c r="AG8" s="1932"/>
      <c r="AH8" s="1932"/>
      <c r="AI8" s="1932"/>
      <c r="AJ8" s="1932"/>
      <c r="AK8" s="1932"/>
      <c r="AL8" s="735"/>
    </row>
    <row r="9" spans="1:38">
      <c r="A9" s="326"/>
      <c r="B9" s="324"/>
      <c r="C9" s="325"/>
      <c r="D9" s="1932"/>
      <c r="E9" s="1932"/>
      <c r="F9" s="1932"/>
      <c r="G9" s="1932"/>
      <c r="H9" s="1932"/>
      <c r="I9" s="1932"/>
      <c r="J9" s="1932"/>
      <c r="K9" s="1932"/>
      <c r="L9" s="1932"/>
      <c r="M9" s="1932"/>
      <c r="N9" s="1932"/>
      <c r="O9" s="1932"/>
      <c r="P9" s="1932"/>
      <c r="Q9" s="1932"/>
      <c r="R9" s="1932"/>
      <c r="S9" s="1932"/>
      <c r="T9" s="1932"/>
      <c r="U9" s="1932"/>
      <c r="V9" s="1932"/>
      <c r="W9" s="1932"/>
      <c r="X9" s="1932"/>
      <c r="Y9" s="1932"/>
      <c r="Z9" s="1932"/>
      <c r="AA9" s="1932"/>
      <c r="AB9" s="1932"/>
      <c r="AC9" s="1932"/>
      <c r="AD9" s="1932"/>
      <c r="AE9" s="1932"/>
      <c r="AF9" s="1932"/>
      <c r="AG9" s="1932"/>
      <c r="AH9" s="1932"/>
      <c r="AI9" s="1932"/>
      <c r="AJ9" s="1932"/>
      <c r="AK9" s="1932"/>
      <c r="AL9" s="735"/>
    </row>
    <row r="10" spans="1:38">
      <c r="A10" s="326"/>
      <c r="B10" s="324"/>
      <c r="C10" s="325"/>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35"/>
    </row>
    <row r="11" spans="1:38" ht="12.95" customHeight="1">
      <c r="A11" s="326"/>
      <c r="B11" s="324"/>
      <c r="C11" s="325"/>
      <c r="D11" s="1932" t="s">
        <v>2423</v>
      </c>
      <c r="E11" s="1932"/>
      <c r="F11" s="1932"/>
      <c r="G11" s="1932"/>
      <c r="H11" s="1932"/>
      <c r="I11" s="1932"/>
      <c r="J11" s="1932"/>
      <c r="K11" s="1932"/>
      <c r="L11" s="1932"/>
      <c r="M11" s="1932"/>
      <c r="N11" s="1932"/>
      <c r="O11" s="1932"/>
      <c r="P11" s="1932"/>
      <c r="Q11" s="1932"/>
      <c r="R11" s="1932"/>
      <c r="S11" s="1932"/>
      <c r="T11" s="1932"/>
      <c r="U11" s="1932"/>
      <c r="V11" s="1932"/>
      <c r="W11" s="1932"/>
      <c r="X11" s="1932"/>
      <c r="Y11" s="1932"/>
      <c r="Z11" s="1932"/>
      <c r="AA11" s="1932"/>
      <c r="AB11" s="1932"/>
      <c r="AC11" s="1932"/>
      <c r="AD11" s="1932"/>
      <c r="AE11" s="1932"/>
      <c r="AF11" s="1932"/>
      <c r="AG11" s="1932"/>
      <c r="AH11" s="1932"/>
      <c r="AI11" s="1932"/>
      <c r="AJ11" s="1932"/>
      <c r="AK11" s="1932"/>
      <c r="AL11" s="735"/>
    </row>
    <row r="12" spans="1:38">
      <c r="A12" s="326"/>
      <c r="B12" s="324"/>
      <c r="C12" s="325"/>
      <c r="D12" s="1932"/>
      <c r="E12" s="1932"/>
      <c r="F12" s="1932"/>
      <c r="G12" s="1932"/>
      <c r="H12" s="1932"/>
      <c r="I12" s="1932"/>
      <c r="J12" s="1932"/>
      <c r="K12" s="1932"/>
      <c r="L12" s="1932"/>
      <c r="M12" s="1932"/>
      <c r="N12" s="1932"/>
      <c r="O12" s="1932"/>
      <c r="P12" s="1932"/>
      <c r="Q12" s="1932"/>
      <c r="R12" s="1932"/>
      <c r="S12" s="1932"/>
      <c r="T12" s="1932"/>
      <c r="U12" s="1932"/>
      <c r="V12" s="1932"/>
      <c r="W12" s="1932"/>
      <c r="X12" s="1932"/>
      <c r="Y12" s="1932"/>
      <c r="Z12" s="1932"/>
      <c r="AA12" s="1932"/>
      <c r="AB12" s="1932"/>
      <c r="AC12" s="1932"/>
      <c r="AD12" s="1932"/>
      <c r="AE12" s="1932"/>
      <c r="AF12" s="1932"/>
      <c r="AG12" s="1932"/>
      <c r="AH12" s="1932"/>
      <c r="AI12" s="1932"/>
      <c r="AJ12" s="1932"/>
      <c r="AK12" s="1932"/>
      <c r="AL12" s="735"/>
    </row>
    <row r="13" spans="1:38" s="706" customFormat="1">
      <c r="A13" s="326"/>
      <c r="B13" s="324"/>
      <c r="C13" s="325"/>
      <c r="D13" s="1932"/>
      <c r="E13" s="1932"/>
      <c r="F13" s="1932"/>
      <c r="G13" s="1932"/>
      <c r="H13" s="1932"/>
      <c r="I13" s="1932"/>
      <c r="J13" s="1932"/>
      <c r="K13" s="1932"/>
      <c r="L13" s="1932"/>
      <c r="M13" s="1932"/>
      <c r="N13" s="1932"/>
      <c r="O13" s="1932"/>
      <c r="P13" s="1932"/>
      <c r="Q13" s="1932"/>
      <c r="R13" s="1932"/>
      <c r="S13" s="1932"/>
      <c r="T13" s="1932"/>
      <c r="U13" s="1932"/>
      <c r="V13" s="1932"/>
      <c r="W13" s="1932"/>
      <c r="X13" s="1932"/>
      <c r="Y13" s="1932"/>
      <c r="Z13" s="1932"/>
      <c r="AA13" s="1932"/>
      <c r="AB13" s="1932"/>
      <c r="AC13" s="1932"/>
      <c r="AD13" s="1932"/>
      <c r="AE13" s="1932"/>
      <c r="AF13" s="1932"/>
      <c r="AG13" s="1932"/>
      <c r="AH13" s="1932"/>
      <c r="AI13" s="1932"/>
      <c r="AJ13" s="1932"/>
      <c r="AK13" s="1932"/>
      <c r="AL13" s="735"/>
    </row>
    <row r="14" spans="1:38" s="706" customFormat="1" ht="13.15" customHeight="1">
      <c r="A14" s="326"/>
      <c r="B14" s="324"/>
      <c r="C14" s="325"/>
      <c r="E14" s="1917" t="s">
        <v>2424</v>
      </c>
      <c r="F14" s="1917"/>
      <c r="G14" s="1917"/>
      <c r="H14" s="1917"/>
      <c r="I14" s="1917"/>
      <c r="J14" s="1917"/>
      <c r="K14" s="1917"/>
      <c r="L14" s="1917"/>
      <c r="M14" s="1917"/>
      <c r="N14" s="1917"/>
      <c r="O14" s="1917"/>
      <c r="P14" s="1917"/>
      <c r="Q14" s="1917"/>
      <c r="R14" s="1917"/>
      <c r="S14" s="1917"/>
      <c r="T14" s="1917"/>
      <c r="U14" s="1917"/>
      <c r="V14" s="1917"/>
      <c r="W14" s="1917"/>
      <c r="X14" s="1917"/>
      <c r="Y14" s="1917"/>
      <c r="Z14" s="1917"/>
      <c r="AA14" s="1917"/>
      <c r="AB14" s="1917"/>
      <c r="AC14" s="1917"/>
      <c r="AD14" s="1917"/>
      <c r="AE14" s="1917"/>
      <c r="AF14" s="1917"/>
      <c r="AG14" s="1917"/>
      <c r="AH14" s="1917"/>
      <c r="AI14" s="1917"/>
      <c r="AJ14" s="1917"/>
      <c r="AK14" s="1917"/>
      <c r="AL14" s="735"/>
    </row>
    <row r="15" spans="1:38" s="706" customFormat="1" ht="13.15" customHeight="1">
      <c r="A15" s="326"/>
      <c r="B15" s="324"/>
      <c r="C15" s="325"/>
      <c r="E15" s="1917"/>
      <c r="F15" s="1917"/>
      <c r="G15" s="1917"/>
      <c r="H15" s="1917"/>
      <c r="I15" s="1917"/>
      <c r="J15" s="1917"/>
      <c r="K15" s="1917"/>
      <c r="L15" s="1917"/>
      <c r="M15" s="1917"/>
      <c r="N15" s="1917"/>
      <c r="O15" s="1917"/>
      <c r="P15" s="1917"/>
      <c r="Q15" s="1917"/>
      <c r="R15" s="1917"/>
      <c r="S15" s="1917"/>
      <c r="T15" s="1917"/>
      <c r="U15" s="1917"/>
      <c r="V15" s="1917"/>
      <c r="W15" s="1917"/>
      <c r="X15" s="1917"/>
      <c r="Y15" s="1917"/>
      <c r="Z15" s="1917"/>
      <c r="AA15" s="1917"/>
      <c r="AB15" s="1917"/>
      <c r="AC15" s="1917"/>
      <c r="AD15" s="1917"/>
      <c r="AE15" s="1917"/>
      <c r="AF15" s="1917"/>
      <c r="AG15" s="1917"/>
      <c r="AH15" s="1917"/>
      <c r="AI15" s="1917"/>
      <c r="AJ15" s="1917"/>
      <c r="AK15" s="1917"/>
      <c r="AL15" s="735"/>
    </row>
    <row r="16" spans="1:38" s="706" customFormat="1">
      <c r="A16" s="326"/>
      <c r="B16" s="324"/>
      <c r="C16" s="325"/>
      <c r="D16" s="735"/>
      <c r="E16" s="1917"/>
      <c r="F16" s="1917"/>
      <c r="G16" s="1917"/>
      <c r="H16" s="1917"/>
      <c r="I16" s="1917"/>
      <c r="J16" s="1917"/>
      <c r="K16" s="1917"/>
      <c r="L16" s="1917"/>
      <c r="M16" s="1917"/>
      <c r="N16" s="1917"/>
      <c r="O16" s="1917"/>
      <c r="P16" s="1917"/>
      <c r="Q16" s="1917"/>
      <c r="R16" s="1917"/>
      <c r="S16" s="1917"/>
      <c r="T16" s="1917"/>
      <c r="U16" s="1917"/>
      <c r="V16" s="1917"/>
      <c r="W16" s="1917"/>
      <c r="X16" s="1917"/>
      <c r="Y16" s="1917"/>
      <c r="Z16" s="1917"/>
      <c r="AA16" s="1917"/>
      <c r="AB16" s="1917"/>
      <c r="AC16" s="1917"/>
      <c r="AD16" s="1917"/>
      <c r="AE16" s="1917"/>
      <c r="AF16" s="1917"/>
      <c r="AG16" s="1917"/>
      <c r="AH16" s="1917"/>
      <c r="AI16" s="1917"/>
      <c r="AJ16" s="1917"/>
      <c r="AK16" s="1917"/>
      <c r="AL16" s="735"/>
    </row>
    <row r="17" spans="1:38" s="706" customFormat="1">
      <c r="A17" s="326"/>
      <c r="B17" s="324"/>
      <c r="C17" s="325"/>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35"/>
    </row>
    <row r="18" spans="1:38" ht="13.15" customHeight="1">
      <c r="A18" s="326"/>
      <c r="B18" s="324"/>
      <c r="C18" s="325"/>
      <c r="D18" s="1917" t="s">
        <v>2425</v>
      </c>
      <c r="E18" s="1917"/>
      <c r="F18" s="1917"/>
      <c r="G18" s="1917"/>
      <c r="H18" s="1917"/>
      <c r="I18" s="1917"/>
      <c r="J18" s="1917"/>
      <c r="K18" s="1917"/>
      <c r="L18" s="1917"/>
      <c r="M18" s="1917"/>
      <c r="N18" s="1917"/>
      <c r="O18" s="1917"/>
      <c r="P18" s="1917"/>
      <c r="Q18" s="1917"/>
      <c r="R18" s="1917"/>
      <c r="S18" s="1917"/>
      <c r="T18" s="1917"/>
      <c r="U18" s="1917"/>
      <c r="V18" s="1917"/>
      <c r="W18" s="1917"/>
      <c r="X18" s="1917"/>
      <c r="Y18" s="1917"/>
      <c r="Z18" s="1917"/>
      <c r="AA18" s="1917"/>
      <c r="AB18" s="1917"/>
      <c r="AC18" s="1917"/>
      <c r="AD18" s="1917"/>
      <c r="AE18" s="1917"/>
      <c r="AF18" s="1917"/>
      <c r="AG18" s="1917"/>
      <c r="AH18" s="1917"/>
      <c r="AI18" s="1917"/>
      <c r="AJ18" s="1917"/>
      <c r="AK18" s="1917"/>
      <c r="AL18" s="324"/>
    </row>
    <row r="19" spans="1:38">
      <c r="A19" s="326"/>
      <c r="B19" s="324"/>
      <c r="C19" s="325"/>
      <c r="D19" s="1917"/>
      <c r="E19" s="1917"/>
      <c r="F19" s="1917"/>
      <c r="G19" s="1917"/>
      <c r="H19" s="1917"/>
      <c r="I19" s="1917"/>
      <c r="J19" s="1917"/>
      <c r="K19" s="1917"/>
      <c r="L19" s="1917"/>
      <c r="M19" s="1917"/>
      <c r="N19" s="1917"/>
      <c r="O19" s="1917"/>
      <c r="P19" s="1917"/>
      <c r="Q19" s="1917"/>
      <c r="R19" s="1917"/>
      <c r="S19" s="1917"/>
      <c r="T19" s="1917"/>
      <c r="U19" s="1917"/>
      <c r="V19" s="1917"/>
      <c r="W19" s="1917"/>
      <c r="X19" s="1917"/>
      <c r="Y19" s="1917"/>
      <c r="Z19" s="1917"/>
      <c r="AA19" s="1917"/>
      <c r="AB19" s="1917"/>
      <c r="AC19" s="1917"/>
      <c r="AD19" s="1917"/>
      <c r="AE19" s="1917"/>
      <c r="AF19" s="1917"/>
      <c r="AG19" s="1917"/>
      <c r="AH19" s="1917"/>
      <c r="AI19" s="1917"/>
      <c r="AJ19" s="1917"/>
      <c r="AK19" s="1917"/>
      <c r="AL19" s="324"/>
    </row>
    <row r="20" spans="1:38" s="706" customFormat="1">
      <c r="A20" s="326"/>
      <c r="B20" s="324"/>
      <c r="C20" s="325"/>
      <c r="D20" s="1917"/>
      <c r="E20" s="1917"/>
      <c r="F20" s="1917"/>
      <c r="G20" s="1917"/>
      <c r="H20" s="1917"/>
      <c r="I20" s="1917"/>
      <c r="J20" s="1917"/>
      <c r="K20" s="1917"/>
      <c r="L20" s="1917"/>
      <c r="M20" s="1917"/>
      <c r="N20" s="1917"/>
      <c r="O20" s="1917"/>
      <c r="P20" s="1917"/>
      <c r="Q20" s="1917"/>
      <c r="R20" s="1917"/>
      <c r="S20" s="1917"/>
      <c r="T20" s="1917"/>
      <c r="U20" s="1917"/>
      <c r="V20" s="1917"/>
      <c r="W20" s="1917"/>
      <c r="X20" s="1917"/>
      <c r="Y20" s="1917"/>
      <c r="Z20" s="1917"/>
      <c r="AA20" s="1917"/>
      <c r="AB20" s="1917"/>
      <c r="AC20" s="1917"/>
      <c r="AD20" s="1917"/>
      <c r="AE20" s="1917"/>
      <c r="AF20" s="1917"/>
      <c r="AG20" s="1917"/>
      <c r="AH20" s="1917"/>
      <c r="AI20" s="1917"/>
      <c r="AJ20" s="1917"/>
      <c r="AK20" s="1917"/>
      <c r="AL20" s="324"/>
    </row>
    <row r="21" spans="1:38" s="706" customFormat="1" ht="13.15" customHeight="1">
      <c r="A21" s="326"/>
      <c r="B21" s="324"/>
      <c r="C21" s="325"/>
      <c r="D21" s="1917"/>
      <c r="E21" s="1917"/>
      <c r="F21" s="1917"/>
      <c r="G21" s="1917"/>
      <c r="H21" s="1917"/>
      <c r="I21" s="1917"/>
      <c r="J21" s="1917"/>
      <c r="K21" s="1917"/>
      <c r="L21" s="1917"/>
      <c r="M21" s="1917"/>
      <c r="N21" s="1917"/>
      <c r="O21" s="1917"/>
      <c r="P21" s="1917"/>
      <c r="Q21" s="1917"/>
      <c r="R21" s="1917"/>
      <c r="S21" s="1917"/>
      <c r="T21" s="1917"/>
      <c r="U21" s="1917"/>
      <c r="V21" s="1917"/>
      <c r="W21" s="1917"/>
      <c r="X21" s="1917"/>
      <c r="Y21" s="1917"/>
      <c r="Z21" s="1917"/>
      <c r="AA21" s="1917"/>
      <c r="AB21" s="1917"/>
      <c r="AC21" s="1917"/>
      <c r="AD21" s="1917"/>
      <c r="AE21" s="1917"/>
      <c r="AF21" s="1917"/>
      <c r="AG21" s="1917"/>
      <c r="AH21" s="1917"/>
      <c r="AI21" s="1917"/>
      <c r="AJ21" s="1917"/>
      <c r="AK21" s="1917"/>
      <c r="AL21" s="324"/>
    </row>
    <row r="22" spans="1:38" s="706" customFormat="1">
      <c r="A22" s="326"/>
      <c r="B22" s="324"/>
      <c r="C22" s="325"/>
      <c r="D22" s="1917"/>
      <c r="E22" s="1917"/>
      <c r="F22" s="1917"/>
      <c r="G22" s="1917"/>
      <c r="H22" s="1917"/>
      <c r="I22" s="1917"/>
      <c r="J22" s="1917"/>
      <c r="K22" s="1917"/>
      <c r="L22" s="1917"/>
      <c r="M22" s="1917"/>
      <c r="N22" s="1917"/>
      <c r="O22" s="1917"/>
      <c r="P22" s="1917"/>
      <c r="Q22" s="1917"/>
      <c r="R22" s="1917"/>
      <c r="S22" s="1917"/>
      <c r="T22" s="1917"/>
      <c r="U22" s="1917"/>
      <c r="V22" s="1917"/>
      <c r="W22" s="1917"/>
      <c r="X22" s="1917"/>
      <c r="Y22" s="1917"/>
      <c r="Z22" s="1917"/>
      <c r="AA22" s="1917"/>
      <c r="AB22" s="1917"/>
      <c r="AC22" s="1917"/>
      <c r="AD22" s="1917"/>
      <c r="AE22" s="1917"/>
      <c r="AF22" s="1917"/>
      <c r="AG22" s="1917"/>
      <c r="AH22" s="1917"/>
      <c r="AI22" s="1917"/>
      <c r="AJ22" s="1917"/>
      <c r="AK22" s="1917"/>
      <c r="AL22" s="324"/>
    </row>
    <row r="23" spans="1:38" s="706" customFormat="1">
      <c r="A23" s="326"/>
      <c r="B23" s="324"/>
      <c r="C23" s="325"/>
      <c r="D23" s="1917"/>
      <c r="E23" s="1917"/>
      <c r="F23" s="1917"/>
      <c r="G23" s="1917"/>
      <c r="H23" s="1917"/>
      <c r="I23" s="1917"/>
      <c r="J23" s="1917"/>
      <c r="K23" s="1917"/>
      <c r="L23" s="1917"/>
      <c r="M23" s="1917"/>
      <c r="N23" s="1917"/>
      <c r="O23" s="1917"/>
      <c r="P23" s="1917"/>
      <c r="Q23" s="1917"/>
      <c r="R23" s="1917"/>
      <c r="S23" s="1917"/>
      <c r="T23" s="1917"/>
      <c r="U23" s="1917"/>
      <c r="V23" s="1917"/>
      <c r="W23" s="1917"/>
      <c r="X23" s="1917"/>
      <c r="Y23" s="1917"/>
      <c r="Z23" s="1917"/>
      <c r="AA23" s="1917"/>
      <c r="AB23" s="1917"/>
      <c r="AC23" s="1917"/>
      <c r="AD23" s="1917"/>
      <c r="AE23" s="1917"/>
      <c r="AF23" s="1917"/>
      <c r="AG23" s="1917"/>
      <c r="AH23" s="1917"/>
      <c r="AI23" s="1917"/>
      <c r="AJ23" s="1917"/>
      <c r="AK23" s="1917"/>
      <c r="AL23" s="324"/>
    </row>
    <row r="24" spans="1:38">
      <c r="A24" s="326"/>
      <c r="B24" s="324"/>
      <c r="C24" s="325"/>
      <c r="D24" s="1917"/>
      <c r="E24" s="1917"/>
      <c r="F24" s="1917"/>
      <c r="G24" s="1917"/>
      <c r="H24" s="1917"/>
      <c r="I24" s="1917"/>
      <c r="J24" s="1917"/>
      <c r="K24" s="1917"/>
      <c r="L24" s="1917"/>
      <c r="M24" s="1917"/>
      <c r="N24" s="1917"/>
      <c r="O24" s="1917"/>
      <c r="P24" s="1917"/>
      <c r="Q24" s="1917"/>
      <c r="R24" s="1917"/>
      <c r="S24" s="1917"/>
      <c r="T24" s="1917"/>
      <c r="U24" s="1917"/>
      <c r="V24" s="1917"/>
      <c r="W24" s="1917"/>
      <c r="X24" s="1917"/>
      <c r="Y24" s="1917"/>
      <c r="Z24" s="1917"/>
      <c r="AA24" s="1917"/>
      <c r="AB24" s="1917"/>
      <c r="AC24" s="1917"/>
      <c r="AD24" s="1917"/>
      <c r="AE24" s="1917"/>
      <c r="AF24" s="1917"/>
      <c r="AG24" s="1917"/>
      <c r="AH24" s="1917"/>
      <c r="AI24" s="1917"/>
      <c r="AJ24" s="1917"/>
      <c r="AK24" s="1917"/>
      <c r="AL24" s="324"/>
    </row>
    <row r="25" spans="1:38" s="706" customFormat="1">
      <c r="A25" s="326"/>
      <c r="B25" s="324"/>
      <c r="C25" s="325"/>
      <c r="D25" s="1917"/>
      <c r="E25" s="1917"/>
      <c r="F25" s="1917"/>
      <c r="G25" s="1917"/>
      <c r="H25" s="1917"/>
      <c r="I25" s="1917"/>
      <c r="J25" s="1917"/>
      <c r="K25" s="1917"/>
      <c r="L25" s="1917"/>
      <c r="M25" s="1917"/>
      <c r="N25" s="1917"/>
      <c r="O25" s="1917"/>
      <c r="P25" s="1917"/>
      <c r="Q25" s="1917"/>
      <c r="R25" s="1917"/>
      <c r="S25" s="1917"/>
      <c r="T25" s="1917"/>
      <c r="U25" s="1917"/>
      <c r="V25" s="1917"/>
      <c r="W25" s="1917"/>
      <c r="X25" s="1917"/>
      <c r="Y25" s="1917"/>
      <c r="Z25" s="1917"/>
      <c r="AA25" s="1917"/>
      <c r="AB25" s="1917"/>
      <c r="AC25" s="1917"/>
      <c r="AD25" s="1917"/>
      <c r="AE25" s="1917"/>
      <c r="AF25" s="1917"/>
      <c r="AG25" s="1917"/>
      <c r="AH25" s="1917"/>
      <c r="AI25" s="1917"/>
      <c r="AJ25" s="1917"/>
      <c r="AK25" s="1917"/>
      <c r="AL25" s="324"/>
    </row>
    <row r="26" spans="1:38" s="706" customFormat="1">
      <c r="A26" s="326"/>
      <c r="B26" s="324"/>
      <c r="C26" s="325"/>
      <c r="D26" s="1917"/>
      <c r="E26" s="1917"/>
      <c r="F26" s="1917"/>
      <c r="G26" s="1917"/>
      <c r="H26" s="1917"/>
      <c r="I26" s="1917"/>
      <c r="J26" s="1917"/>
      <c r="K26" s="1917"/>
      <c r="L26" s="1917"/>
      <c r="M26" s="1917"/>
      <c r="N26" s="1917"/>
      <c r="O26" s="1917"/>
      <c r="P26" s="1917"/>
      <c r="Q26" s="1917"/>
      <c r="R26" s="1917"/>
      <c r="S26" s="1917"/>
      <c r="T26" s="1917"/>
      <c r="U26" s="1917"/>
      <c r="V26" s="1917"/>
      <c r="W26" s="1917"/>
      <c r="X26" s="1917"/>
      <c r="Y26" s="1917"/>
      <c r="Z26" s="1917"/>
      <c r="AA26" s="1917"/>
      <c r="AB26" s="1917"/>
      <c r="AC26" s="1917"/>
      <c r="AD26" s="1917"/>
      <c r="AE26" s="1917"/>
      <c r="AF26" s="1917"/>
      <c r="AG26" s="1917"/>
      <c r="AH26" s="1917"/>
      <c r="AI26" s="1917"/>
      <c r="AJ26" s="1917"/>
      <c r="AK26" s="1917"/>
      <c r="AL26" s="324"/>
    </row>
    <row r="27" spans="1:38" s="706" customFormat="1" ht="11.85" customHeight="1">
      <c r="A27" s="326"/>
      <c r="B27" s="324"/>
      <c r="C27" s="325"/>
      <c r="D27" s="1917"/>
      <c r="E27" s="1917"/>
      <c r="F27" s="1917"/>
      <c r="G27" s="1917"/>
      <c r="H27" s="1917"/>
      <c r="I27" s="1917"/>
      <c r="J27" s="1917"/>
      <c r="K27" s="1917"/>
      <c r="L27" s="1917"/>
      <c r="M27" s="1917"/>
      <c r="N27" s="1917"/>
      <c r="O27" s="1917"/>
      <c r="P27" s="1917"/>
      <c r="Q27" s="1917"/>
      <c r="R27" s="1917"/>
      <c r="S27" s="1917"/>
      <c r="T27" s="1917"/>
      <c r="U27" s="1917"/>
      <c r="V27" s="1917"/>
      <c r="W27" s="1917"/>
      <c r="X27" s="1917"/>
      <c r="Y27" s="1917"/>
      <c r="Z27" s="1917"/>
      <c r="AA27" s="1917"/>
      <c r="AB27" s="1917"/>
      <c r="AC27" s="1917"/>
      <c r="AD27" s="1917"/>
      <c r="AE27" s="1917"/>
      <c r="AF27" s="1917"/>
      <c r="AG27" s="1917"/>
      <c r="AH27" s="1917"/>
      <c r="AI27" s="1917"/>
      <c r="AJ27" s="1917"/>
      <c r="AK27" s="1917"/>
      <c r="AL27" s="324"/>
    </row>
    <row r="28" spans="1:38" s="706" customFormat="1" ht="13.15" customHeight="1">
      <c r="A28" s="326"/>
      <c r="B28" s="324"/>
      <c r="C28" s="325"/>
      <c r="E28" s="1917" t="s">
        <v>2426</v>
      </c>
      <c r="F28" s="1917"/>
      <c r="G28" s="1917"/>
      <c r="H28" s="1917"/>
      <c r="I28" s="1917"/>
      <c r="J28" s="1917"/>
      <c r="K28" s="1917"/>
      <c r="L28" s="1917"/>
      <c r="M28" s="1917"/>
      <c r="N28" s="1917"/>
      <c r="O28" s="1917"/>
      <c r="P28" s="1917"/>
      <c r="Q28" s="1917"/>
      <c r="R28" s="1917"/>
      <c r="S28" s="1917"/>
      <c r="T28" s="1917"/>
      <c r="U28" s="1917"/>
      <c r="V28" s="1917"/>
      <c r="W28" s="1917"/>
      <c r="X28" s="1917"/>
      <c r="Y28" s="1917"/>
      <c r="Z28" s="1917"/>
      <c r="AA28" s="1917"/>
      <c r="AB28" s="1917"/>
      <c r="AC28" s="1917"/>
      <c r="AD28" s="1917"/>
      <c r="AE28" s="1917"/>
      <c r="AF28" s="1917"/>
      <c r="AG28" s="1917"/>
      <c r="AH28" s="1917"/>
      <c r="AI28" s="1917"/>
      <c r="AJ28" s="1917"/>
      <c r="AK28" s="1917"/>
      <c r="AL28" s="324"/>
    </row>
    <row r="29" spans="1:38" s="706" customFormat="1" ht="13.15" customHeight="1">
      <c r="A29" s="326"/>
      <c r="B29" s="324"/>
      <c r="C29" s="325"/>
      <c r="E29" s="1917"/>
      <c r="F29" s="1917"/>
      <c r="G29" s="1917"/>
      <c r="H29" s="1917"/>
      <c r="I29" s="1917"/>
      <c r="J29" s="1917"/>
      <c r="K29" s="1917"/>
      <c r="L29" s="1917"/>
      <c r="M29" s="1917"/>
      <c r="N29" s="1917"/>
      <c r="O29" s="1917"/>
      <c r="P29" s="1917"/>
      <c r="Q29" s="1917"/>
      <c r="R29" s="1917"/>
      <c r="S29" s="1917"/>
      <c r="T29" s="1917"/>
      <c r="U29" s="1917"/>
      <c r="V29" s="1917"/>
      <c r="W29" s="1917"/>
      <c r="X29" s="1917"/>
      <c r="Y29" s="1917"/>
      <c r="Z29" s="1917"/>
      <c r="AA29" s="1917"/>
      <c r="AB29" s="1917"/>
      <c r="AC29" s="1917"/>
      <c r="AD29" s="1917"/>
      <c r="AE29" s="1917"/>
      <c r="AF29" s="1917"/>
      <c r="AG29" s="1917"/>
      <c r="AH29" s="1917"/>
      <c r="AI29" s="1917"/>
      <c r="AJ29" s="1917"/>
      <c r="AK29" s="1917"/>
      <c r="AL29" s="324"/>
    </row>
    <row r="30" spans="1:38" s="706" customFormat="1">
      <c r="A30" s="326"/>
      <c r="B30" s="324"/>
      <c r="C30" s="325"/>
      <c r="D30" s="735"/>
      <c r="E30" s="1917"/>
      <c r="F30" s="1917"/>
      <c r="G30" s="1917"/>
      <c r="H30" s="1917"/>
      <c r="I30" s="1917"/>
      <c r="J30" s="1917"/>
      <c r="K30" s="1917"/>
      <c r="L30" s="1917"/>
      <c r="M30" s="1917"/>
      <c r="N30" s="1917"/>
      <c r="O30" s="1917"/>
      <c r="P30" s="1917"/>
      <c r="Q30" s="1917"/>
      <c r="R30" s="1917"/>
      <c r="S30" s="1917"/>
      <c r="T30" s="1917"/>
      <c r="U30" s="1917"/>
      <c r="V30" s="1917"/>
      <c r="W30" s="1917"/>
      <c r="X30" s="1917"/>
      <c r="Y30" s="1917"/>
      <c r="Z30" s="1917"/>
      <c r="AA30" s="1917"/>
      <c r="AB30" s="1917"/>
      <c r="AC30" s="1917"/>
      <c r="AD30" s="1917"/>
      <c r="AE30" s="1917"/>
      <c r="AF30" s="1917"/>
      <c r="AG30" s="1917"/>
      <c r="AH30" s="1917"/>
      <c r="AI30" s="1917"/>
      <c r="AJ30" s="1917"/>
      <c r="AK30" s="1917"/>
      <c r="AL30" s="324"/>
    </row>
    <row r="31" spans="1:38" s="706" customFormat="1">
      <c r="A31" s="326"/>
      <c r="B31" s="324"/>
      <c r="C31" s="32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324"/>
    </row>
    <row r="32" spans="1:38" s="706" customFormat="1" ht="13.15" customHeight="1">
      <c r="A32" s="326"/>
      <c r="B32" s="324"/>
      <c r="C32" s="325"/>
      <c r="D32" s="1920" t="s">
        <v>2427</v>
      </c>
      <c r="E32" s="1920"/>
      <c r="F32" s="1920"/>
      <c r="G32" s="1920"/>
      <c r="H32" s="1920"/>
      <c r="I32" s="1920"/>
      <c r="J32" s="1920"/>
      <c r="K32" s="1920"/>
      <c r="L32" s="1920"/>
      <c r="M32" s="1920"/>
      <c r="N32" s="1920"/>
      <c r="O32" s="1920"/>
      <c r="P32" s="1920"/>
      <c r="Q32" s="1920"/>
      <c r="R32" s="1920"/>
      <c r="S32" s="1920"/>
      <c r="T32" s="1920"/>
      <c r="U32" s="1920"/>
      <c r="V32" s="1920"/>
      <c r="W32" s="1920"/>
      <c r="X32" s="1920"/>
      <c r="Y32" s="1920"/>
      <c r="Z32" s="1920"/>
      <c r="AA32" s="1920"/>
      <c r="AB32" s="1920"/>
      <c r="AC32" s="1920"/>
      <c r="AD32" s="1920"/>
      <c r="AE32" s="1920"/>
      <c r="AF32" s="1920"/>
      <c r="AG32" s="1920"/>
      <c r="AH32" s="1920"/>
      <c r="AI32" s="1920"/>
      <c r="AJ32" s="1920"/>
      <c r="AK32" s="1920"/>
      <c r="AL32" s="324"/>
    </row>
    <row r="33" spans="1:38" s="706" customFormat="1">
      <c r="A33" s="326"/>
      <c r="B33" s="324"/>
      <c r="C33" s="325"/>
      <c r="D33" s="735"/>
      <c r="E33" s="1918" t="s">
        <v>2611</v>
      </c>
      <c r="F33" s="1919"/>
      <c r="G33" s="1919"/>
      <c r="H33" s="1919"/>
      <c r="I33" s="1919"/>
      <c r="J33" s="1919"/>
      <c r="K33" s="1919"/>
      <c r="L33" s="1919"/>
      <c r="M33" s="1919"/>
      <c r="N33" s="1919"/>
      <c r="O33" s="1919"/>
      <c r="P33" s="1919"/>
      <c r="Q33" s="1919"/>
      <c r="R33" s="1919"/>
      <c r="S33" s="1919"/>
      <c r="T33" s="1919"/>
      <c r="U33" s="1919"/>
      <c r="V33" s="1919"/>
      <c r="W33" s="1919"/>
      <c r="X33" s="1919"/>
      <c r="Y33" s="1919"/>
      <c r="Z33" s="1919"/>
      <c r="AA33" s="1919"/>
      <c r="AB33" s="1919"/>
      <c r="AC33" s="1919"/>
      <c r="AD33" s="1919"/>
      <c r="AE33" s="1919"/>
      <c r="AF33" s="1919"/>
      <c r="AG33" s="1919"/>
      <c r="AH33" s="1919"/>
      <c r="AI33" s="1919"/>
      <c r="AJ33" s="1919"/>
      <c r="AK33" s="1919"/>
      <c r="AL33" s="324"/>
    </row>
    <row r="34" spans="1:38">
      <c r="A34" s="149"/>
      <c r="C34" s="5"/>
    </row>
    <row r="35" spans="1:38">
      <c r="A35" s="149"/>
      <c r="D35" s="1933" t="s">
        <v>2606</v>
      </c>
      <c r="E35" s="1933"/>
      <c r="F35" s="1933"/>
      <c r="G35" s="1933"/>
      <c r="H35" s="1933"/>
      <c r="I35" s="1933"/>
      <c r="J35" s="1933"/>
      <c r="K35" s="1933"/>
      <c r="L35" s="1933"/>
      <c r="M35" s="1933"/>
      <c r="N35" s="1933"/>
      <c r="O35" s="1933"/>
      <c r="P35" s="1933"/>
      <c r="Q35" s="1933"/>
      <c r="R35" s="1933"/>
      <c r="S35" s="1933"/>
      <c r="T35" s="1933"/>
      <c r="U35" s="1933"/>
      <c r="V35" s="1933"/>
      <c r="W35" s="1933"/>
      <c r="X35" s="1933"/>
      <c r="Y35" s="1933"/>
      <c r="Z35" s="1933"/>
      <c r="AA35" s="1933"/>
      <c r="AB35" s="1933"/>
      <c r="AC35" s="1933"/>
      <c r="AD35" s="1933"/>
      <c r="AE35" s="1933"/>
      <c r="AF35" s="1933"/>
      <c r="AG35" s="1933"/>
      <c r="AH35" s="1933"/>
      <c r="AI35" s="1933"/>
      <c r="AJ35" s="1933"/>
      <c r="AK35" s="1933"/>
    </row>
    <row r="36" spans="1:38">
      <c r="A36" s="149"/>
      <c r="D36" s="1933"/>
      <c r="E36" s="1933"/>
      <c r="F36" s="1933"/>
      <c r="G36" s="1933"/>
      <c r="H36" s="1933"/>
      <c r="I36" s="1933"/>
      <c r="J36" s="1933"/>
      <c r="K36" s="1933"/>
      <c r="L36" s="1933"/>
      <c r="M36" s="1933"/>
      <c r="N36" s="1933"/>
      <c r="O36" s="1933"/>
      <c r="P36" s="1933"/>
      <c r="Q36" s="1933"/>
      <c r="R36" s="1933"/>
      <c r="S36" s="1933"/>
      <c r="T36" s="1933"/>
      <c r="U36" s="1933"/>
      <c r="V36" s="1933"/>
      <c r="W36" s="1933"/>
      <c r="X36" s="1933"/>
      <c r="Y36" s="1933"/>
      <c r="Z36" s="1933"/>
      <c r="AA36" s="1933"/>
      <c r="AB36" s="1933"/>
      <c r="AC36" s="1933"/>
      <c r="AD36" s="1933"/>
      <c r="AE36" s="1933"/>
      <c r="AF36" s="1933"/>
      <c r="AG36" s="1933"/>
      <c r="AH36" s="1933"/>
      <c r="AI36" s="1933"/>
      <c r="AJ36" s="1933"/>
      <c r="AK36" s="1933"/>
    </row>
    <row r="37" spans="1:38">
      <c r="A37" s="149"/>
      <c r="D37" s="249"/>
      <c r="E37" s="1926" t="s">
        <v>2434</v>
      </c>
      <c r="F37" s="1926"/>
      <c r="G37" s="1926"/>
      <c r="H37" s="1926"/>
      <c r="I37" s="1926"/>
      <c r="J37" s="1926"/>
      <c r="K37" s="1926"/>
      <c r="L37" s="1926"/>
      <c r="M37" s="1926"/>
      <c r="N37" s="1926"/>
      <c r="O37" s="1926"/>
      <c r="P37" s="1926"/>
      <c r="Q37" s="1926"/>
      <c r="R37" s="1926"/>
      <c r="S37" s="1926"/>
      <c r="T37" s="1926"/>
      <c r="U37" s="1926"/>
      <c r="V37" s="1926"/>
      <c r="W37" s="1926"/>
      <c r="X37" s="1926"/>
      <c r="Y37" s="1926"/>
      <c r="Z37" s="1926"/>
      <c r="AA37" s="1926"/>
      <c r="AB37" s="1926"/>
      <c r="AC37" s="1926"/>
      <c r="AD37" s="1926"/>
      <c r="AE37" s="1926"/>
      <c r="AF37" s="1926"/>
      <c r="AG37" s="1926"/>
      <c r="AH37" s="1926"/>
      <c r="AI37" s="1926"/>
      <c r="AJ37" s="1926"/>
      <c r="AK37" s="1926"/>
    </row>
    <row r="38" spans="1:38">
      <c r="A38" s="149"/>
      <c r="D38" s="249"/>
      <c r="E38" s="1926" t="s">
        <v>2435</v>
      </c>
      <c r="F38" s="1926"/>
      <c r="G38" s="1926"/>
      <c r="H38" s="1926"/>
      <c r="I38" s="1926"/>
      <c r="J38" s="1926"/>
      <c r="K38" s="1926"/>
      <c r="L38" s="1926"/>
      <c r="M38" s="1926"/>
      <c r="N38" s="1926"/>
      <c r="O38" s="1926"/>
      <c r="P38" s="1926"/>
      <c r="Q38" s="1926"/>
      <c r="R38" s="1926"/>
      <c r="S38" s="1926"/>
      <c r="T38" s="1926"/>
      <c r="U38" s="1926"/>
      <c r="V38" s="1926"/>
      <c r="W38" s="1926"/>
      <c r="X38" s="1926"/>
      <c r="Y38" s="1926"/>
      <c r="Z38" s="1926"/>
      <c r="AA38" s="1926"/>
      <c r="AB38" s="1926"/>
      <c r="AC38" s="1926"/>
      <c r="AD38" s="1926"/>
      <c r="AE38" s="1926"/>
      <c r="AF38" s="1926"/>
      <c r="AG38" s="1926"/>
      <c r="AH38" s="1926"/>
      <c r="AI38" s="1926"/>
      <c r="AJ38" s="1926"/>
      <c r="AK38" s="192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342</v>
      </c>
      <c r="D40" s="5" t="s">
        <v>749</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113</v>
      </c>
      <c r="E41" s="149" t="s">
        <v>750</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17" customFormat="1" ht="13.15" customHeight="1">
      <c r="A42" s="149"/>
      <c r="B42"/>
      <c r="C42" s="5"/>
      <c r="D42" s="149"/>
      <c r="E42" s="149" t="s">
        <v>662</v>
      </c>
      <c r="F42" s="1917" t="s">
        <v>1306</v>
      </c>
    </row>
    <row r="43" spans="1:38" s="1917" customFormat="1" ht="13.15" customHeight="1">
      <c r="A43" s="149"/>
      <c r="B43" s="706"/>
      <c r="C43" s="5"/>
      <c r="D43" s="149"/>
      <c r="E43" s="149"/>
    </row>
    <row r="44" spans="1:38">
      <c r="A44" s="149"/>
      <c r="C44" s="5"/>
      <c r="D44" s="149"/>
      <c r="E44" s="149"/>
      <c r="F44" s="151" t="s">
        <v>697</v>
      </c>
      <c r="G44" s="149" t="s">
        <v>176</v>
      </c>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row>
    <row r="45" spans="1:38" s="759" customFormat="1" ht="13.15" customHeight="1">
      <c r="A45" s="149"/>
      <c r="B45"/>
      <c r="C45" s="5"/>
      <c r="D45" s="149"/>
      <c r="E45" s="6" t="s">
        <v>349</v>
      </c>
      <c r="F45" s="1925" t="s">
        <v>1401</v>
      </c>
      <c r="G45" s="1925"/>
      <c r="H45" s="1925"/>
      <c r="I45" s="1925"/>
      <c r="J45" s="1925"/>
      <c r="K45" s="1925"/>
      <c r="L45" s="1925"/>
      <c r="M45" s="1925"/>
      <c r="N45" s="1925"/>
      <c r="O45" s="1925"/>
      <c r="P45" s="1925"/>
      <c r="Q45" s="1925"/>
      <c r="R45" s="1925"/>
      <c r="S45" s="1925"/>
      <c r="T45" s="1925"/>
      <c r="U45" s="1925"/>
      <c r="V45" s="1925"/>
      <c r="W45" s="1925"/>
      <c r="X45" s="1925"/>
      <c r="Y45" s="1925"/>
      <c r="Z45" s="1925"/>
      <c r="AA45" s="1925"/>
      <c r="AB45" s="1925"/>
      <c r="AC45" s="1925"/>
      <c r="AD45" s="1925"/>
      <c r="AE45" s="1925"/>
      <c r="AF45" s="1925"/>
      <c r="AG45" s="1925"/>
      <c r="AH45" s="1925"/>
      <c r="AI45" s="1925"/>
      <c r="AJ45" s="1925"/>
      <c r="AK45" s="1925"/>
      <c r="AL45" s="1925"/>
    </row>
    <row r="46" spans="1:38" s="759" customFormat="1">
      <c r="A46" s="149"/>
      <c r="B46" s="706"/>
      <c r="C46" s="5"/>
      <c r="D46" s="149"/>
      <c r="E46" s="149"/>
      <c r="F46" s="1925"/>
      <c r="G46" s="1925"/>
      <c r="H46" s="1925"/>
      <c r="I46" s="1925"/>
      <c r="J46" s="1925"/>
      <c r="K46" s="1925"/>
      <c r="L46" s="1925"/>
      <c r="M46" s="1925"/>
      <c r="N46" s="1925"/>
      <c r="O46" s="1925"/>
      <c r="P46" s="1925"/>
      <c r="Q46" s="1925"/>
      <c r="R46" s="1925"/>
      <c r="S46" s="1925"/>
      <c r="T46" s="1925"/>
      <c r="U46" s="1925"/>
      <c r="V46" s="1925"/>
      <c r="W46" s="1925"/>
      <c r="X46" s="1925"/>
      <c r="Y46" s="1925"/>
      <c r="Z46" s="1925"/>
      <c r="AA46" s="1925"/>
      <c r="AB46" s="1925"/>
      <c r="AC46" s="1925"/>
      <c r="AD46" s="1925"/>
      <c r="AE46" s="1925"/>
      <c r="AF46" s="1925"/>
      <c r="AG46" s="1925"/>
      <c r="AH46" s="1925"/>
      <c r="AI46" s="1925"/>
      <c r="AJ46" s="1925"/>
      <c r="AK46" s="1925"/>
      <c r="AL46" s="1925"/>
    </row>
    <row r="47" spans="1:38" s="759" customFormat="1" ht="13.15" customHeight="1">
      <c r="A47" s="149"/>
      <c r="B47" s="706"/>
      <c r="C47" s="5"/>
      <c r="D47" s="149"/>
      <c r="E47" s="149"/>
      <c r="F47" s="1925"/>
      <c r="G47" s="1925"/>
      <c r="H47" s="1925"/>
      <c r="I47" s="1925"/>
      <c r="J47" s="1925"/>
      <c r="K47" s="1925"/>
      <c r="L47" s="1925"/>
      <c r="M47" s="1925"/>
      <c r="N47" s="1925"/>
      <c r="O47" s="1925"/>
      <c r="P47" s="1925"/>
      <c r="Q47" s="1925"/>
      <c r="R47" s="1925"/>
      <c r="S47" s="1925"/>
      <c r="T47" s="1925"/>
      <c r="U47" s="1925"/>
      <c r="V47" s="1925"/>
      <c r="W47" s="1925"/>
      <c r="X47" s="1925"/>
      <c r="Y47" s="1925"/>
      <c r="Z47" s="1925"/>
      <c r="AA47" s="1925"/>
      <c r="AB47" s="1925"/>
      <c r="AC47" s="1925"/>
      <c r="AD47" s="1925"/>
      <c r="AE47" s="1925"/>
      <c r="AF47" s="1925"/>
      <c r="AG47" s="1925"/>
      <c r="AH47" s="1925"/>
      <c r="AI47" s="1925"/>
      <c r="AJ47" s="1925"/>
      <c r="AK47" s="1925"/>
      <c r="AL47" s="1925"/>
    </row>
    <row r="48" spans="1:38">
      <c r="A48" s="149"/>
      <c r="C48" s="5"/>
      <c r="D48" s="149"/>
      <c r="E48" s="149"/>
      <c r="F48" s="759" t="s">
        <v>697</v>
      </c>
      <c r="G48" s="6" t="s">
        <v>2428</v>
      </c>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row>
    <row r="49" spans="1:38" s="706" customFormat="1">
      <c r="A49" s="149"/>
      <c r="C49" s="5"/>
      <c r="D49" s="149"/>
      <c r="E49" s="149"/>
      <c r="F49" s="151" t="s">
        <v>518</v>
      </c>
      <c r="G49" s="149" t="s">
        <v>556</v>
      </c>
      <c r="I49" s="149"/>
      <c r="J49" s="149"/>
      <c r="K49" s="149"/>
      <c r="L49" s="149"/>
      <c r="O49" s="149"/>
      <c r="P49" s="149"/>
      <c r="Q49" s="149"/>
      <c r="R49" s="149"/>
      <c r="S49" s="149"/>
      <c r="T49" s="149"/>
      <c r="U49" s="149"/>
      <c r="V49" s="149"/>
      <c r="W49" s="149"/>
      <c r="X49" s="149"/>
      <c r="Y49" s="149"/>
      <c r="Z49" s="149"/>
      <c r="AA49" s="149"/>
      <c r="AB49" s="149"/>
    </row>
    <row r="50" spans="1:38" s="706" customFormat="1">
      <c r="A50" s="149"/>
      <c r="C50" s="5"/>
      <c r="D50" s="149"/>
      <c r="E50" s="6" t="s">
        <v>350</v>
      </c>
      <c r="F50" s="1917" t="s">
        <v>2429</v>
      </c>
      <c r="G50" s="1917"/>
      <c r="H50" s="1917"/>
      <c r="I50" s="1917"/>
      <c r="J50" s="1917"/>
      <c r="K50" s="1917"/>
      <c r="L50" s="1917"/>
      <c r="M50" s="1917"/>
      <c r="N50" s="1917"/>
      <c r="O50" s="1917"/>
      <c r="P50" s="1917"/>
      <c r="Q50" s="1917"/>
      <c r="R50" s="1917"/>
      <c r="S50" s="1917"/>
      <c r="T50" s="1917"/>
      <c r="U50" s="1917"/>
      <c r="V50" s="1917"/>
      <c r="W50" s="1917"/>
      <c r="X50" s="1917"/>
      <c r="Y50" s="1917"/>
      <c r="Z50" s="1917"/>
      <c r="AA50" s="1917"/>
      <c r="AB50" s="1917"/>
      <c r="AC50" s="1917"/>
      <c r="AD50" s="1917"/>
      <c r="AE50" s="1917"/>
      <c r="AF50" s="1917"/>
      <c r="AG50" s="1917"/>
      <c r="AH50" s="1917"/>
      <c r="AI50" s="1917"/>
      <c r="AJ50" s="1917"/>
      <c r="AK50" s="1917"/>
    </row>
    <row r="51" spans="1:38">
      <c r="A51" s="149"/>
      <c r="C51" s="5"/>
      <c r="D51" s="149"/>
      <c r="E51" s="149"/>
      <c r="F51" s="1917"/>
      <c r="G51" s="1917"/>
      <c r="H51" s="1917"/>
      <c r="I51" s="1917"/>
      <c r="J51" s="1917"/>
      <c r="K51" s="1917"/>
      <c r="L51" s="1917"/>
      <c r="M51" s="1917"/>
      <c r="N51" s="1917"/>
      <c r="O51" s="1917"/>
      <c r="P51" s="1917"/>
      <c r="Q51" s="1917"/>
      <c r="R51" s="1917"/>
      <c r="S51" s="1917"/>
      <c r="T51" s="1917"/>
      <c r="U51" s="1917"/>
      <c r="V51" s="1917"/>
      <c r="W51" s="1917"/>
      <c r="X51" s="1917"/>
      <c r="Y51" s="1917"/>
      <c r="Z51" s="1917"/>
      <c r="AA51" s="1917"/>
      <c r="AB51" s="1917"/>
      <c r="AC51" s="1917"/>
      <c r="AD51" s="1917"/>
      <c r="AE51" s="1917"/>
      <c r="AF51" s="1917"/>
      <c r="AG51" s="1917"/>
      <c r="AH51" s="1917"/>
      <c r="AI51" s="1917"/>
      <c r="AJ51" s="1917"/>
      <c r="AK51" s="1917"/>
    </row>
    <row r="52" spans="1:38">
      <c r="A52" s="149"/>
      <c r="C52" s="5"/>
      <c r="D52" s="149"/>
      <c r="F52" s="1917"/>
      <c r="G52" s="1917"/>
      <c r="H52" s="1917"/>
      <c r="I52" s="1917"/>
      <c r="J52" s="1917"/>
      <c r="K52" s="1917"/>
      <c r="L52" s="1917"/>
      <c r="M52" s="1917"/>
      <c r="N52" s="1917"/>
      <c r="O52" s="1917"/>
      <c r="P52" s="1917"/>
      <c r="Q52" s="1917"/>
      <c r="R52" s="1917"/>
      <c r="S52" s="1917"/>
      <c r="T52" s="1917"/>
      <c r="U52" s="1917"/>
      <c r="V52" s="1917"/>
      <c r="W52" s="1917"/>
      <c r="X52" s="1917"/>
      <c r="Y52" s="1917"/>
      <c r="Z52" s="1917"/>
      <c r="AA52" s="1917"/>
      <c r="AB52" s="1917"/>
      <c r="AC52" s="1917"/>
      <c r="AD52" s="1917"/>
      <c r="AE52" s="1917"/>
      <c r="AF52" s="1917"/>
      <c r="AG52" s="1917"/>
      <c r="AH52" s="1917"/>
      <c r="AI52" s="1917"/>
      <c r="AJ52" s="1917"/>
      <c r="AK52" s="191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114</v>
      </c>
      <c r="E54" s="149" t="s">
        <v>660</v>
      </c>
      <c r="F54" s="149"/>
      <c r="G54" s="149"/>
      <c r="H54" s="149"/>
      <c r="I54" s="149"/>
      <c r="J54" s="252"/>
      <c r="K54" s="252"/>
      <c r="L54" s="252"/>
      <c r="M54" s="252"/>
      <c r="N54" s="252"/>
      <c r="O54" s="184"/>
      <c r="P54" s="184"/>
      <c r="Q54" s="184"/>
      <c r="R54" s="184"/>
      <c r="S54" s="184"/>
      <c r="T54" s="184"/>
      <c r="U54" s="149"/>
      <c r="V54" s="149"/>
      <c r="W54" s="149"/>
      <c r="X54" s="149"/>
      <c r="Y54" s="149"/>
      <c r="Z54" s="149"/>
      <c r="AA54" s="149"/>
      <c r="AB54" s="149"/>
    </row>
    <row r="55" spans="1:38">
      <c r="A55" s="149"/>
      <c r="C55" s="5"/>
      <c r="D55" s="5"/>
      <c r="E55" s="149" t="s">
        <v>662</v>
      </c>
      <c r="F55" s="6" t="s">
        <v>1334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6"/>
      <c r="B56" s="324"/>
      <c r="C56" s="325"/>
      <c r="D56" s="325"/>
      <c r="E56" s="326"/>
      <c r="F56" s="330" t="s">
        <v>697</v>
      </c>
      <c r="G56" s="1923" t="s">
        <v>1333</v>
      </c>
      <c r="H56" s="1923"/>
      <c r="I56" s="1923"/>
      <c r="J56" s="1923"/>
      <c r="K56" s="1923"/>
      <c r="L56" s="1923"/>
      <c r="M56" s="1923"/>
      <c r="N56" s="1923"/>
      <c r="O56" s="1923"/>
      <c r="P56" s="1923"/>
      <c r="Q56" s="1923"/>
      <c r="R56" s="1923"/>
      <c r="S56" s="1923"/>
      <c r="T56" s="1923"/>
      <c r="U56" s="1923"/>
      <c r="V56" s="1923"/>
      <c r="W56" s="1923"/>
      <c r="X56" s="1923"/>
      <c r="Y56" s="1923"/>
      <c r="Z56" s="1923"/>
      <c r="AA56" s="1923"/>
      <c r="AB56" s="1923"/>
      <c r="AC56" s="1923"/>
      <c r="AD56" s="1923"/>
      <c r="AE56" s="1923"/>
      <c r="AF56" s="1923"/>
      <c r="AG56" s="1923"/>
      <c r="AH56" s="1923"/>
      <c r="AI56" s="1923"/>
      <c r="AJ56" s="1923"/>
      <c r="AK56" s="1923"/>
      <c r="AL56" s="324"/>
    </row>
    <row r="57" spans="1:38" s="706" customFormat="1" ht="13.15" customHeight="1">
      <c r="A57" s="326"/>
      <c r="B57" s="324"/>
      <c r="C57" s="325"/>
      <c r="D57" s="325"/>
      <c r="E57" s="326"/>
      <c r="F57" s="330"/>
      <c r="G57" s="766" t="s">
        <v>1335</v>
      </c>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324"/>
    </row>
    <row r="58" spans="1:38" s="2" customFormat="1">
      <c r="A58" s="326"/>
      <c r="B58" s="324"/>
      <c r="C58" s="325"/>
      <c r="D58" s="325"/>
      <c r="E58" s="326"/>
      <c r="F58" s="330"/>
      <c r="G58" s="1923" t="s">
        <v>584</v>
      </c>
      <c r="H58" s="1923"/>
      <c r="I58" s="1923"/>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324"/>
    </row>
    <row r="59" spans="1:38" s="2" customFormat="1" ht="13.15" customHeight="1">
      <c r="A59" s="326"/>
      <c r="B59" s="325"/>
      <c r="C59" s="325"/>
      <c r="D59" s="325"/>
      <c r="E59" s="326"/>
      <c r="F59" s="330" t="s">
        <v>518</v>
      </c>
      <c r="G59" s="1924" t="s">
        <v>2430</v>
      </c>
      <c r="H59" s="1924"/>
      <c r="I59" s="1924"/>
      <c r="J59" s="1924"/>
      <c r="K59" s="1924"/>
      <c r="L59" s="1924"/>
      <c r="M59" s="1924"/>
      <c r="N59" s="1924"/>
      <c r="O59" s="1924"/>
      <c r="P59" s="1924"/>
      <c r="Q59" s="1924"/>
      <c r="R59" s="1924"/>
      <c r="S59" s="1924"/>
      <c r="T59" s="1924"/>
      <c r="U59" s="1924"/>
      <c r="V59" s="1924"/>
      <c r="W59" s="1924"/>
      <c r="X59" s="1924"/>
      <c r="Y59" s="1924"/>
      <c r="Z59" s="1924"/>
      <c r="AA59" s="1924"/>
      <c r="AB59" s="1924"/>
      <c r="AC59" s="1924"/>
      <c r="AD59" s="1924"/>
      <c r="AE59" s="1924"/>
      <c r="AF59" s="1924"/>
      <c r="AG59" s="1924"/>
      <c r="AH59" s="1924"/>
      <c r="AI59" s="1924"/>
      <c r="AJ59" s="1924"/>
      <c r="AK59" s="1924"/>
      <c r="AL59" s="1924"/>
    </row>
    <row r="60" spans="1:38" s="2" customFormat="1">
      <c r="A60" s="326"/>
      <c r="B60" s="324"/>
      <c r="C60" s="325"/>
      <c r="D60" s="325"/>
      <c r="E60" s="326"/>
      <c r="F60" s="330"/>
      <c r="G60" s="1924"/>
      <c r="H60" s="1924"/>
      <c r="I60" s="1924"/>
      <c r="J60" s="1924"/>
      <c r="K60" s="1924"/>
      <c r="L60" s="1924"/>
      <c r="M60" s="1924"/>
      <c r="N60" s="1924"/>
      <c r="O60" s="1924"/>
      <c r="P60" s="1924"/>
      <c r="Q60" s="1924"/>
      <c r="R60" s="1924"/>
      <c r="S60" s="1924"/>
      <c r="T60" s="1924"/>
      <c r="U60" s="1924"/>
      <c r="V60" s="1924"/>
      <c r="W60" s="1924"/>
      <c r="X60" s="1924"/>
      <c r="Y60" s="1924"/>
      <c r="Z60" s="1924"/>
      <c r="AA60" s="1924"/>
      <c r="AB60" s="1924"/>
      <c r="AC60" s="1924"/>
      <c r="AD60" s="1924"/>
      <c r="AE60" s="1924"/>
      <c r="AF60" s="1924"/>
      <c r="AG60" s="1924"/>
      <c r="AH60" s="1924"/>
      <c r="AI60" s="1924"/>
      <c r="AJ60" s="1924"/>
      <c r="AK60" s="1924"/>
      <c r="AL60" s="1924"/>
    </row>
    <row r="61" spans="1:38">
      <c r="A61" s="328"/>
      <c r="B61" s="327"/>
      <c r="C61" s="329"/>
      <c r="D61" s="329"/>
      <c r="E61" s="328"/>
      <c r="F61" s="331"/>
      <c r="G61" s="767" t="s">
        <v>1442</v>
      </c>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327"/>
    </row>
    <row r="62" spans="1:38">
      <c r="A62" s="182"/>
      <c r="B62" s="2"/>
      <c r="C62" s="183"/>
      <c r="D62" s="183"/>
      <c r="E62" s="182"/>
      <c r="F62" s="183"/>
      <c r="G62" s="183"/>
      <c r="H62" s="666"/>
      <c r="I62" s="183"/>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c r="A63" s="149"/>
      <c r="B63" s="149"/>
      <c r="C63" s="149"/>
      <c r="D63" s="149" t="s">
        <v>120</v>
      </c>
      <c r="E63" s="149" t="s">
        <v>175</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1307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662</v>
      </c>
      <c r="F65" s="149" t="s">
        <v>517</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697</v>
      </c>
      <c r="G66" s="1917" t="s">
        <v>1308</v>
      </c>
      <c r="H66" s="1917"/>
      <c r="I66" s="1917"/>
      <c r="J66" s="1917"/>
      <c r="K66" s="1917"/>
      <c r="L66" s="1917"/>
      <c r="M66" s="1917"/>
      <c r="N66" s="1917"/>
      <c r="O66" s="1917"/>
      <c r="P66" s="1917"/>
      <c r="Q66" s="1917"/>
      <c r="R66" s="1917"/>
      <c r="S66" s="1917"/>
      <c r="T66" s="1917"/>
      <c r="U66" s="1917"/>
      <c r="V66" s="1917"/>
      <c r="W66" s="1917"/>
      <c r="X66" s="1917"/>
      <c r="Y66" s="1917"/>
      <c r="Z66" s="1917"/>
      <c r="AA66" s="1917"/>
      <c r="AB66" s="1917"/>
      <c r="AC66" s="1917"/>
      <c r="AD66" s="1917"/>
      <c r="AE66" s="1917"/>
      <c r="AF66" s="1917"/>
      <c r="AG66" s="1917"/>
      <c r="AH66" s="1917"/>
      <c r="AI66" s="1917"/>
      <c r="AJ66" s="1917"/>
      <c r="AK66" s="1917"/>
    </row>
    <row r="67" spans="1:37">
      <c r="A67" s="149"/>
      <c r="C67" s="5"/>
      <c r="D67" s="149"/>
      <c r="E67" s="149"/>
      <c r="F67" s="9"/>
      <c r="G67" s="1917"/>
      <c r="H67" s="1917"/>
      <c r="I67" s="1917"/>
      <c r="J67" s="1917"/>
      <c r="K67" s="1917"/>
      <c r="L67" s="1917"/>
      <c r="M67" s="1917"/>
      <c r="N67" s="1917"/>
      <c r="O67" s="1917"/>
      <c r="P67" s="1917"/>
      <c r="Q67" s="1917"/>
      <c r="R67" s="1917"/>
      <c r="S67" s="1917"/>
      <c r="T67" s="1917"/>
      <c r="U67" s="1917"/>
      <c r="V67" s="1917"/>
      <c r="W67" s="1917"/>
      <c r="X67" s="1917"/>
      <c r="Y67" s="1917"/>
      <c r="Z67" s="1917"/>
      <c r="AA67" s="1917"/>
      <c r="AB67" s="1917"/>
      <c r="AC67" s="1917"/>
      <c r="AD67" s="1917"/>
      <c r="AE67" s="1917"/>
      <c r="AF67" s="1917"/>
      <c r="AG67" s="1917"/>
      <c r="AH67" s="1917"/>
      <c r="AI67" s="1917"/>
      <c r="AJ67" s="1917"/>
      <c r="AK67" s="1917"/>
    </row>
    <row r="68" spans="1:37">
      <c r="A68" s="149"/>
      <c r="C68" s="5"/>
      <c r="D68" s="149"/>
      <c r="E68" s="149"/>
      <c r="F68" s="9"/>
      <c r="G68" s="1917"/>
      <c r="H68" s="1917"/>
      <c r="I68" s="1917"/>
      <c r="J68" s="1917"/>
      <c r="K68" s="1917"/>
      <c r="L68" s="1917"/>
      <c r="M68" s="1917"/>
      <c r="N68" s="1917"/>
      <c r="O68" s="1917"/>
      <c r="P68" s="1917"/>
      <c r="Q68" s="1917"/>
      <c r="R68" s="1917"/>
      <c r="S68" s="1917"/>
      <c r="T68" s="1917"/>
      <c r="U68" s="1917"/>
      <c r="V68" s="1917"/>
      <c r="W68" s="1917"/>
      <c r="X68" s="1917"/>
      <c r="Y68" s="1917"/>
      <c r="Z68" s="1917"/>
      <c r="AA68" s="1917"/>
      <c r="AB68" s="1917"/>
      <c r="AC68" s="1917"/>
      <c r="AD68" s="1917"/>
      <c r="AE68" s="1917"/>
      <c r="AF68" s="1917"/>
      <c r="AG68" s="1917"/>
      <c r="AH68" s="1917"/>
      <c r="AI68" s="1917"/>
      <c r="AJ68" s="1917"/>
      <c r="AK68" s="1917"/>
    </row>
    <row r="69" spans="1:37" ht="13.15" customHeight="1">
      <c r="A69" s="149"/>
      <c r="C69" s="5"/>
      <c r="D69" s="149"/>
      <c r="E69" s="149"/>
      <c r="F69" s="9" t="s">
        <v>518</v>
      </c>
      <c r="G69" s="1917" t="s">
        <v>1309</v>
      </c>
      <c r="H69" s="1917"/>
      <c r="I69" s="1917"/>
      <c r="J69" s="1917"/>
      <c r="K69" s="1917"/>
      <c r="L69" s="1917"/>
      <c r="M69" s="1917"/>
      <c r="N69" s="1917"/>
      <c r="O69" s="1917"/>
      <c r="P69" s="1917"/>
      <c r="Q69" s="1917"/>
      <c r="R69" s="1917"/>
      <c r="S69" s="1917"/>
      <c r="T69" s="1917"/>
      <c r="U69" s="1917"/>
      <c r="V69" s="1917"/>
      <c r="W69" s="1917"/>
      <c r="X69" s="1917"/>
      <c r="Y69" s="1917"/>
      <c r="Z69" s="1917"/>
      <c r="AA69" s="1917"/>
      <c r="AB69" s="1917"/>
      <c r="AC69" s="1917"/>
      <c r="AD69" s="1917"/>
      <c r="AE69" s="1917"/>
      <c r="AF69" s="1917"/>
      <c r="AG69" s="1917"/>
      <c r="AH69" s="1917"/>
      <c r="AI69" s="1917"/>
      <c r="AJ69" s="1917"/>
      <c r="AK69" s="1917"/>
    </row>
    <row r="70" spans="1:37">
      <c r="A70" s="149"/>
      <c r="C70" s="5"/>
      <c r="D70" s="149"/>
      <c r="E70" s="149"/>
      <c r="F70" s="374"/>
      <c r="G70" s="1917"/>
      <c r="H70" s="1917"/>
      <c r="I70" s="1917"/>
      <c r="J70" s="1917"/>
      <c r="K70" s="1917"/>
      <c r="L70" s="1917"/>
      <c r="M70" s="1917"/>
      <c r="N70" s="1917"/>
      <c r="O70" s="1917"/>
      <c r="P70" s="1917"/>
      <c r="Q70" s="1917"/>
      <c r="R70" s="1917"/>
      <c r="S70" s="1917"/>
      <c r="T70" s="1917"/>
      <c r="U70" s="1917"/>
      <c r="V70" s="1917"/>
      <c r="W70" s="1917"/>
      <c r="X70" s="1917"/>
      <c r="Y70" s="1917"/>
      <c r="Z70" s="1917"/>
      <c r="AA70" s="1917"/>
      <c r="AB70" s="1917"/>
      <c r="AC70" s="1917"/>
      <c r="AD70" s="1917"/>
      <c r="AE70" s="1917"/>
      <c r="AF70" s="1917"/>
      <c r="AG70" s="1917"/>
      <c r="AH70" s="1917"/>
      <c r="AI70" s="1917"/>
      <c r="AJ70" s="1917"/>
      <c r="AK70" s="1917"/>
    </row>
    <row r="71" spans="1:37">
      <c r="A71" s="149"/>
      <c r="C71" s="5"/>
      <c r="D71" s="149"/>
      <c r="E71" s="149" t="s">
        <v>349</v>
      </c>
      <c r="F71" s="149" t="s">
        <v>422</v>
      </c>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2" spans="1:37">
      <c r="A72" s="149"/>
      <c r="C72" s="5"/>
      <c r="D72" s="149"/>
      <c r="E72" s="149"/>
      <c r="F72" s="248" t="s">
        <v>697</v>
      </c>
      <c r="G72" s="1917" t="s">
        <v>1310</v>
      </c>
      <c r="H72" s="1917"/>
      <c r="I72" s="1917"/>
      <c r="J72" s="1917"/>
      <c r="K72" s="1917"/>
      <c r="L72" s="1917"/>
      <c r="M72" s="1917"/>
      <c r="N72" s="1917"/>
      <c r="O72" s="1917"/>
      <c r="P72" s="1917"/>
      <c r="Q72" s="1917"/>
      <c r="R72" s="1917"/>
      <c r="S72" s="1917"/>
      <c r="T72" s="1917"/>
      <c r="U72" s="1917"/>
      <c r="V72" s="1917"/>
      <c r="W72" s="1917"/>
      <c r="X72" s="1917"/>
      <c r="Y72" s="1917"/>
      <c r="Z72" s="1917"/>
      <c r="AA72" s="1917"/>
      <c r="AB72" s="1917"/>
      <c r="AC72" s="1917"/>
      <c r="AD72" s="1917"/>
      <c r="AE72" s="1917"/>
      <c r="AF72" s="1917"/>
      <c r="AG72" s="1917"/>
      <c r="AH72" s="1917"/>
      <c r="AI72" s="1917"/>
      <c r="AJ72" s="1917"/>
      <c r="AK72" s="1917"/>
    </row>
    <row r="73" spans="1:37">
      <c r="A73" s="149"/>
      <c r="C73" s="5"/>
      <c r="D73" s="149"/>
      <c r="E73" s="149"/>
      <c r="F73" s="248"/>
      <c r="G73" s="1917"/>
      <c r="H73" s="1917"/>
      <c r="I73" s="1917"/>
      <c r="J73" s="1917"/>
      <c r="K73" s="1917"/>
      <c r="L73" s="1917"/>
      <c r="M73" s="1917"/>
      <c r="N73" s="1917"/>
      <c r="O73" s="1917"/>
      <c r="P73" s="1917"/>
      <c r="Q73" s="1917"/>
      <c r="R73" s="1917"/>
      <c r="S73" s="1917"/>
      <c r="T73" s="1917"/>
      <c r="U73" s="1917"/>
      <c r="V73" s="1917"/>
      <c r="W73" s="1917"/>
      <c r="X73" s="1917"/>
      <c r="Y73" s="1917"/>
      <c r="Z73" s="1917"/>
      <c r="AA73" s="1917"/>
      <c r="AB73" s="1917"/>
      <c r="AC73" s="1917"/>
      <c r="AD73" s="1917"/>
      <c r="AE73" s="1917"/>
      <c r="AF73" s="1917"/>
      <c r="AG73" s="1917"/>
      <c r="AH73" s="1917"/>
      <c r="AI73" s="1917"/>
      <c r="AJ73" s="1917"/>
      <c r="AK73" s="1917"/>
    </row>
    <row r="74" spans="1:37">
      <c r="A74" s="149"/>
      <c r="C74" s="5"/>
      <c r="D74" s="149"/>
      <c r="E74" s="149"/>
      <c r="F74" s="248" t="s">
        <v>518</v>
      </c>
      <c r="G74" s="1917" t="s">
        <v>1311</v>
      </c>
      <c r="H74" s="1917"/>
      <c r="I74" s="1917"/>
      <c r="J74" s="1917"/>
      <c r="K74" s="1917"/>
      <c r="L74" s="1917"/>
      <c r="M74" s="1917"/>
      <c r="N74" s="1917"/>
      <c r="O74" s="1917"/>
      <c r="P74" s="1917"/>
      <c r="Q74" s="1917"/>
      <c r="R74" s="1917"/>
      <c r="S74" s="1917"/>
      <c r="T74" s="1917"/>
      <c r="U74" s="1917"/>
      <c r="V74" s="1917"/>
      <c r="W74" s="1917"/>
      <c r="X74" s="1917"/>
      <c r="Y74" s="1917"/>
      <c r="Z74" s="1917"/>
      <c r="AA74" s="1917"/>
      <c r="AB74" s="1917"/>
      <c r="AC74" s="1917"/>
      <c r="AD74" s="1917"/>
      <c r="AE74" s="1917"/>
      <c r="AF74" s="1917"/>
      <c r="AG74" s="1917"/>
      <c r="AH74" s="1917"/>
      <c r="AI74" s="1917"/>
      <c r="AJ74" s="1917"/>
      <c r="AK74" s="1917"/>
    </row>
    <row r="75" spans="1:37">
      <c r="A75" s="149"/>
      <c r="C75" s="5"/>
      <c r="D75" s="149"/>
      <c r="E75" s="149"/>
      <c r="F75" s="248"/>
      <c r="G75" s="1917"/>
      <c r="H75" s="1917"/>
      <c r="I75" s="1917"/>
      <c r="J75" s="1917"/>
      <c r="K75" s="1917"/>
      <c r="L75" s="1917"/>
      <c r="M75" s="1917"/>
      <c r="N75" s="1917"/>
      <c r="O75" s="1917"/>
      <c r="P75" s="1917"/>
      <c r="Q75" s="1917"/>
      <c r="R75" s="1917"/>
      <c r="S75" s="1917"/>
      <c r="T75" s="1917"/>
      <c r="U75" s="1917"/>
      <c r="V75" s="1917"/>
      <c r="W75" s="1917"/>
      <c r="X75" s="1917"/>
      <c r="Y75" s="1917"/>
      <c r="Z75" s="1917"/>
      <c r="AA75" s="1917"/>
      <c r="AB75" s="1917"/>
      <c r="AC75" s="1917"/>
      <c r="AD75" s="1917"/>
      <c r="AE75" s="1917"/>
      <c r="AF75" s="1917"/>
      <c r="AG75" s="1917"/>
      <c r="AH75" s="1917"/>
      <c r="AI75" s="1917"/>
      <c r="AJ75" s="1917"/>
      <c r="AK75" s="1917"/>
    </row>
    <row r="76" spans="1:37">
      <c r="A76" s="149"/>
      <c r="C76" s="5"/>
      <c r="D76" s="149"/>
      <c r="E76" s="149"/>
      <c r="F76" s="248"/>
      <c r="G76" s="184" t="s">
        <v>762</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8"/>
      <c r="G77" s="184" t="s">
        <v>892</v>
      </c>
      <c r="J77" s="184"/>
      <c r="K77" s="184"/>
      <c r="L77" s="184"/>
      <c r="P77" s="149"/>
      <c r="Q77" s="149"/>
      <c r="R77" s="149"/>
      <c r="S77" s="149"/>
      <c r="T77" s="149"/>
      <c r="U77" s="149"/>
      <c r="V77" s="149"/>
      <c r="W77" s="149"/>
      <c r="X77" s="149"/>
      <c r="Y77" s="149"/>
      <c r="Z77" s="149"/>
      <c r="AA77" s="149"/>
      <c r="AB77" s="149"/>
    </row>
    <row r="78" spans="1:37">
      <c r="A78" s="149"/>
      <c r="C78" s="5"/>
      <c r="D78" s="149"/>
      <c r="E78" s="149"/>
      <c r="F78" s="248" t="s">
        <v>279</v>
      </c>
      <c r="G78" s="149" t="s">
        <v>1071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516</v>
      </c>
      <c r="H79" s="149" t="s">
        <v>893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769</v>
      </c>
      <c r="H80" s="149" t="s">
        <v>765</v>
      </c>
      <c r="K80" s="149"/>
      <c r="L80" s="149"/>
      <c r="M80" s="149"/>
      <c r="P80" s="149"/>
      <c r="Q80" s="149"/>
      <c r="R80" s="149"/>
      <c r="S80" s="149"/>
      <c r="T80" s="149"/>
      <c r="U80" s="149"/>
      <c r="V80" s="149"/>
      <c r="W80" s="149"/>
      <c r="X80" s="149"/>
      <c r="Y80" s="149"/>
      <c r="Z80" s="149"/>
      <c r="AA80" s="149"/>
      <c r="AB80" s="149"/>
    </row>
    <row r="81" spans="1:37">
      <c r="A81" s="149"/>
      <c r="C81" s="5"/>
      <c r="D81" s="149"/>
      <c r="E81" s="149" t="s">
        <v>350</v>
      </c>
      <c r="F81" s="149" t="s">
        <v>22</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8"/>
      <c r="G82" s="1917" t="s">
        <v>1312</v>
      </c>
      <c r="H82" s="1917"/>
      <c r="I82" s="1917"/>
      <c r="J82" s="1917"/>
      <c r="K82" s="1917"/>
      <c r="L82" s="1917"/>
      <c r="M82" s="1917"/>
      <c r="N82" s="1917"/>
      <c r="O82" s="1917"/>
      <c r="P82" s="1917"/>
      <c r="Q82" s="1917"/>
      <c r="R82" s="1917"/>
      <c r="S82" s="1917"/>
      <c r="T82" s="1917"/>
      <c r="U82" s="1917"/>
      <c r="V82" s="1917"/>
      <c r="W82" s="1917"/>
      <c r="X82" s="1917"/>
      <c r="Y82" s="1917"/>
      <c r="Z82" s="1917"/>
      <c r="AA82" s="1917"/>
      <c r="AB82" s="1917"/>
      <c r="AC82" s="1917"/>
      <c r="AD82" s="1917"/>
      <c r="AE82" s="1917"/>
      <c r="AF82" s="1917"/>
      <c r="AG82" s="1917"/>
      <c r="AH82" s="1917"/>
      <c r="AI82" s="1917"/>
      <c r="AJ82" s="1917"/>
      <c r="AK82" s="1917"/>
    </row>
    <row r="83" spans="1:37">
      <c r="A83" s="149"/>
      <c r="C83" s="5"/>
      <c r="D83" s="149"/>
      <c r="E83" s="149"/>
      <c r="F83" s="149"/>
      <c r="G83" s="1917"/>
      <c r="H83" s="1917"/>
      <c r="I83" s="1917"/>
      <c r="J83" s="1917"/>
      <c r="K83" s="1917"/>
      <c r="L83" s="1917"/>
      <c r="M83" s="1917"/>
      <c r="N83" s="1917"/>
      <c r="O83" s="1917"/>
      <c r="P83" s="1917"/>
      <c r="Q83" s="1917"/>
      <c r="R83" s="1917"/>
      <c r="S83" s="1917"/>
      <c r="T83" s="1917"/>
      <c r="U83" s="1917"/>
      <c r="V83" s="1917"/>
      <c r="W83" s="1917"/>
      <c r="X83" s="1917"/>
      <c r="Y83" s="1917"/>
      <c r="Z83" s="1917"/>
      <c r="AA83" s="1917"/>
      <c r="AB83" s="1917"/>
      <c r="AC83" s="1917"/>
      <c r="AD83" s="1917"/>
      <c r="AE83" s="1917"/>
      <c r="AF83" s="1917"/>
      <c r="AG83" s="1917"/>
      <c r="AH83" s="1917"/>
      <c r="AI83" s="1917"/>
      <c r="AJ83" s="1917"/>
      <c r="AK83" s="1917"/>
    </row>
    <row r="84" spans="1:37" s="706" customFormat="1">
      <c r="A84" s="149"/>
      <c r="C84" s="5"/>
      <c r="D84" s="149"/>
      <c r="E84" s="149"/>
      <c r="F84" s="149"/>
      <c r="G84" s="1917"/>
      <c r="H84" s="1917"/>
      <c r="I84" s="1917"/>
      <c r="J84" s="1917"/>
      <c r="K84" s="1917"/>
      <c r="L84" s="1917"/>
      <c r="M84" s="1917"/>
      <c r="N84" s="1917"/>
      <c r="O84" s="1917"/>
      <c r="P84" s="1917"/>
      <c r="Q84" s="1917"/>
      <c r="R84" s="1917"/>
      <c r="S84" s="1917"/>
      <c r="T84" s="1917"/>
      <c r="U84" s="1917"/>
      <c r="V84" s="1917"/>
      <c r="W84" s="1917"/>
      <c r="X84" s="1917"/>
      <c r="Y84" s="1917"/>
      <c r="Z84" s="1917"/>
      <c r="AA84" s="1917"/>
      <c r="AB84" s="1917"/>
      <c r="AC84" s="1917"/>
      <c r="AD84" s="1917"/>
      <c r="AE84" s="1917"/>
      <c r="AF84" s="1917"/>
      <c r="AG84" s="1917"/>
      <c r="AH84" s="1917"/>
      <c r="AI84" s="1917"/>
      <c r="AJ84" s="1917"/>
      <c r="AK84" s="1917"/>
    </row>
    <row r="85" spans="1:37">
      <c r="A85" s="149"/>
      <c r="C85" s="5"/>
      <c r="D85" s="149"/>
      <c r="E85" s="149" t="s">
        <v>447</v>
      </c>
      <c r="F85" s="149" t="s">
        <v>625</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8"/>
      <c r="G86" s="1917" t="s">
        <v>1313</v>
      </c>
      <c r="H86" s="1917"/>
      <c r="I86" s="1917"/>
      <c r="J86" s="1917"/>
      <c r="K86" s="1917"/>
      <c r="L86" s="1917"/>
      <c r="M86" s="1917"/>
      <c r="N86" s="1917"/>
      <c r="O86" s="1917"/>
      <c r="P86" s="1917"/>
      <c r="Q86" s="1917"/>
      <c r="R86" s="1917"/>
      <c r="S86" s="1917"/>
      <c r="T86" s="1917"/>
      <c r="U86" s="1917"/>
      <c r="V86" s="1917"/>
      <c r="W86" s="1917"/>
      <c r="X86" s="1917"/>
      <c r="Y86" s="1917"/>
      <c r="Z86" s="1917"/>
      <c r="AA86" s="1917"/>
      <c r="AB86" s="1917"/>
      <c r="AC86" s="1917"/>
      <c r="AD86" s="1917"/>
      <c r="AE86" s="1917"/>
      <c r="AF86" s="1917"/>
      <c r="AG86" s="1917"/>
      <c r="AH86" s="1917"/>
      <c r="AI86" s="1917"/>
      <c r="AJ86" s="1917"/>
      <c r="AK86" s="1917"/>
    </row>
    <row r="87" spans="1:37">
      <c r="A87" s="149"/>
      <c r="C87" s="5"/>
      <c r="D87" s="149"/>
      <c r="E87" s="149"/>
      <c r="F87" s="149"/>
      <c r="G87" s="1917"/>
      <c r="H87" s="1917"/>
      <c r="I87" s="1917"/>
      <c r="J87" s="1917"/>
      <c r="K87" s="1917"/>
      <c r="L87" s="1917"/>
      <c r="M87" s="1917"/>
      <c r="N87" s="1917"/>
      <c r="O87" s="1917"/>
      <c r="P87" s="1917"/>
      <c r="Q87" s="1917"/>
      <c r="R87" s="1917"/>
      <c r="S87" s="1917"/>
      <c r="T87" s="1917"/>
      <c r="U87" s="1917"/>
      <c r="V87" s="1917"/>
      <c r="W87" s="1917"/>
      <c r="X87" s="1917"/>
      <c r="Y87" s="1917"/>
      <c r="Z87" s="1917"/>
      <c r="AA87" s="1917"/>
      <c r="AB87" s="1917"/>
      <c r="AC87" s="1917"/>
      <c r="AD87" s="1917"/>
      <c r="AE87" s="1917"/>
      <c r="AF87" s="1917"/>
      <c r="AG87" s="1917"/>
      <c r="AH87" s="1917"/>
      <c r="AI87" s="1917"/>
      <c r="AJ87" s="1917"/>
      <c r="AK87" s="1917"/>
    </row>
    <row r="88" spans="1:37">
      <c r="A88" s="149"/>
      <c r="C88" s="5"/>
      <c r="D88" s="149"/>
      <c r="E88" s="149"/>
      <c r="G88" s="1917"/>
      <c r="H88" s="1917"/>
      <c r="I88" s="1917"/>
      <c r="J88" s="1917"/>
      <c r="K88" s="1917"/>
      <c r="L88" s="1917"/>
      <c r="M88" s="1917"/>
      <c r="N88" s="1917"/>
      <c r="O88" s="1917"/>
      <c r="P88" s="1917"/>
      <c r="Q88" s="1917"/>
      <c r="R88" s="1917"/>
      <c r="S88" s="1917"/>
      <c r="T88" s="1917"/>
      <c r="U88" s="1917"/>
      <c r="V88" s="1917"/>
      <c r="W88" s="1917"/>
      <c r="X88" s="1917"/>
      <c r="Y88" s="1917"/>
      <c r="Z88" s="1917"/>
      <c r="AA88" s="1917"/>
      <c r="AB88" s="1917"/>
      <c r="AC88" s="1917"/>
      <c r="AD88" s="1917"/>
      <c r="AE88" s="1917"/>
      <c r="AF88" s="1917"/>
      <c r="AG88" s="1917"/>
      <c r="AH88" s="1917"/>
      <c r="AI88" s="1917"/>
      <c r="AJ88" s="1917"/>
      <c r="AK88" s="1917"/>
    </row>
    <row r="89" spans="1:37">
      <c r="A89" s="149"/>
      <c r="C89" s="5"/>
      <c r="D89" s="149"/>
      <c r="E89" s="149" t="s">
        <v>263</v>
      </c>
      <c r="F89" t="s">
        <v>894</v>
      </c>
      <c r="G89" s="149"/>
      <c r="L89" s="149"/>
      <c r="M89" s="149"/>
      <c r="P89" s="149"/>
      <c r="Q89" s="149"/>
      <c r="R89" s="149"/>
      <c r="S89" s="149"/>
      <c r="T89" s="149"/>
      <c r="U89" s="149"/>
      <c r="V89" s="149"/>
      <c r="W89" s="149"/>
      <c r="X89" s="149"/>
      <c r="Y89" s="149"/>
      <c r="Z89" s="149"/>
      <c r="AA89" s="149"/>
      <c r="AB89" s="149"/>
    </row>
    <row r="90" spans="1:37">
      <c r="A90" s="149"/>
      <c r="C90" s="5"/>
      <c r="D90" s="149"/>
      <c r="E90" s="149"/>
      <c r="G90" s="1921" t="s">
        <v>1314</v>
      </c>
      <c r="H90" s="1921"/>
      <c r="I90" s="1921"/>
      <c r="J90" s="1921"/>
      <c r="K90" s="1921"/>
      <c r="L90" s="1921"/>
      <c r="M90" s="1921"/>
      <c r="N90" s="1921"/>
      <c r="O90" s="1921"/>
      <c r="P90" s="1921"/>
      <c r="Q90" s="1921"/>
      <c r="R90" s="1921"/>
      <c r="S90" s="1921"/>
      <c r="T90" s="1921"/>
      <c r="U90" s="1921"/>
      <c r="V90" s="1921"/>
      <c r="W90" s="1921"/>
      <c r="X90" s="1921"/>
      <c r="Y90" s="1921"/>
      <c r="Z90" s="1921"/>
      <c r="AA90" s="1921"/>
      <c r="AB90" s="1921"/>
      <c r="AC90" s="1921"/>
      <c r="AD90" s="1921"/>
      <c r="AE90" s="1921"/>
      <c r="AF90" s="1921"/>
      <c r="AG90" s="1921"/>
      <c r="AH90" s="1921"/>
      <c r="AI90" s="1921"/>
      <c r="AJ90" s="1921"/>
      <c r="AK90" s="1921"/>
    </row>
    <row r="91" spans="1:37" s="706" customFormat="1">
      <c r="A91" s="149"/>
      <c r="C91" s="5"/>
      <c r="D91" s="149"/>
      <c r="E91" s="149"/>
      <c r="G91" s="1921"/>
      <c r="H91" s="1921"/>
      <c r="I91" s="1921"/>
      <c r="J91" s="1921"/>
      <c r="K91" s="1921"/>
      <c r="L91" s="1921"/>
      <c r="M91" s="1921"/>
      <c r="N91" s="1921"/>
      <c r="O91" s="1921"/>
      <c r="P91" s="1921"/>
      <c r="Q91" s="1921"/>
      <c r="R91" s="1921"/>
      <c r="S91" s="1921"/>
      <c r="T91" s="1921"/>
      <c r="U91" s="1921"/>
      <c r="V91" s="1921"/>
      <c r="W91" s="1921"/>
      <c r="X91" s="1921"/>
      <c r="Y91" s="1921"/>
      <c r="Z91" s="1921"/>
      <c r="AA91" s="1921"/>
      <c r="AB91" s="1921"/>
      <c r="AC91" s="1921"/>
      <c r="AD91" s="1921"/>
      <c r="AE91" s="1921"/>
      <c r="AF91" s="1921"/>
      <c r="AG91" s="1921"/>
      <c r="AH91" s="1921"/>
      <c r="AI91" s="1921"/>
      <c r="AJ91" s="1921"/>
      <c r="AK91" s="1921"/>
    </row>
    <row r="92" spans="1:37">
      <c r="A92" s="149"/>
      <c r="C92" s="5"/>
      <c r="D92" s="149"/>
      <c r="E92" s="149"/>
      <c r="G92" s="1921"/>
      <c r="H92" s="1921"/>
      <c r="I92" s="1921"/>
      <c r="J92" s="1921"/>
      <c r="K92" s="1921"/>
      <c r="L92" s="1921"/>
      <c r="M92" s="1921"/>
      <c r="N92" s="1921"/>
      <c r="O92" s="1921"/>
      <c r="P92" s="1921"/>
      <c r="Q92" s="1921"/>
      <c r="R92" s="1921"/>
      <c r="S92" s="1921"/>
      <c r="T92" s="1921"/>
      <c r="U92" s="1921"/>
      <c r="V92" s="1921"/>
      <c r="W92" s="1921"/>
      <c r="X92" s="1921"/>
      <c r="Y92" s="1921"/>
      <c r="Z92" s="1921"/>
      <c r="AA92" s="1921"/>
      <c r="AB92" s="1921"/>
      <c r="AC92" s="1921"/>
      <c r="AD92" s="1921"/>
      <c r="AE92" s="1921"/>
      <c r="AF92" s="1921"/>
      <c r="AG92" s="1921"/>
      <c r="AH92" s="1921"/>
      <c r="AI92" s="1921"/>
      <c r="AJ92" s="1921"/>
      <c r="AK92" s="1921"/>
    </row>
    <row r="93" spans="1:37">
      <c r="A93" s="149"/>
      <c r="C93" s="5"/>
      <c r="D93" s="149"/>
      <c r="E93" s="149" t="s">
        <v>264</v>
      </c>
      <c r="F93" s="149" t="s">
        <v>525</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917" t="s">
        <v>1315</v>
      </c>
      <c r="H94" s="1917"/>
      <c r="I94" s="1917"/>
      <c r="J94" s="1917"/>
      <c r="K94" s="1917"/>
      <c r="L94" s="1917"/>
      <c r="M94" s="1917"/>
      <c r="N94" s="1917"/>
      <c r="O94" s="1917"/>
      <c r="P94" s="1917"/>
      <c r="Q94" s="1917"/>
      <c r="R94" s="1917"/>
      <c r="S94" s="1917"/>
      <c r="T94" s="1917"/>
      <c r="U94" s="1917"/>
      <c r="V94" s="1917"/>
      <c r="W94" s="1917"/>
      <c r="X94" s="1917"/>
      <c r="Y94" s="1917"/>
      <c r="Z94" s="1917"/>
      <c r="AA94" s="1917"/>
      <c r="AB94" s="1917"/>
      <c r="AC94" s="1917"/>
      <c r="AD94" s="1917"/>
      <c r="AE94" s="1917"/>
      <c r="AF94" s="1917"/>
      <c r="AG94" s="1917"/>
      <c r="AH94" s="1917"/>
      <c r="AI94" s="1917"/>
      <c r="AJ94" s="1917"/>
      <c r="AK94" s="1917"/>
    </row>
    <row r="95" spans="1:37">
      <c r="A95" s="149"/>
      <c r="C95" s="5"/>
      <c r="D95" s="149"/>
      <c r="E95" s="149"/>
      <c r="G95" s="1917"/>
      <c r="H95" s="1917"/>
      <c r="I95" s="1917"/>
      <c r="J95" s="1917"/>
      <c r="K95" s="1917"/>
      <c r="L95" s="1917"/>
      <c r="M95" s="1917"/>
      <c r="N95" s="1917"/>
      <c r="O95" s="1917"/>
      <c r="P95" s="1917"/>
      <c r="Q95" s="1917"/>
      <c r="R95" s="1917"/>
      <c r="S95" s="1917"/>
      <c r="T95" s="1917"/>
      <c r="U95" s="1917"/>
      <c r="V95" s="1917"/>
      <c r="W95" s="1917"/>
      <c r="X95" s="1917"/>
      <c r="Y95" s="1917"/>
      <c r="Z95" s="1917"/>
      <c r="AA95" s="1917"/>
      <c r="AB95" s="1917"/>
      <c r="AC95" s="1917"/>
      <c r="AD95" s="1917"/>
      <c r="AE95" s="1917"/>
      <c r="AF95" s="1917"/>
      <c r="AG95" s="1917"/>
      <c r="AH95" s="1917"/>
      <c r="AI95" s="1917"/>
      <c r="AJ95" s="1917"/>
      <c r="AK95" s="1917"/>
    </row>
    <row r="96" spans="1:37">
      <c r="A96" s="149"/>
      <c r="C96" s="5"/>
      <c r="D96" s="149"/>
      <c r="E96" s="149" t="s">
        <v>937</v>
      </c>
      <c r="F96" s="326" t="s">
        <v>938</v>
      </c>
      <c r="G96" s="326"/>
      <c r="L96" s="149"/>
      <c r="M96" s="149"/>
      <c r="P96" s="149"/>
      <c r="Q96" s="149"/>
      <c r="R96" s="149"/>
      <c r="S96" s="149"/>
      <c r="T96" s="149"/>
      <c r="U96" s="149"/>
      <c r="V96" s="149"/>
      <c r="W96" s="149"/>
      <c r="X96" s="149"/>
      <c r="Y96" s="149"/>
      <c r="Z96" s="149"/>
      <c r="AA96" s="149"/>
      <c r="AB96" s="149"/>
    </row>
    <row r="97" spans="1:38">
      <c r="A97" s="149"/>
      <c r="C97" s="5"/>
      <c r="D97" s="149"/>
      <c r="E97" s="149"/>
      <c r="G97" s="1917" t="s">
        <v>1316</v>
      </c>
      <c r="H97" s="1917"/>
      <c r="I97" s="1917"/>
      <c r="J97" s="1917"/>
      <c r="K97" s="1917"/>
      <c r="L97" s="1917"/>
      <c r="M97" s="1917"/>
      <c r="N97" s="1917"/>
      <c r="O97" s="1917"/>
      <c r="P97" s="1917"/>
      <c r="Q97" s="1917"/>
      <c r="R97" s="1917"/>
      <c r="S97" s="1917"/>
      <c r="T97" s="1917"/>
      <c r="U97" s="1917"/>
      <c r="V97" s="1917"/>
      <c r="W97" s="1917"/>
      <c r="X97" s="1917"/>
      <c r="Y97" s="1917"/>
      <c r="Z97" s="1917"/>
      <c r="AA97" s="1917"/>
      <c r="AB97" s="1917"/>
      <c r="AC97" s="1917"/>
      <c r="AD97" s="1917"/>
      <c r="AE97" s="1917"/>
      <c r="AF97" s="1917"/>
      <c r="AG97" s="1917"/>
      <c r="AH97" s="1917"/>
      <c r="AI97" s="1917"/>
      <c r="AJ97" s="1917"/>
      <c r="AK97" s="1917"/>
    </row>
    <row r="98" spans="1:38">
      <c r="A98" s="149"/>
      <c r="C98" s="183"/>
      <c r="D98" s="182"/>
      <c r="E98" s="182"/>
      <c r="F98" s="2"/>
      <c r="G98" s="1917"/>
      <c r="H98" s="1917"/>
      <c r="I98" s="1917"/>
      <c r="J98" s="1917"/>
      <c r="K98" s="1917"/>
      <c r="L98" s="1917"/>
      <c r="M98" s="1917"/>
      <c r="N98" s="1917"/>
      <c r="O98" s="1917"/>
      <c r="P98" s="1917"/>
      <c r="Q98" s="1917"/>
      <c r="R98" s="1917"/>
      <c r="S98" s="1917"/>
      <c r="T98" s="1917"/>
      <c r="U98" s="1917"/>
      <c r="V98" s="1917"/>
      <c r="W98" s="1917"/>
      <c r="X98" s="1917"/>
      <c r="Y98" s="1917"/>
      <c r="Z98" s="1917"/>
      <c r="AA98" s="1917"/>
      <c r="AB98" s="1917"/>
      <c r="AC98" s="1917"/>
      <c r="AD98" s="1917"/>
      <c r="AE98" s="1917"/>
      <c r="AF98" s="1917"/>
      <c r="AG98" s="1917"/>
      <c r="AH98" s="1917"/>
      <c r="AI98" s="1917"/>
      <c r="AJ98" s="1917"/>
      <c r="AK98" s="1917"/>
      <c r="AL98" s="2"/>
    </row>
    <row r="99" spans="1:38">
      <c r="A99" s="149"/>
      <c r="C99" s="183"/>
      <c r="D99" s="182"/>
      <c r="E99" s="182"/>
      <c r="F99" s="2"/>
      <c r="G99" s="1917"/>
      <c r="H99" s="1917"/>
      <c r="I99" s="1917"/>
      <c r="J99" s="1917"/>
      <c r="K99" s="1917"/>
      <c r="L99" s="1917"/>
      <c r="M99" s="1917"/>
      <c r="N99" s="1917"/>
      <c r="O99" s="1917"/>
      <c r="P99" s="1917"/>
      <c r="Q99" s="1917"/>
      <c r="R99" s="1917"/>
      <c r="S99" s="1917"/>
      <c r="T99" s="1917"/>
      <c r="U99" s="1917"/>
      <c r="V99" s="1917"/>
      <c r="W99" s="1917"/>
      <c r="X99" s="1917"/>
      <c r="Y99" s="1917"/>
      <c r="Z99" s="1917"/>
      <c r="AA99" s="1917"/>
      <c r="AB99" s="1917"/>
      <c r="AC99" s="1917"/>
      <c r="AD99" s="1917"/>
      <c r="AE99" s="1917"/>
      <c r="AF99" s="1917"/>
      <c r="AG99" s="1917"/>
      <c r="AH99" s="1917"/>
      <c r="AI99" s="1917"/>
      <c r="AJ99" s="1917"/>
      <c r="AK99" s="1917"/>
      <c r="AL99" s="2"/>
    </row>
    <row r="100" spans="1:38">
      <c r="A100" s="149"/>
      <c r="C100" s="2"/>
      <c r="D100" s="484"/>
      <c r="E100" s="1922" t="s">
        <v>1317</v>
      </c>
      <c r="F100" s="1922"/>
      <c r="G100" s="1922"/>
      <c r="H100" s="1922"/>
      <c r="I100" s="1922"/>
      <c r="J100" s="1922"/>
      <c r="K100" s="1922"/>
      <c r="L100" s="1922"/>
      <c r="M100" s="1922"/>
      <c r="N100" s="1922"/>
      <c r="O100" s="1922"/>
      <c r="P100" s="1922"/>
      <c r="Q100" s="1922"/>
      <c r="R100" s="1922"/>
      <c r="S100" s="1922"/>
      <c r="T100" s="1922"/>
      <c r="U100" s="1922"/>
      <c r="V100" s="1922"/>
      <c r="W100" s="1922"/>
      <c r="X100" s="1922"/>
      <c r="Y100" s="1922"/>
      <c r="Z100" s="1922"/>
      <c r="AA100" s="1922"/>
      <c r="AB100" s="1922"/>
      <c r="AC100" s="1922"/>
      <c r="AD100" s="1922"/>
      <c r="AE100" s="1922"/>
      <c r="AF100" s="1922"/>
      <c r="AG100" s="1922"/>
      <c r="AH100" s="1922"/>
      <c r="AI100" s="1922"/>
      <c r="AJ100" s="1922"/>
      <c r="AK100" s="1922"/>
      <c r="AL100" s="2"/>
    </row>
    <row r="101" spans="1:38">
      <c r="A101" s="149"/>
      <c r="D101" s="153"/>
      <c r="E101" s="1922"/>
      <c r="F101" s="1922"/>
      <c r="G101" s="1922"/>
      <c r="H101" s="1922"/>
      <c r="I101" s="1922"/>
      <c r="J101" s="1922"/>
      <c r="K101" s="1922"/>
      <c r="L101" s="1922"/>
      <c r="M101" s="1922"/>
      <c r="N101" s="1922"/>
      <c r="O101" s="1922"/>
      <c r="P101" s="1922"/>
      <c r="Q101" s="1922"/>
      <c r="R101" s="1922"/>
      <c r="S101" s="1922"/>
      <c r="T101" s="1922"/>
      <c r="U101" s="1922"/>
      <c r="V101" s="1922"/>
      <c r="W101" s="1922"/>
      <c r="X101" s="1922"/>
      <c r="Y101" s="1922"/>
      <c r="Z101" s="1922"/>
      <c r="AA101" s="1922"/>
      <c r="AB101" s="1922"/>
      <c r="AC101" s="1922"/>
      <c r="AD101" s="1922"/>
      <c r="AE101" s="1922"/>
      <c r="AF101" s="1922"/>
      <c r="AG101" s="1922"/>
      <c r="AH101" s="1922"/>
      <c r="AI101" s="1922"/>
      <c r="AJ101" s="1922"/>
      <c r="AK101" s="192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341</v>
      </c>
      <c r="C103" s="17" t="s">
        <v>422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431</v>
      </c>
      <c r="D105" s="9"/>
      <c r="E105" s="5"/>
      <c r="F105" s="5"/>
      <c r="G105" s="5" t="s">
        <v>1328</v>
      </c>
      <c r="H105" s="5"/>
      <c r="I105" s="194"/>
      <c r="J105" s="250"/>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c r="B106" s="5"/>
      <c r="C106" s="5"/>
      <c r="D106" s="5" t="s">
        <v>208</v>
      </c>
      <c r="E106" s="5" t="s">
        <v>1330</v>
      </c>
      <c r="F106" s="5"/>
      <c r="G106" s="5"/>
      <c r="H106" s="5"/>
      <c r="I106" s="5"/>
      <c r="J106" s="5"/>
      <c r="K106" s="5"/>
      <c r="L106" s="5"/>
      <c r="M106" s="5"/>
    </row>
    <row r="107" spans="1:38">
      <c r="B107" s="5"/>
      <c r="C107" s="5"/>
      <c r="E107" s="149" t="s">
        <v>113</v>
      </c>
      <c r="F107" s="152" t="s">
        <v>661</v>
      </c>
      <c r="G107" s="5"/>
      <c r="H107" s="5"/>
      <c r="I107" s="5"/>
      <c r="J107" s="5"/>
      <c r="K107" s="5"/>
    </row>
    <row r="108" spans="1:38">
      <c r="E108" s="182"/>
      <c r="F108" s="2" t="s">
        <v>663</v>
      </c>
      <c r="G108" s="2"/>
      <c r="H108" s="2"/>
      <c r="I108" s="2"/>
      <c r="J108" s="2"/>
      <c r="K108" s="2"/>
      <c r="L108" s="2"/>
      <c r="M108" s="2"/>
    </row>
    <row r="109" spans="1:38">
      <c r="E109" s="149"/>
      <c r="F109" t="s">
        <v>664</v>
      </c>
      <c r="G109" s="9"/>
    </row>
    <row r="110" spans="1:38">
      <c r="E110" s="149"/>
    </row>
    <row r="111" spans="1:38">
      <c r="E111" s="149" t="s">
        <v>114</v>
      </c>
      <c r="F111" s="152" t="s">
        <v>665</v>
      </c>
      <c r="G111" s="5"/>
      <c r="H111" s="5"/>
      <c r="I111" s="5"/>
      <c r="J111" s="5"/>
    </row>
    <row r="112" spans="1:38" s="1" customFormat="1">
      <c r="A112"/>
      <c r="B112"/>
      <c r="C112"/>
      <c r="D112"/>
      <c r="E112" s="149"/>
      <c r="F112" t="s">
        <v>666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120</v>
      </c>
      <c r="F114" s="152" t="s">
        <v>667</v>
      </c>
      <c r="G114" s="5"/>
      <c r="H114" s="5"/>
      <c r="I114" s="5"/>
      <c r="J114" s="5"/>
      <c r="K114" s="5"/>
      <c r="L114" s="5"/>
      <c r="M114" s="5"/>
      <c r="N114" s="5"/>
      <c r="O114" s="5"/>
      <c r="P114" s="5"/>
    </row>
    <row r="115" spans="1:38">
      <c r="E115" s="149"/>
      <c r="F115" s="149" t="s">
        <v>960</v>
      </c>
    </row>
    <row r="116" spans="1:38" s="9" customFormat="1" ht="12.75" customHeight="1">
      <c r="A116"/>
      <c r="B116"/>
      <c r="C116"/>
      <c r="D116"/>
      <c r="E116"/>
      <c r="F116" s="149" t="s">
        <v>990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590</v>
      </c>
      <c r="F118" s="152" t="s">
        <v>961</v>
      </c>
    </row>
    <row r="119" spans="1:38">
      <c r="F119" s="149" t="s">
        <v>1072</v>
      </c>
      <c r="G119" s="149"/>
    </row>
    <row r="120" spans="1:38">
      <c r="F120" s="153" t="s">
        <v>1329</v>
      </c>
      <c r="G120" s="153"/>
    </row>
    <row r="121" spans="1:38">
      <c r="G121" s="153"/>
    </row>
    <row r="122" spans="1:38">
      <c r="E122" s="149" t="s">
        <v>787</v>
      </c>
      <c r="F122" s="152" t="s">
        <v>379</v>
      </c>
    </row>
    <row r="123" spans="1:38">
      <c r="E123" s="149"/>
      <c r="F123" s="149" t="s">
        <v>1063</v>
      </c>
    </row>
    <row r="124" spans="1:38">
      <c r="B124" s="5"/>
      <c r="C124" s="5"/>
      <c r="F124" s="5"/>
    </row>
    <row r="125" spans="1:38">
      <c r="B125" s="5"/>
      <c r="C125" s="5" t="s">
        <v>432</v>
      </c>
      <c r="G125" s="5" t="s">
        <v>380</v>
      </c>
    </row>
    <row r="126" spans="1:38">
      <c r="B126" s="5"/>
      <c r="C126" s="5"/>
      <c r="D126" s="5" t="s">
        <v>208</v>
      </c>
      <c r="E126" s="154" t="s">
        <v>321</v>
      </c>
      <c r="F126" s="5"/>
      <c r="G126" s="5"/>
      <c r="H126" s="5"/>
      <c r="I126" s="5"/>
      <c r="J126" s="5"/>
    </row>
    <row r="127" spans="1:38">
      <c r="B127" s="5"/>
      <c r="C127" s="5"/>
      <c r="E127" s="149" t="s">
        <v>962</v>
      </c>
      <c r="F127" s="149"/>
    </row>
    <row r="128" spans="1:38"/>
    <row r="129" spans="4:37">
      <c r="D129" s="5" t="s">
        <v>342</v>
      </c>
      <c r="E129" s="5" t="s">
        <v>586</v>
      </c>
    </row>
    <row r="130" spans="4:37">
      <c r="E130" s="149" t="s">
        <v>962</v>
      </c>
      <c r="F130" s="149"/>
    </row>
    <row r="131" spans="4:37"/>
    <row r="132" spans="4:37">
      <c r="D132" s="5" t="s">
        <v>583</v>
      </c>
      <c r="E132" s="5" t="s">
        <v>736</v>
      </c>
      <c r="G132" s="5"/>
      <c r="H132" s="5"/>
      <c r="I132" s="5"/>
      <c r="J132" s="5"/>
      <c r="K132" s="5"/>
      <c r="L132" s="5"/>
      <c r="M132" s="5"/>
      <c r="N132" s="5"/>
    </row>
    <row r="133" spans="4:37" s="706" customFormat="1">
      <c r="D133" s="5"/>
      <c r="E133" s="865" t="s">
        <v>1414</v>
      </c>
      <c r="G133" s="5"/>
      <c r="H133" s="5"/>
      <c r="I133" s="5"/>
      <c r="J133" s="5"/>
      <c r="K133" s="5"/>
      <c r="L133" s="5"/>
      <c r="M133" s="5"/>
      <c r="N133" s="5"/>
    </row>
    <row r="134" spans="4:37" ht="12.75" customHeight="1">
      <c r="E134" s="865" t="s">
        <v>1412</v>
      </c>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row>
    <row r="135" spans="4:37" s="706" customFormat="1">
      <c r="E135" s="865" t="s">
        <v>1413</v>
      </c>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row>
    <row r="136" spans="4:37">
      <c r="F136" s="149"/>
    </row>
    <row r="137" spans="4:37">
      <c r="D137" s="5" t="s">
        <v>523</v>
      </c>
      <c r="E137" s="5" t="s">
        <v>526</v>
      </c>
      <c r="F137" s="5"/>
    </row>
    <row r="138" spans="4:37">
      <c r="E138" s="864" t="s">
        <v>1355</v>
      </c>
      <c r="F138" s="149"/>
    </row>
    <row r="139" spans="4:37">
      <c r="F139" s="149"/>
    </row>
    <row r="140" spans="4:37">
      <c r="D140" s="5" t="s">
        <v>304</v>
      </c>
      <c r="E140" s="5" t="s">
        <v>2431</v>
      </c>
      <c r="F140" s="5"/>
      <c r="G140" s="5"/>
      <c r="H140" s="5"/>
    </row>
    <row r="141" spans="4:37">
      <c r="E141" t="s">
        <v>113</v>
      </c>
      <c r="F141" t="s">
        <v>52</v>
      </c>
    </row>
    <row r="142" spans="4:37">
      <c r="E142" t="s">
        <v>114</v>
      </c>
      <c r="F142" t="s">
        <v>475</v>
      </c>
    </row>
    <row r="143" spans="4:37"/>
    <row r="144" spans="4:37">
      <c r="D144" s="5" t="s">
        <v>430</v>
      </c>
      <c r="E144" s="5" t="s">
        <v>2432</v>
      </c>
    </row>
    <row r="145" spans="3:7">
      <c r="E145" s="326" t="s">
        <v>2433</v>
      </c>
      <c r="F145" s="326"/>
    </row>
    <row r="146" spans="3:7"/>
    <row r="147" spans="3:7">
      <c r="C147" s="5" t="s">
        <v>6</v>
      </c>
      <c r="G147" s="5" t="s">
        <v>381</v>
      </c>
    </row>
    <row r="148" spans="3:7">
      <c r="D148" s="183" t="s">
        <v>208</v>
      </c>
      <c r="E148" s="183" t="s">
        <v>136</v>
      </c>
    </row>
    <row r="149" spans="3:7">
      <c r="D149" s="2"/>
      <c r="E149" t="s">
        <v>821</v>
      </c>
    </row>
    <row r="150" spans="3:7">
      <c r="D150" s="2"/>
      <c r="E150" s="2"/>
    </row>
    <row r="151" spans="3:7">
      <c r="D151" s="183" t="s">
        <v>342</v>
      </c>
      <c r="E151" s="183" t="s">
        <v>533</v>
      </c>
      <c r="F151" s="5"/>
    </row>
    <row r="152" spans="3:7">
      <c r="D152" s="2"/>
      <c r="E152" s="149" t="s">
        <v>964</v>
      </c>
      <c r="F152" s="149"/>
    </row>
    <row r="153" spans="3:7">
      <c r="D153" s="2"/>
      <c r="E153" s="2"/>
    </row>
    <row r="154" spans="3:7">
      <c r="D154" s="183" t="s">
        <v>583</v>
      </c>
      <c r="E154" s="183" t="s">
        <v>562</v>
      </c>
    </row>
    <row r="155" spans="3:7">
      <c r="D155" s="2"/>
      <c r="E155" s="149" t="s">
        <v>965</v>
      </c>
    </row>
    <row r="156" spans="3:7">
      <c r="D156" s="2"/>
      <c r="E156" s="149" t="s">
        <v>963</v>
      </c>
      <c r="G156" s="149"/>
    </row>
    <row r="157" spans="3:7">
      <c r="D157" s="2"/>
      <c r="E157" s="2"/>
    </row>
    <row r="158" spans="3:7">
      <c r="D158" s="183" t="s">
        <v>523</v>
      </c>
      <c r="E158" s="50" t="s">
        <v>542</v>
      </c>
    </row>
    <row r="159" spans="3:7">
      <c r="D159" s="2"/>
      <c r="E159" s="2" t="s">
        <v>113</v>
      </c>
      <c r="F159" s="149" t="s">
        <v>966</v>
      </c>
    </row>
    <row r="160" spans="3:7">
      <c r="D160" s="2"/>
      <c r="E160" s="182" t="s">
        <v>114</v>
      </c>
      <c r="F160" s="149" t="s">
        <v>967</v>
      </c>
    </row>
    <row r="161" spans="3:20">
      <c r="D161" s="2"/>
      <c r="E161" s="182" t="s">
        <v>120</v>
      </c>
      <c r="F161" t="s">
        <v>737</v>
      </c>
    </row>
    <row r="162" spans="3:20">
      <c r="D162" s="2"/>
      <c r="E162" s="2"/>
    </row>
    <row r="163" spans="3:20">
      <c r="D163" s="183" t="s">
        <v>304</v>
      </c>
      <c r="E163" s="183" t="s">
        <v>382</v>
      </c>
    </row>
    <row r="164" spans="3:20">
      <c r="D164" s="2"/>
      <c r="E164" s="149" t="s">
        <v>968</v>
      </c>
      <c r="F164" s="149"/>
    </row>
    <row r="165" spans="3:20">
      <c r="D165" s="2"/>
      <c r="E165" s="2"/>
    </row>
    <row r="166" spans="3:20">
      <c r="D166" s="183" t="s">
        <v>430</v>
      </c>
      <c r="E166" s="183" t="s">
        <v>172</v>
      </c>
    </row>
    <row r="167" spans="3:20">
      <c r="D167" s="2"/>
      <c r="E167" s="149" t="s">
        <v>970</v>
      </c>
    </row>
    <row r="168" spans="3:20">
      <c r="D168" s="2"/>
      <c r="E168" s="149" t="s">
        <v>969</v>
      </c>
    </row>
    <row r="169" spans="3:20">
      <c r="D169" s="2"/>
      <c r="E169" s="2"/>
    </row>
    <row r="170" spans="3:20">
      <c r="D170" s="183" t="s">
        <v>566</v>
      </c>
      <c r="E170" s="183" t="s">
        <v>631</v>
      </c>
    </row>
    <row r="171" spans="3:20">
      <c r="D171" s="2"/>
      <c r="E171" s="2" t="s">
        <v>113</v>
      </c>
      <c r="F171" t="s">
        <v>738</v>
      </c>
    </row>
    <row r="172" spans="3:20">
      <c r="E172" s="2" t="s">
        <v>114</v>
      </c>
      <c r="F172" t="s">
        <v>298</v>
      </c>
    </row>
    <row r="173" spans="3:20">
      <c r="F173" s="149"/>
    </row>
    <row r="174" spans="3:20">
      <c r="C174" s="5" t="s">
        <v>7</v>
      </c>
      <c r="E174" s="149"/>
      <c r="G174" s="5" t="s">
        <v>383</v>
      </c>
    </row>
    <row r="175" spans="3:20">
      <c r="E175" s="149" t="s">
        <v>895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586</v>
      </c>
    </row>
    <row r="178" spans="2:19">
      <c r="D178" s="5" t="s">
        <v>208</v>
      </c>
      <c r="E178" s="5" t="s">
        <v>299</v>
      </c>
      <c r="G178" s="149"/>
      <c r="H178" s="149"/>
      <c r="I178" s="149"/>
      <c r="J178" s="149"/>
      <c r="K178" s="149"/>
      <c r="L178" s="149"/>
      <c r="M178" s="149"/>
      <c r="N178" s="149"/>
    </row>
    <row r="179" spans="2:19">
      <c r="E179" t="s">
        <v>113</v>
      </c>
      <c r="F179" s="149" t="s">
        <v>971</v>
      </c>
    </row>
    <row r="180" spans="2:19">
      <c r="F180" s="184" t="s">
        <v>1286</v>
      </c>
      <c r="I180" s="184"/>
    </row>
    <row r="181" spans="2:19">
      <c r="I181" s="184"/>
    </row>
    <row r="182" spans="2:19">
      <c r="B182" s="149"/>
      <c r="C182" s="149"/>
      <c r="E182" t="s">
        <v>114</v>
      </c>
      <c r="F182" s="6" t="s">
        <v>896</v>
      </c>
      <c r="H182" s="149"/>
    </row>
    <row r="183" spans="2:19">
      <c r="B183" s="149"/>
      <c r="C183" s="149"/>
      <c r="F183" t="s">
        <v>662</v>
      </c>
      <c r="G183" t="s">
        <v>720</v>
      </c>
      <c r="H183" s="149"/>
      <c r="O183" s="149"/>
      <c r="P183" s="149"/>
      <c r="Q183" s="149"/>
      <c r="R183" s="149"/>
      <c r="S183" s="149"/>
    </row>
    <row r="184" spans="2:19">
      <c r="B184" s="149"/>
      <c r="C184" s="149"/>
      <c r="H184" s="149"/>
      <c r="O184" s="149"/>
      <c r="P184" s="149"/>
      <c r="Q184" s="149"/>
      <c r="R184" s="149"/>
      <c r="S184" s="149"/>
    </row>
    <row r="185" spans="2:19">
      <c r="D185" s="5" t="s">
        <v>342</v>
      </c>
      <c r="E185" s="50" t="s">
        <v>1064</v>
      </c>
    </row>
    <row r="186" spans="2:19">
      <c r="B186" s="149"/>
      <c r="C186" s="149"/>
      <c r="E186" s="149" t="s">
        <v>721</v>
      </c>
      <c r="F186" s="149"/>
      <c r="I186" s="149"/>
    </row>
    <row r="187" spans="2:19">
      <c r="B187" s="149"/>
      <c r="C187" s="149"/>
      <c r="E187" s="149" t="s">
        <v>1062</v>
      </c>
      <c r="F187" s="184"/>
      <c r="G187" s="149"/>
      <c r="I187" s="184"/>
    </row>
    <row r="188" spans="2:19">
      <c r="B188" s="149"/>
      <c r="C188" s="149"/>
      <c r="F188" s="184"/>
      <c r="G188" s="149"/>
      <c r="I188" s="184"/>
    </row>
    <row r="189" spans="2:19">
      <c r="B189" s="149"/>
      <c r="C189" s="149"/>
      <c r="D189" s="5" t="s">
        <v>583</v>
      </c>
      <c r="E189" s="5" t="s">
        <v>3</v>
      </c>
      <c r="F189" s="184"/>
      <c r="G189" s="149"/>
      <c r="I189" s="184"/>
    </row>
    <row r="190" spans="2:19">
      <c r="B190" s="149"/>
      <c r="C190" s="149"/>
      <c r="D190" s="5"/>
      <c r="E190" s="149" t="s">
        <v>300</v>
      </c>
      <c r="F190" s="149"/>
      <c r="G190" s="149"/>
      <c r="I190" s="184"/>
    </row>
    <row r="191" spans="2:19">
      <c r="B191" s="149"/>
      <c r="C191" s="149"/>
      <c r="F191" s="184"/>
      <c r="G191" s="149"/>
      <c r="I191" s="184"/>
    </row>
    <row r="192" spans="2:19">
      <c r="D192" s="5" t="s">
        <v>523</v>
      </c>
      <c r="E192" s="5" t="s">
        <v>112</v>
      </c>
    </row>
    <row r="193" spans="2:37">
      <c r="B193" s="149"/>
      <c r="C193" s="5"/>
      <c r="E193" t="s">
        <v>113</v>
      </c>
      <c r="F193" s="149" t="s">
        <v>1073</v>
      </c>
      <c r="G193" s="149"/>
      <c r="H193" s="149"/>
      <c r="I193" s="149"/>
    </row>
    <row r="194" spans="2:37">
      <c r="B194" s="149"/>
      <c r="C194" s="5"/>
      <c r="F194" s="149" t="s">
        <v>662</v>
      </c>
      <c r="G194" s="6" t="s">
        <v>1349</v>
      </c>
    </row>
    <row r="195" spans="2:37">
      <c r="B195" s="149"/>
      <c r="C195" s="149"/>
      <c r="F195" s="149" t="s">
        <v>349</v>
      </c>
      <c r="G195" s="155" t="s">
        <v>1350</v>
      </c>
      <c r="I195" s="149"/>
      <c r="J195" s="149"/>
      <c r="M195" s="149"/>
      <c r="N195" s="149"/>
      <c r="O195" s="149"/>
      <c r="P195" s="149"/>
      <c r="Q195" s="149"/>
      <c r="R195" s="149"/>
      <c r="S195" s="149"/>
    </row>
    <row r="196" spans="2:37">
      <c r="B196" s="149"/>
      <c r="C196" s="149"/>
      <c r="F196" s="149" t="s">
        <v>350</v>
      </c>
      <c r="G196" s="149" t="s">
        <v>972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304</v>
      </c>
      <c r="E198" s="5" t="s">
        <v>115</v>
      </c>
      <c r="G198" s="149"/>
      <c r="H198" s="149"/>
      <c r="I198" s="149"/>
      <c r="J198" s="149"/>
      <c r="M198" s="149"/>
      <c r="N198" s="149"/>
      <c r="O198" s="149"/>
      <c r="P198" s="149"/>
      <c r="Q198" s="149"/>
      <c r="R198" s="149"/>
      <c r="S198" s="149"/>
    </row>
    <row r="199" spans="2:37">
      <c r="B199" s="149"/>
      <c r="C199" s="149"/>
      <c r="D199" s="149"/>
      <c r="E199" s="149" t="s">
        <v>973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430</v>
      </c>
      <c r="E201" s="5" t="s">
        <v>121</v>
      </c>
      <c r="G201" s="149"/>
      <c r="H201" s="149"/>
      <c r="I201" s="149"/>
      <c r="J201" s="149"/>
      <c r="M201" s="149"/>
      <c r="N201" s="149"/>
      <c r="O201" s="149"/>
      <c r="P201" s="149"/>
      <c r="Q201" s="149"/>
      <c r="R201" s="149"/>
      <c r="S201" s="149"/>
    </row>
    <row r="202" spans="2:37">
      <c r="B202" s="149"/>
      <c r="C202" s="149"/>
      <c r="D202" s="5"/>
      <c r="E202" s="149" t="s">
        <v>113</v>
      </c>
      <c r="F202" s="149" t="s">
        <v>974</v>
      </c>
      <c r="M202" s="149"/>
      <c r="N202" s="149"/>
      <c r="O202" s="149"/>
      <c r="P202" s="149"/>
      <c r="Q202" s="149"/>
      <c r="R202" s="149"/>
      <c r="S202" s="149"/>
    </row>
    <row r="203" spans="2:37">
      <c r="B203" s="149"/>
      <c r="C203" s="149"/>
      <c r="D203" s="5"/>
      <c r="E203" s="149" t="s">
        <v>114</v>
      </c>
      <c r="F203" s="149" t="s">
        <v>1074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120</v>
      </c>
      <c r="F204" s="149" t="s">
        <v>722</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662</v>
      </c>
      <c r="G205" s="149" t="s">
        <v>975</v>
      </c>
      <c r="I205" s="149"/>
      <c r="J205" s="149"/>
      <c r="M205" s="149"/>
      <c r="N205" s="149"/>
      <c r="O205" s="149"/>
      <c r="P205" s="149"/>
      <c r="Q205" s="149"/>
      <c r="R205" s="149"/>
      <c r="S205" s="149"/>
      <c r="T205" s="149"/>
      <c r="U205" s="149"/>
      <c r="V205" s="149"/>
      <c r="W205" s="149"/>
      <c r="X205" s="149"/>
      <c r="Y205" s="149"/>
    </row>
    <row r="206" spans="2:37">
      <c r="B206" s="149"/>
      <c r="C206" s="149"/>
      <c r="D206" s="5"/>
      <c r="E206" s="149" t="s">
        <v>590</v>
      </c>
      <c r="F206" s="149" t="s">
        <v>976</v>
      </c>
      <c r="M206" s="149"/>
      <c r="N206" s="149"/>
      <c r="O206" s="149"/>
      <c r="P206" s="149"/>
      <c r="Q206" s="149"/>
      <c r="R206" s="149"/>
      <c r="S206" s="149"/>
    </row>
    <row r="207" spans="2:37">
      <c r="B207" s="149"/>
      <c r="C207" s="149"/>
      <c r="D207" s="5"/>
      <c r="F207" t="s">
        <v>662</v>
      </c>
      <c r="G207" s="1917" t="s">
        <v>1318</v>
      </c>
      <c r="H207" s="1917"/>
      <c r="I207" s="1917"/>
      <c r="J207" s="1917"/>
      <c r="K207" s="1917"/>
      <c r="L207" s="1917"/>
      <c r="M207" s="1917"/>
      <c r="N207" s="1917"/>
      <c r="O207" s="1917"/>
      <c r="P207" s="1917"/>
      <c r="Q207" s="1917"/>
      <c r="R207" s="1917"/>
      <c r="S207" s="1917"/>
      <c r="T207" s="1917"/>
      <c r="U207" s="1917"/>
      <c r="V207" s="1917"/>
      <c r="W207" s="1917"/>
      <c r="X207" s="1917"/>
      <c r="Y207" s="1917"/>
      <c r="Z207" s="1917"/>
      <c r="AA207" s="1917"/>
      <c r="AB207" s="1917"/>
      <c r="AC207" s="1917"/>
      <c r="AD207" s="1917"/>
      <c r="AE207" s="1917"/>
      <c r="AF207" s="1917"/>
      <c r="AG207" s="1917"/>
      <c r="AH207" s="1917"/>
      <c r="AI207" s="1917"/>
      <c r="AJ207" s="1917"/>
      <c r="AK207" s="1917"/>
    </row>
    <row r="208" spans="2:37">
      <c r="B208" s="149"/>
      <c r="C208" s="149"/>
      <c r="D208" s="5"/>
      <c r="G208" s="1917"/>
      <c r="H208" s="1917"/>
      <c r="I208" s="1917"/>
      <c r="J208" s="1917"/>
      <c r="K208" s="1917"/>
      <c r="L208" s="1917"/>
      <c r="M208" s="1917"/>
      <c r="N208" s="1917"/>
      <c r="O208" s="1917"/>
      <c r="P208" s="1917"/>
      <c r="Q208" s="1917"/>
      <c r="R208" s="1917"/>
      <c r="S208" s="1917"/>
      <c r="T208" s="1917"/>
      <c r="U208" s="1917"/>
      <c r="V208" s="1917"/>
      <c r="W208" s="1917"/>
      <c r="X208" s="1917"/>
      <c r="Y208" s="1917"/>
      <c r="Z208" s="1917"/>
      <c r="AA208" s="1917"/>
      <c r="AB208" s="1917"/>
      <c r="AC208" s="1917"/>
      <c r="AD208" s="1917"/>
      <c r="AE208" s="1917"/>
      <c r="AF208" s="1917"/>
      <c r="AG208" s="1917"/>
      <c r="AH208" s="1917"/>
      <c r="AI208" s="1917"/>
      <c r="AJ208" s="1917"/>
      <c r="AK208" s="1917"/>
    </row>
    <row r="209" spans="1:38">
      <c r="B209" s="149"/>
      <c r="C209" s="149"/>
      <c r="D209" s="5"/>
      <c r="M209" s="149"/>
      <c r="N209" s="149"/>
      <c r="O209" s="149"/>
      <c r="P209" s="149"/>
      <c r="Q209" s="149"/>
      <c r="R209" s="149"/>
      <c r="S209" s="149"/>
    </row>
    <row r="210" spans="1:38">
      <c r="B210" s="149"/>
      <c r="C210" s="149"/>
      <c r="D210" s="5" t="s">
        <v>566</v>
      </c>
      <c r="E210" s="5" t="s">
        <v>788</v>
      </c>
      <c r="G210" s="149"/>
      <c r="H210" s="149"/>
      <c r="I210" s="149"/>
      <c r="J210" s="149"/>
      <c r="M210" s="149"/>
      <c r="N210" s="149"/>
      <c r="O210" s="149"/>
      <c r="P210" s="149"/>
      <c r="Q210" s="149"/>
      <c r="R210" s="149"/>
      <c r="S210" s="149"/>
      <c r="T210" s="149"/>
      <c r="U210" s="149"/>
      <c r="V210" s="149"/>
      <c r="W210" s="149"/>
    </row>
    <row r="211" spans="1:38">
      <c r="B211" s="149"/>
      <c r="C211" s="149"/>
      <c r="E211" s="149" t="s">
        <v>723</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564</v>
      </c>
      <c r="E213" s="5" t="s">
        <v>249</v>
      </c>
      <c r="F213" s="149"/>
      <c r="G213" s="149"/>
      <c r="I213" s="149"/>
      <c r="J213" s="149"/>
      <c r="M213" s="149"/>
      <c r="N213" s="149"/>
      <c r="O213" s="149"/>
      <c r="P213" s="149"/>
      <c r="Q213" s="149"/>
      <c r="R213" s="149"/>
      <c r="S213" s="149"/>
      <c r="T213" s="149"/>
      <c r="U213" s="149"/>
      <c r="V213" s="149"/>
      <c r="W213" s="149"/>
    </row>
    <row r="214" spans="1:38">
      <c r="B214" s="149"/>
      <c r="C214" s="149"/>
      <c r="D214" s="5"/>
      <c r="E214" s="149" t="s">
        <v>300</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724</v>
      </c>
      <c r="D216" s="5"/>
      <c r="G216" s="5" t="s">
        <v>834</v>
      </c>
      <c r="M216" s="149"/>
      <c r="N216" s="149"/>
      <c r="O216" s="149"/>
      <c r="P216" s="149"/>
      <c r="Q216" s="149"/>
      <c r="R216" s="149"/>
      <c r="S216" s="149"/>
    </row>
    <row r="217" spans="1:38">
      <c r="B217" s="149"/>
      <c r="C217" s="149"/>
      <c r="E217" t="s">
        <v>113</v>
      </c>
      <c r="F217" s="149" t="s">
        <v>833</v>
      </c>
      <c r="G217" s="149"/>
      <c r="H217" s="149"/>
      <c r="I217" s="149"/>
      <c r="L217" s="149"/>
      <c r="N217" s="149"/>
      <c r="O217" s="149"/>
      <c r="P217" s="149"/>
      <c r="Q217" s="149"/>
      <c r="R217" s="149"/>
      <c r="S217" s="149"/>
    </row>
    <row r="218" spans="1:38">
      <c r="B218" s="149"/>
      <c r="C218" s="149"/>
      <c r="F218" s="149" t="s">
        <v>662</v>
      </c>
      <c r="G218" s="149" t="s">
        <v>727</v>
      </c>
      <c r="I218" s="149"/>
      <c r="M218" s="149"/>
      <c r="N218" s="149"/>
      <c r="O218" s="149"/>
      <c r="P218" s="149"/>
      <c r="Q218" s="149"/>
      <c r="R218" s="149"/>
      <c r="S218" s="149"/>
    </row>
    <row r="219" spans="1:38">
      <c r="B219" s="149"/>
      <c r="C219" s="149"/>
      <c r="E219" t="s">
        <v>114</v>
      </c>
      <c r="F219" s="149" t="s">
        <v>401</v>
      </c>
      <c r="G219" s="149"/>
      <c r="H219" s="149"/>
      <c r="I219" s="149"/>
      <c r="M219" s="149"/>
      <c r="N219" s="149"/>
      <c r="O219" s="149"/>
      <c r="P219" s="149"/>
      <c r="Q219" s="149"/>
      <c r="R219" s="149"/>
      <c r="S219" s="149"/>
    </row>
    <row r="220" spans="1:38">
      <c r="B220" s="149"/>
      <c r="C220" s="149"/>
      <c r="F220" s="149" t="s">
        <v>662</v>
      </c>
      <c r="G220" s="149" t="s">
        <v>725</v>
      </c>
      <c r="I220" s="149"/>
      <c r="M220" s="149"/>
      <c r="N220" s="149"/>
      <c r="O220" s="149"/>
      <c r="P220" s="149"/>
      <c r="Q220" s="149"/>
      <c r="R220" s="149"/>
      <c r="S220" s="149"/>
    </row>
    <row r="221" spans="1:38">
      <c r="B221" s="149"/>
      <c r="C221" s="149"/>
      <c r="F221" s="149"/>
      <c r="G221" s="149" t="s">
        <v>726</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179</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431</v>
      </c>
      <c r="D225" s="149"/>
      <c r="E225" s="149"/>
      <c r="F225" s="149"/>
      <c r="G225" s="5" t="s">
        <v>461</v>
      </c>
      <c r="I225" s="149"/>
      <c r="J225" s="149"/>
      <c r="K225" s="149"/>
      <c r="M225" s="149"/>
      <c r="N225" s="149"/>
      <c r="O225" s="149"/>
      <c r="P225" s="149"/>
      <c r="Q225" s="149"/>
      <c r="R225" s="149"/>
      <c r="S225" s="149"/>
    </row>
    <row r="226" spans="2:19">
      <c r="B226" s="5"/>
      <c r="E226" s="149" t="s">
        <v>113</v>
      </c>
      <c r="F226" s="149" t="s">
        <v>728</v>
      </c>
      <c r="G226" s="149"/>
      <c r="I226" s="149"/>
      <c r="J226" s="149"/>
      <c r="K226" s="149"/>
      <c r="L226" s="149"/>
      <c r="M226" s="149"/>
      <c r="N226" s="149"/>
      <c r="O226" s="149"/>
      <c r="P226" s="149"/>
      <c r="Q226" s="149"/>
      <c r="R226" s="149"/>
      <c r="S226" s="149"/>
    </row>
    <row r="227" spans="2:19">
      <c r="B227" s="5"/>
      <c r="E227" s="149" t="s">
        <v>114</v>
      </c>
      <c r="F227" s="149" t="s">
        <v>689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432</v>
      </c>
      <c r="D229" s="149"/>
      <c r="E229" s="149"/>
      <c r="F229" s="149"/>
      <c r="G229" s="5" t="s">
        <v>21</v>
      </c>
      <c r="I229" s="149"/>
      <c r="J229" s="149"/>
      <c r="K229" s="149"/>
      <c r="L229" s="149"/>
      <c r="M229" s="149"/>
      <c r="N229" s="149"/>
      <c r="O229" s="149"/>
      <c r="P229" s="149"/>
      <c r="Q229" s="149"/>
      <c r="R229" s="149"/>
      <c r="S229" s="149"/>
    </row>
    <row r="230" spans="2:19">
      <c r="B230" s="5"/>
      <c r="E230" s="149" t="s">
        <v>113</v>
      </c>
      <c r="F230" s="149" t="s">
        <v>729</v>
      </c>
      <c r="G230" s="149"/>
      <c r="I230" s="149"/>
      <c r="J230" s="149"/>
      <c r="K230" s="149"/>
      <c r="L230" s="149"/>
      <c r="M230" s="149"/>
      <c r="N230" s="149"/>
      <c r="O230" s="149"/>
      <c r="P230" s="149"/>
      <c r="Q230" s="149"/>
      <c r="R230" s="149"/>
      <c r="S230" s="149"/>
    </row>
    <row r="231" spans="2:19">
      <c r="B231" s="5"/>
      <c r="E231" s="149"/>
      <c r="F231" s="149" t="s">
        <v>730</v>
      </c>
      <c r="G231" s="149"/>
      <c r="H231" s="149"/>
      <c r="I231" s="149"/>
      <c r="J231" s="149"/>
      <c r="K231" s="149"/>
      <c r="L231" s="149"/>
      <c r="M231" s="149"/>
      <c r="N231" s="149"/>
      <c r="O231" s="149"/>
      <c r="P231" s="149"/>
      <c r="Q231" s="149"/>
      <c r="R231" s="149"/>
      <c r="S231" s="149"/>
    </row>
    <row r="232" spans="2:19">
      <c r="B232" s="5"/>
      <c r="D232" s="149"/>
      <c r="E232" s="149" t="s">
        <v>114</v>
      </c>
      <c r="F232" s="149" t="s">
        <v>689</v>
      </c>
      <c r="G232" s="149"/>
      <c r="I232" s="149"/>
      <c r="J232" s="149"/>
      <c r="K232" s="149"/>
      <c r="L232" s="149"/>
      <c r="M232" s="149"/>
      <c r="N232" s="149"/>
      <c r="O232" s="149"/>
      <c r="P232" s="149"/>
      <c r="Q232" s="149"/>
      <c r="R232" s="149"/>
      <c r="S232" s="149"/>
    </row>
    <row r="233" spans="2:19">
      <c r="B233" s="5"/>
      <c r="E233" s="149" t="s">
        <v>120</v>
      </c>
      <c r="F233" s="152" t="s">
        <v>991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328</v>
      </c>
      <c r="F235" s="149"/>
      <c r="J235" s="149"/>
      <c r="K235" s="149"/>
      <c r="M235" s="149"/>
      <c r="N235" s="149"/>
      <c r="O235" s="149"/>
      <c r="P235" s="149"/>
      <c r="Q235" s="149"/>
      <c r="R235" s="149"/>
      <c r="S235" s="149"/>
    </row>
    <row r="236" spans="2:19">
      <c r="B236" s="149"/>
      <c r="C236" s="149"/>
      <c r="E236" t="s">
        <v>113</v>
      </c>
      <c r="F236" s="149" t="s">
        <v>328</v>
      </c>
      <c r="G236" s="5"/>
      <c r="H236" s="5"/>
      <c r="I236" s="5"/>
      <c r="L236" s="5"/>
      <c r="M236" s="5"/>
      <c r="N236" s="5"/>
      <c r="O236" s="5"/>
      <c r="P236" s="5"/>
      <c r="Q236" s="5"/>
      <c r="R236" s="149"/>
      <c r="S236" s="149"/>
    </row>
    <row r="237" spans="2:19">
      <c r="B237" s="149"/>
      <c r="C237" s="149"/>
      <c r="F237" s="149" t="s">
        <v>662</v>
      </c>
      <c r="G237" s="149" t="s">
        <v>731</v>
      </c>
      <c r="I237" s="149"/>
      <c r="M237" s="149"/>
      <c r="N237" s="149"/>
      <c r="O237" s="149"/>
      <c r="P237" s="149"/>
      <c r="Q237" s="149"/>
      <c r="R237" s="149"/>
      <c r="S237" s="149"/>
    </row>
    <row r="238" spans="2:19">
      <c r="B238" s="149"/>
      <c r="C238" s="149"/>
      <c r="F238" s="149"/>
      <c r="G238" s="149" t="s">
        <v>822</v>
      </c>
      <c r="I238" s="149"/>
      <c r="M238" s="149"/>
      <c r="N238" s="149"/>
      <c r="O238" s="149"/>
      <c r="P238" s="149"/>
      <c r="Q238" s="149"/>
      <c r="R238" s="149"/>
      <c r="S238" s="149"/>
    </row>
    <row r="239" spans="2:19">
      <c r="B239" s="149"/>
      <c r="C239" s="149"/>
      <c r="E239" t="s">
        <v>114</v>
      </c>
      <c r="F239" s="205" t="s">
        <v>448</v>
      </c>
      <c r="G239" s="5"/>
      <c r="H239" s="5"/>
      <c r="I239" s="5"/>
      <c r="L239" s="5"/>
      <c r="M239" s="5"/>
      <c r="N239" s="5"/>
      <c r="O239" s="5"/>
      <c r="P239" s="5"/>
      <c r="Q239" s="5"/>
      <c r="R239" s="5"/>
      <c r="S239" s="5"/>
    </row>
    <row r="240" spans="2:19">
      <c r="B240" s="149"/>
      <c r="C240" s="149"/>
      <c r="F240" s="149" t="s">
        <v>662</v>
      </c>
      <c r="G240" s="149" t="s">
        <v>734</v>
      </c>
      <c r="I240" s="149"/>
      <c r="M240" s="149"/>
      <c r="N240" s="149"/>
      <c r="O240" s="149"/>
      <c r="P240" s="149"/>
      <c r="Q240" s="149"/>
      <c r="R240" s="149"/>
      <c r="S240" s="149"/>
    </row>
    <row r="241" spans="2:21">
      <c r="B241" s="149"/>
      <c r="C241" s="149"/>
      <c r="F241" s="149"/>
      <c r="G241" s="149" t="s">
        <v>697</v>
      </c>
      <c r="H241" s="149" t="s">
        <v>980</v>
      </c>
      <c r="I241" s="149"/>
      <c r="M241" s="149"/>
      <c r="N241" s="149"/>
      <c r="O241" s="149"/>
      <c r="P241" s="149"/>
      <c r="Q241" s="149"/>
      <c r="R241" s="149"/>
      <c r="S241" s="149"/>
    </row>
    <row r="242" spans="2:21">
      <c r="B242" s="149"/>
      <c r="C242" s="149"/>
      <c r="F242" s="149" t="s">
        <v>349</v>
      </c>
      <c r="G242" s="203" t="s">
        <v>735</v>
      </c>
      <c r="I242" s="149"/>
      <c r="M242" s="149"/>
      <c r="N242" s="149"/>
      <c r="O242" s="149"/>
      <c r="P242" s="149"/>
      <c r="Q242" s="149"/>
      <c r="R242" s="149"/>
      <c r="S242" s="149"/>
    </row>
    <row r="243" spans="2:21">
      <c r="B243" s="149"/>
      <c r="C243" s="149"/>
      <c r="E243" t="s">
        <v>120</v>
      </c>
      <c r="F243" s="149" t="s">
        <v>662</v>
      </c>
      <c r="G243" s="203" t="s">
        <v>981</v>
      </c>
      <c r="I243" s="149"/>
      <c r="M243" s="149"/>
      <c r="N243" s="149"/>
      <c r="O243" s="149"/>
      <c r="P243" s="149"/>
      <c r="Q243" s="149"/>
      <c r="R243" s="149"/>
      <c r="S243" s="149"/>
    </row>
    <row r="244" spans="2:21">
      <c r="B244" s="149"/>
      <c r="C244" s="149"/>
      <c r="F244" s="149" t="s">
        <v>349</v>
      </c>
      <c r="G244" s="203" t="s">
        <v>982</v>
      </c>
      <c r="I244" s="149"/>
      <c r="M244" s="149"/>
      <c r="N244" s="149"/>
      <c r="O244" s="149"/>
      <c r="P244" s="149"/>
      <c r="Q244" s="149"/>
      <c r="R244" s="149"/>
      <c r="S244" s="149"/>
    </row>
    <row r="245" spans="2:21">
      <c r="B245" s="149"/>
      <c r="C245" s="149"/>
      <c r="F245" s="149" t="s">
        <v>350</v>
      </c>
      <c r="G245" s="205" t="s">
        <v>732</v>
      </c>
      <c r="I245" s="149"/>
      <c r="M245" s="149"/>
      <c r="N245" s="149"/>
      <c r="O245" s="149"/>
      <c r="P245" s="149"/>
      <c r="Q245" s="149"/>
      <c r="R245" s="149"/>
      <c r="S245" s="149"/>
    </row>
    <row r="246" spans="2:21">
      <c r="B246" s="149"/>
      <c r="C246" s="149"/>
      <c r="F246" s="149"/>
      <c r="G246" s="205" t="s">
        <v>733</v>
      </c>
      <c r="I246" s="149"/>
      <c r="M246" s="149"/>
      <c r="N246" s="149"/>
      <c r="O246" s="149"/>
      <c r="P246" s="149"/>
      <c r="Q246" s="149"/>
      <c r="R246" s="149"/>
      <c r="S246" s="149"/>
    </row>
    <row r="247" spans="2:21">
      <c r="B247" s="149"/>
      <c r="C247" s="149"/>
      <c r="D247" s="5"/>
      <c r="E247" s="149" t="s">
        <v>120</v>
      </c>
      <c r="F247" s="149" t="s">
        <v>329</v>
      </c>
      <c r="H247" s="149"/>
      <c r="I247" s="149"/>
      <c r="M247" s="149"/>
      <c r="N247" s="149"/>
      <c r="O247" s="149"/>
      <c r="P247" s="149"/>
      <c r="Q247" s="149"/>
      <c r="R247" s="149"/>
      <c r="S247" s="149"/>
    </row>
    <row r="248" spans="2:21">
      <c r="B248" s="149"/>
      <c r="C248" s="149"/>
      <c r="D248" s="5"/>
      <c r="E248" s="5"/>
      <c r="F248" t="s">
        <v>662</v>
      </c>
      <c r="G248" s="149" t="s">
        <v>434</v>
      </c>
      <c r="I248" s="149"/>
      <c r="M248" s="149"/>
      <c r="N248" s="149"/>
      <c r="O248" s="149"/>
      <c r="P248" s="149"/>
      <c r="Q248" s="149"/>
      <c r="R248" s="149"/>
      <c r="S248" s="149"/>
    </row>
    <row r="249" spans="2:21">
      <c r="B249" s="149"/>
      <c r="C249" s="149"/>
      <c r="D249" s="5"/>
      <c r="E249" s="5"/>
      <c r="F249" s="149"/>
      <c r="G249" s="149" t="s">
        <v>435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384</v>
      </c>
      <c r="I251" s="149"/>
      <c r="J251" s="149"/>
      <c r="K251" s="149"/>
      <c r="L251" s="149"/>
      <c r="M251" s="149"/>
      <c r="N251" s="149"/>
      <c r="O251" s="149"/>
      <c r="P251" s="149"/>
      <c r="Q251" s="149"/>
      <c r="R251" s="149"/>
      <c r="S251" s="149"/>
    </row>
    <row r="252" spans="2:21">
      <c r="B252" s="5"/>
      <c r="C252" s="5"/>
      <c r="E252" s="149" t="s">
        <v>113</v>
      </c>
      <c r="F252" s="149" t="s">
        <v>72</v>
      </c>
      <c r="G252" s="149"/>
      <c r="I252" s="149"/>
      <c r="J252" s="149"/>
      <c r="K252" s="149"/>
      <c r="L252" s="149"/>
      <c r="M252" s="149"/>
      <c r="N252" s="149"/>
      <c r="O252" s="149"/>
      <c r="P252" s="149"/>
      <c r="Q252" s="149"/>
      <c r="R252" s="149"/>
      <c r="S252" s="149"/>
      <c r="T252" s="149"/>
      <c r="U252" s="149"/>
    </row>
    <row r="253" spans="2:21">
      <c r="B253" s="5"/>
      <c r="C253" s="5"/>
      <c r="E253" s="149"/>
      <c r="F253" s="184" t="s">
        <v>1287</v>
      </c>
      <c r="G253" s="149"/>
      <c r="I253" s="184"/>
      <c r="J253" s="149"/>
      <c r="K253" s="149"/>
      <c r="L253" s="149"/>
      <c r="M253" s="149"/>
      <c r="N253" s="149"/>
      <c r="O253" s="149"/>
      <c r="P253" s="149"/>
      <c r="Q253" s="149"/>
      <c r="R253" s="149"/>
      <c r="S253" s="149"/>
      <c r="T253" s="149"/>
      <c r="U253" s="149"/>
    </row>
    <row r="254" spans="2:21">
      <c r="B254" s="5"/>
      <c r="C254" s="5"/>
      <c r="E254" s="149" t="s">
        <v>114</v>
      </c>
      <c r="F254" s="149" t="s">
        <v>977</v>
      </c>
      <c r="I254" s="149"/>
      <c r="J254" s="149"/>
      <c r="K254" s="149"/>
      <c r="L254" s="149"/>
      <c r="M254" s="149"/>
      <c r="N254" s="149"/>
      <c r="O254" s="149"/>
      <c r="P254" s="149"/>
      <c r="Q254" s="149"/>
      <c r="R254" s="149"/>
      <c r="S254" s="149"/>
      <c r="T254" s="149"/>
      <c r="U254" s="149"/>
    </row>
    <row r="255" spans="2:21">
      <c r="B255" s="5"/>
      <c r="C255" s="5"/>
      <c r="E255" s="149"/>
      <c r="F255" s="326" t="s">
        <v>662</v>
      </c>
      <c r="G255" s="326" t="s">
        <v>836</v>
      </c>
      <c r="I255" s="6"/>
      <c r="K255" s="155"/>
      <c r="L255" s="155"/>
      <c r="M255" s="155"/>
      <c r="N255" s="155"/>
      <c r="O255" s="155"/>
      <c r="P255" s="1"/>
      <c r="Q255" s="149"/>
      <c r="R255" s="149"/>
      <c r="S255" s="149"/>
      <c r="T255" s="149"/>
      <c r="U255" s="149"/>
    </row>
    <row r="256" spans="2:21">
      <c r="B256" s="5"/>
      <c r="C256" s="5"/>
      <c r="E256" s="149"/>
      <c r="F256" s="324"/>
      <c r="G256" s="326" t="s">
        <v>837</v>
      </c>
      <c r="I256" s="6"/>
      <c r="K256" s="155"/>
      <c r="L256" s="155"/>
      <c r="M256" s="155"/>
      <c r="N256" s="155"/>
      <c r="O256" s="155"/>
      <c r="P256" s="155"/>
    </row>
    <row r="257" spans="2:21">
      <c r="B257" s="5"/>
      <c r="C257" s="5"/>
      <c r="E257" s="149"/>
      <c r="F257" s="324" t="s">
        <v>349</v>
      </c>
      <c r="G257" s="326" t="s">
        <v>983</v>
      </c>
      <c r="I257" s="149"/>
      <c r="K257" s="149"/>
      <c r="L257" s="149"/>
      <c r="M257" s="149"/>
      <c r="N257" s="149"/>
      <c r="O257" s="149"/>
      <c r="P257" s="155"/>
      <c r="Q257" s="1"/>
      <c r="R257" s="1"/>
      <c r="S257" s="1"/>
      <c r="T257" s="1"/>
      <c r="U257" s="1"/>
    </row>
    <row r="258" spans="2:21">
      <c r="B258" s="5"/>
      <c r="C258" s="5"/>
      <c r="E258" s="149"/>
      <c r="F258" s="324"/>
      <c r="G258" s="326" t="s">
        <v>898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208</v>
      </c>
      <c r="E260" s="5" t="s">
        <v>385</v>
      </c>
      <c r="G260" s="149"/>
      <c r="H260" s="149"/>
      <c r="I260" s="149"/>
      <c r="J260" s="149"/>
      <c r="K260" s="149"/>
      <c r="L260" s="149"/>
      <c r="M260" s="149"/>
      <c r="N260" s="149"/>
      <c r="O260" s="149"/>
      <c r="P260" s="149"/>
      <c r="Q260" s="149"/>
      <c r="R260" s="149"/>
      <c r="S260" s="149"/>
    </row>
    <row r="261" spans="2:21">
      <c r="B261" s="5"/>
      <c r="C261" s="5"/>
      <c r="E261" s="149" t="s">
        <v>113</v>
      </c>
      <c r="F261" s="149" t="s">
        <v>254</v>
      </c>
      <c r="G261" s="149"/>
      <c r="I261" s="149"/>
      <c r="J261" s="149"/>
      <c r="K261" s="149"/>
      <c r="L261" s="149"/>
      <c r="M261" s="149"/>
      <c r="N261" s="149"/>
      <c r="O261" s="149"/>
      <c r="P261" s="149"/>
      <c r="Q261" s="149"/>
      <c r="R261" s="149"/>
      <c r="S261" s="149"/>
    </row>
    <row r="262" spans="2:21">
      <c r="B262" s="5"/>
      <c r="C262" s="5"/>
      <c r="E262" s="149" t="s">
        <v>114</v>
      </c>
      <c r="F262" s="149" t="s">
        <v>828</v>
      </c>
      <c r="G262" s="149"/>
      <c r="I262" s="149"/>
      <c r="J262" s="149"/>
      <c r="K262" s="149"/>
      <c r="L262" s="149"/>
      <c r="M262" s="149"/>
      <c r="N262" s="149"/>
      <c r="O262" s="149"/>
      <c r="P262" s="149"/>
      <c r="Q262" s="149"/>
      <c r="R262" s="149"/>
      <c r="S262" s="149"/>
    </row>
    <row r="263" spans="2:21">
      <c r="B263" s="5"/>
      <c r="C263" s="5"/>
      <c r="E263" s="149" t="s">
        <v>120</v>
      </c>
      <c r="F263" s="149" t="s">
        <v>255</v>
      </c>
      <c r="I263" s="149"/>
      <c r="J263" s="149"/>
      <c r="K263" s="149"/>
      <c r="L263" s="149"/>
      <c r="M263" s="149"/>
      <c r="N263" s="149"/>
      <c r="O263" s="149"/>
      <c r="P263" s="149"/>
      <c r="Q263" s="149"/>
      <c r="R263" s="149"/>
      <c r="S263" s="149"/>
    </row>
    <row r="264" spans="2:21">
      <c r="B264" s="5"/>
      <c r="C264" s="5"/>
      <c r="E264" s="5"/>
      <c r="F264" s="149" t="s">
        <v>829</v>
      </c>
      <c r="I264" s="149"/>
      <c r="J264" s="149"/>
      <c r="K264" s="149"/>
      <c r="L264" s="149"/>
      <c r="M264" s="149"/>
      <c r="N264" s="149"/>
      <c r="O264" s="149"/>
      <c r="P264" s="149"/>
      <c r="Q264" s="149"/>
      <c r="R264" s="149"/>
      <c r="S264" s="149"/>
    </row>
    <row r="265" spans="2:21">
      <c r="B265" s="5"/>
      <c r="C265" s="5"/>
      <c r="E265" s="149" t="s">
        <v>590</v>
      </c>
      <c r="F265" s="326" t="s">
        <v>838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342</v>
      </c>
      <c r="E267" s="5" t="s">
        <v>73</v>
      </c>
      <c r="G267" s="149"/>
      <c r="H267" s="149"/>
      <c r="I267" s="149"/>
      <c r="J267" s="149"/>
      <c r="K267" s="149"/>
      <c r="L267" s="149"/>
      <c r="M267" s="149"/>
      <c r="N267" s="149"/>
      <c r="O267" s="149"/>
      <c r="P267" s="149"/>
      <c r="Q267" s="149"/>
      <c r="R267" s="149"/>
      <c r="S267" s="149"/>
    </row>
    <row r="268" spans="2:21">
      <c r="B268" s="5"/>
      <c r="C268" s="5"/>
      <c r="E268" s="149" t="s">
        <v>1075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583</v>
      </c>
      <c r="E270" s="5" t="s">
        <v>288</v>
      </c>
      <c r="G270" s="149"/>
    </row>
    <row r="271" spans="2:21">
      <c r="B271" s="5"/>
      <c r="C271" s="5"/>
      <c r="E271" s="149" t="s">
        <v>256</v>
      </c>
      <c r="F271" s="149"/>
      <c r="G271" s="149"/>
      <c r="J271" s="149"/>
      <c r="K271" s="149"/>
      <c r="L271" s="149"/>
      <c r="M271" s="149"/>
      <c r="N271" s="149"/>
    </row>
    <row r="272" spans="2:21">
      <c r="B272" s="5"/>
      <c r="C272" s="5"/>
      <c r="E272" s="149" t="s">
        <v>984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523</v>
      </c>
      <c r="E274" s="5" t="s">
        <v>621</v>
      </c>
      <c r="G274" s="149"/>
      <c r="H274" s="149"/>
      <c r="J274" s="149"/>
      <c r="K274" s="149"/>
      <c r="L274" s="149"/>
      <c r="M274" s="149"/>
      <c r="N274" s="149"/>
      <c r="O274" s="149"/>
      <c r="P274" s="149"/>
      <c r="Q274" s="149"/>
      <c r="R274" s="149"/>
      <c r="S274" s="149"/>
      <c r="T274" s="149"/>
      <c r="U274" s="149"/>
    </row>
    <row r="275" spans="2:21">
      <c r="B275" s="5"/>
      <c r="D275" s="149"/>
      <c r="E275" s="149" t="s">
        <v>1067</v>
      </c>
      <c r="J275" s="149"/>
      <c r="K275" s="149"/>
      <c r="L275" s="149"/>
      <c r="M275" s="149"/>
      <c r="N275" s="149"/>
      <c r="O275" s="149"/>
      <c r="P275" s="149"/>
      <c r="Q275" s="149"/>
      <c r="R275" s="149"/>
      <c r="S275" s="149"/>
      <c r="T275" s="149"/>
      <c r="U275" s="149"/>
    </row>
    <row r="276" spans="2:21">
      <c r="B276" s="5"/>
      <c r="D276" s="149"/>
      <c r="E276" s="149" t="s">
        <v>978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304</v>
      </c>
      <c r="E278" s="5" t="s">
        <v>289</v>
      </c>
      <c r="K278" s="149"/>
      <c r="L278" s="149"/>
      <c r="M278" s="149"/>
      <c r="N278" s="149"/>
      <c r="O278" s="149"/>
      <c r="P278" s="149"/>
      <c r="Q278" s="149"/>
      <c r="R278" s="149"/>
      <c r="S278" s="149"/>
      <c r="T278" s="149"/>
      <c r="U278" s="149"/>
    </row>
    <row r="279" spans="2:21">
      <c r="B279" s="5"/>
      <c r="D279" s="5"/>
      <c r="E279" t="s">
        <v>257</v>
      </c>
      <c r="K279" s="149"/>
      <c r="L279" s="149"/>
      <c r="M279" s="149"/>
      <c r="N279" s="149"/>
      <c r="O279" s="149"/>
      <c r="P279" s="149"/>
      <c r="Q279" s="149"/>
      <c r="R279" s="149"/>
      <c r="S279" s="149"/>
    </row>
    <row r="280" spans="2:21">
      <c r="B280" s="5"/>
      <c r="D280" s="149"/>
      <c r="E280" s="149" t="s">
        <v>985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430</v>
      </c>
      <c r="E282" s="5" t="s">
        <v>426</v>
      </c>
      <c r="G282" s="149"/>
      <c r="H282" s="149"/>
      <c r="I282" s="149"/>
      <c r="J282" s="149"/>
      <c r="K282" s="149"/>
      <c r="L282" s="149"/>
      <c r="M282" s="149"/>
      <c r="O282" s="149"/>
      <c r="P282" s="149"/>
      <c r="Q282" s="149"/>
      <c r="R282" s="149"/>
      <c r="S282" s="149"/>
    </row>
    <row r="283" spans="2:21">
      <c r="B283" s="5"/>
      <c r="D283" s="5"/>
      <c r="E283" t="s">
        <v>258</v>
      </c>
      <c r="G283" s="149"/>
      <c r="H283" s="149"/>
      <c r="I283" s="149"/>
      <c r="J283" s="149"/>
      <c r="K283" s="149"/>
      <c r="L283" s="149"/>
      <c r="M283" s="149"/>
      <c r="P283" s="149"/>
      <c r="Q283" s="149"/>
      <c r="R283" s="149"/>
      <c r="S283" s="149"/>
    </row>
    <row r="284" spans="2:21">
      <c r="B284" s="5"/>
      <c r="D284" s="5"/>
      <c r="E284" t="s">
        <v>259</v>
      </c>
      <c r="G284" s="149"/>
      <c r="H284" s="149"/>
      <c r="I284" s="149"/>
      <c r="J284" s="149"/>
      <c r="K284" s="149"/>
      <c r="L284" s="149"/>
      <c r="M284" s="149"/>
      <c r="P284" s="149"/>
      <c r="Q284" s="149"/>
      <c r="R284" s="149"/>
      <c r="S284" s="149"/>
    </row>
    <row r="285" spans="2:21">
      <c r="B285" s="5"/>
      <c r="D285" s="5"/>
      <c r="E285" s="184" t="s">
        <v>986</v>
      </c>
      <c r="F285" s="184"/>
      <c r="G285" s="149"/>
      <c r="H285" s="184"/>
      <c r="I285" s="184"/>
      <c r="J285" s="149"/>
      <c r="K285" s="149"/>
      <c r="L285" s="149"/>
      <c r="M285" s="149"/>
      <c r="P285" s="149"/>
      <c r="Q285" s="149"/>
      <c r="R285" s="149"/>
      <c r="S285" s="149"/>
    </row>
    <row r="286" spans="2:21">
      <c r="B286" s="5"/>
      <c r="D286" s="5"/>
      <c r="E286" s="726" t="s">
        <v>897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566</v>
      </c>
      <c r="E288" s="5" t="s">
        <v>567</v>
      </c>
      <c r="K288" s="149"/>
      <c r="L288" s="149"/>
      <c r="M288" s="149"/>
      <c r="N288" s="149"/>
    </row>
    <row r="289" spans="2:38">
      <c r="B289" s="5"/>
      <c r="D289" s="149"/>
      <c r="E289" s="149" t="s">
        <v>113</v>
      </c>
      <c r="F289" s="149" t="s">
        <v>568</v>
      </c>
      <c r="G289" s="149"/>
      <c r="O289" s="149"/>
      <c r="P289" s="149"/>
      <c r="Q289" s="149"/>
      <c r="R289" s="149"/>
      <c r="S289" s="149"/>
      <c r="T289" s="149"/>
      <c r="U289" s="149"/>
      <c r="V289" s="149"/>
      <c r="W289" s="149"/>
    </row>
    <row r="290" spans="2:38">
      <c r="B290" s="5"/>
      <c r="D290" s="149"/>
      <c r="E290" s="149"/>
      <c r="F290" s="184" t="s">
        <v>1288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114</v>
      </c>
      <c r="F291" s="149" t="s">
        <v>569</v>
      </c>
      <c r="G291" s="149"/>
      <c r="L291" s="149"/>
      <c r="M291" s="149"/>
      <c r="N291" s="149"/>
      <c r="O291" s="149"/>
      <c r="P291" s="149"/>
      <c r="Q291" s="149"/>
      <c r="R291" s="149"/>
      <c r="S291" s="149"/>
      <c r="T291" s="149"/>
      <c r="U291" s="149"/>
      <c r="V291" s="149"/>
      <c r="W291" s="149"/>
    </row>
    <row r="292" spans="2:38">
      <c r="B292" s="5"/>
      <c r="D292" s="149"/>
      <c r="E292" s="149" t="s">
        <v>120</v>
      </c>
      <c r="F292" s="149" t="s">
        <v>260</v>
      </c>
      <c r="G292" s="149"/>
      <c r="H292" s="149"/>
      <c r="K292" s="149"/>
      <c r="L292" s="149"/>
      <c r="M292" s="149"/>
      <c r="N292" s="149"/>
      <c r="O292" s="149"/>
      <c r="P292" s="149"/>
      <c r="Q292" s="149"/>
      <c r="R292" s="149"/>
      <c r="S292" s="149"/>
      <c r="T292" s="149"/>
      <c r="U292" s="149"/>
      <c r="V292" s="149"/>
      <c r="W292" s="149"/>
    </row>
    <row r="293" spans="2:38">
      <c r="B293" s="5"/>
      <c r="D293" s="149"/>
      <c r="E293" s="149"/>
      <c r="F293" s="149" t="s">
        <v>662</v>
      </c>
      <c r="G293" s="149" t="s">
        <v>261</v>
      </c>
      <c r="K293" s="149"/>
      <c r="L293" s="149"/>
      <c r="M293" s="149"/>
      <c r="N293" s="149"/>
      <c r="O293" s="149"/>
      <c r="P293" s="149"/>
      <c r="Q293" s="149"/>
      <c r="R293" s="149"/>
      <c r="S293" s="149"/>
      <c r="T293" s="149"/>
      <c r="U293" s="149"/>
      <c r="V293" s="149"/>
      <c r="W293" s="149"/>
    </row>
    <row r="294" spans="2:38">
      <c r="B294" s="5"/>
      <c r="D294" s="149"/>
      <c r="E294" s="149"/>
      <c r="F294" s="149" t="s">
        <v>349</v>
      </c>
      <c r="G294" s="149" t="s">
        <v>979</v>
      </c>
      <c r="H294" s="149"/>
      <c r="K294" s="149"/>
      <c r="L294" s="149"/>
      <c r="M294" s="149"/>
      <c r="N294" s="149"/>
      <c r="O294" s="149"/>
      <c r="P294" s="149"/>
      <c r="Q294" s="149"/>
      <c r="R294" s="149"/>
      <c r="S294" s="149"/>
      <c r="T294" s="149"/>
      <c r="U294" s="149"/>
      <c r="V294" s="149"/>
      <c r="W294" s="149"/>
    </row>
    <row r="295" spans="2:38">
      <c r="B295" s="5"/>
      <c r="D295" s="149"/>
      <c r="E295" s="149"/>
      <c r="F295" s="149" t="s">
        <v>350</v>
      </c>
      <c r="G295" s="149" t="s">
        <v>570</v>
      </c>
      <c r="K295" s="149"/>
      <c r="L295" s="149"/>
      <c r="M295" s="149"/>
      <c r="N295" s="149"/>
      <c r="O295" s="149"/>
      <c r="P295" s="149"/>
      <c r="Q295" s="149"/>
      <c r="R295" s="149"/>
      <c r="S295" s="149"/>
      <c r="T295" s="149"/>
      <c r="U295" s="149"/>
      <c r="V295" s="149"/>
      <c r="W295" s="149"/>
    </row>
    <row r="296" spans="2:38">
      <c r="B296" s="5"/>
      <c r="D296" s="149"/>
      <c r="E296" s="149"/>
      <c r="F296" s="149" t="s">
        <v>447</v>
      </c>
      <c r="G296" s="149" t="s">
        <v>262</v>
      </c>
      <c r="H296" s="149"/>
      <c r="K296" s="149"/>
      <c r="L296" s="149"/>
      <c r="M296" s="149"/>
      <c r="N296" s="149"/>
      <c r="O296" s="149"/>
      <c r="P296" s="149"/>
      <c r="Q296" s="149"/>
      <c r="R296" s="149"/>
      <c r="S296" s="149"/>
      <c r="T296" s="149"/>
      <c r="U296" s="149"/>
      <c r="V296" s="149"/>
      <c r="W296" s="149"/>
    </row>
    <row r="297" spans="2:38">
      <c r="B297" s="5"/>
      <c r="D297" s="149"/>
      <c r="E297" s="149"/>
      <c r="F297" s="149" t="s">
        <v>263</v>
      </c>
      <c r="G297" s="149" t="s">
        <v>391</v>
      </c>
      <c r="K297" s="149"/>
      <c r="L297" s="149"/>
      <c r="M297" s="149"/>
      <c r="N297" s="149"/>
      <c r="O297" s="149"/>
      <c r="P297" s="149"/>
      <c r="Q297" s="149"/>
      <c r="R297" s="149"/>
      <c r="S297" s="149"/>
      <c r="T297" s="149"/>
      <c r="U297" s="149"/>
      <c r="V297" s="149"/>
      <c r="W297" s="149"/>
    </row>
    <row r="298" spans="2:38">
      <c r="B298" s="5"/>
      <c r="D298" s="149"/>
      <c r="E298" s="149"/>
      <c r="F298" s="149" t="s">
        <v>264</v>
      </c>
      <c r="G298" s="149" t="s">
        <v>170</v>
      </c>
      <c r="H298" s="149"/>
      <c r="K298" s="149"/>
      <c r="L298" s="149"/>
      <c r="M298" s="149"/>
      <c r="N298" s="149"/>
      <c r="O298" s="149"/>
      <c r="P298" s="149"/>
      <c r="Q298" s="149"/>
      <c r="R298" s="149"/>
      <c r="S298" s="149"/>
      <c r="T298" s="149"/>
      <c r="U298" s="149"/>
      <c r="V298" s="149"/>
      <c r="W298" s="149"/>
    </row>
    <row r="299" spans="2:38">
      <c r="B299" s="5"/>
      <c r="D299" s="149"/>
      <c r="E299" s="149" t="s">
        <v>590</v>
      </c>
      <c r="F299" s="149" t="s">
        <v>754</v>
      </c>
      <c r="G299" s="149"/>
      <c r="K299" s="149"/>
      <c r="L299" s="149"/>
      <c r="M299" s="149"/>
      <c r="N299" s="149"/>
      <c r="O299" s="149"/>
      <c r="P299" s="149"/>
      <c r="Q299" s="149"/>
      <c r="R299" s="149"/>
      <c r="S299" s="149"/>
      <c r="T299" s="149"/>
      <c r="U299" s="149"/>
      <c r="V299" s="149"/>
      <c r="W299" s="149"/>
    </row>
    <row r="300" spans="2:38">
      <c r="B300" s="5"/>
      <c r="D300" s="149"/>
      <c r="E300" s="149" t="s">
        <v>787</v>
      </c>
      <c r="F300" s="149" t="s">
        <v>761</v>
      </c>
      <c r="G300" s="149"/>
      <c r="K300" s="149"/>
      <c r="L300" s="149"/>
      <c r="M300" s="149"/>
      <c r="N300" s="149"/>
      <c r="O300" s="149"/>
      <c r="P300" s="149"/>
      <c r="Q300" s="149"/>
      <c r="R300" s="149"/>
      <c r="S300" s="149"/>
      <c r="T300" s="149"/>
      <c r="U300" s="149"/>
      <c r="V300" s="149"/>
      <c r="W300" s="149"/>
    </row>
    <row r="301" spans="2:38">
      <c r="B301" s="5"/>
      <c r="D301" s="149"/>
      <c r="E301" s="149"/>
      <c r="F301" s="247" t="s">
        <v>1002</v>
      </c>
      <c r="G301" s="184"/>
      <c r="H301" s="184"/>
      <c r="I301" s="247"/>
      <c r="J301" s="247"/>
      <c r="K301" s="247"/>
      <c r="L301" s="247"/>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7" t="s">
        <v>1003</v>
      </c>
      <c r="G302" s="184"/>
      <c r="H302" s="184"/>
      <c r="I302" s="247"/>
      <c r="J302" s="247"/>
      <c r="K302" s="247"/>
      <c r="L302" s="247"/>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7" t="s">
        <v>1004</v>
      </c>
      <c r="G303" s="184"/>
      <c r="H303" s="184"/>
      <c r="I303" s="247"/>
      <c r="J303" s="247"/>
      <c r="K303" s="247"/>
      <c r="L303" s="247"/>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564</v>
      </c>
      <c r="E305" s="5" t="s">
        <v>290</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987</v>
      </c>
      <c r="F306" s="149"/>
      <c r="K306" s="149"/>
      <c r="L306" s="149"/>
      <c r="M306" s="149"/>
      <c r="N306" s="149"/>
      <c r="O306" s="149"/>
      <c r="P306" s="149"/>
      <c r="Q306" s="149"/>
      <c r="R306" s="149"/>
      <c r="S306" s="149"/>
      <c r="T306" s="149"/>
      <c r="U306" s="149"/>
      <c r="V306" s="149"/>
      <c r="W306" s="149"/>
    </row>
    <row r="307" spans="2:23">
      <c r="B307" s="5"/>
      <c r="D307" s="5"/>
      <c r="E307" s="149" t="s">
        <v>985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623</v>
      </c>
      <c r="I309" s="149"/>
      <c r="J309" s="149"/>
      <c r="K309" s="149"/>
      <c r="L309" s="149"/>
      <c r="M309" s="149"/>
      <c r="N309" s="149"/>
      <c r="O309" s="149"/>
      <c r="P309" s="149"/>
    </row>
    <row r="310" spans="2:23">
      <c r="B310" s="5"/>
      <c r="D310" s="5" t="s">
        <v>208</v>
      </c>
      <c r="E310" s="5" t="s">
        <v>265</v>
      </c>
      <c r="G310" s="5"/>
      <c r="H310" s="5"/>
      <c r="I310" s="5"/>
      <c r="J310" s="5"/>
      <c r="K310" s="5"/>
      <c r="L310" s="5"/>
      <c r="M310" s="5"/>
      <c r="N310" s="5"/>
      <c r="O310" s="5"/>
      <c r="P310" s="5"/>
      <c r="Q310" s="5"/>
      <c r="R310" s="5"/>
    </row>
    <row r="311" spans="2:23">
      <c r="B311" s="5"/>
      <c r="D311" s="5"/>
      <c r="E311" t="s">
        <v>266</v>
      </c>
      <c r="G311" s="149"/>
      <c r="I311" s="149"/>
      <c r="K311" s="149"/>
    </row>
    <row r="312" spans="2:23">
      <c r="B312" s="5"/>
      <c r="D312" s="5"/>
      <c r="E312" s="149" t="s">
        <v>823</v>
      </c>
      <c r="F312" s="149"/>
      <c r="G312" s="149"/>
      <c r="I312" s="149"/>
      <c r="K312" s="149"/>
    </row>
    <row r="313" spans="2:23">
      <c r="B313" s="5"/>
      <c r="D313" s="5"/>
      <c r="E313" s="149" t="s">
        <v>988</v>
      </c>
      <c r="F313" s="149"/>
      <c r="G313" s="149"/>
      <c r="I313" s="149"/>
      <c r="K313" s="149"/>
    </row>
    <row r="314" spans="2:23">
      <c r="B314" s="5"/>
      <c r="D314" s="5"/>
      <c r="E314" s="149" t="s">
        <v>824</v>
      </c>
      <c r="F314" s="149"/>
      <c r="G314" s="149"/>
      <c r="I314" s="149"/>
      <c r="K314" s="149"/>
    </row>
    <row r="315" spans="2:23">
      <c r="B315" s="5"/>
      <c r="D315" s="5"/>
      <c r="G315" s="149"/>
      <c r="I315" s="149"/>
      <c r="K315" s="149"/>
    </row>
    <row r="316" spans="2:23">
      <c r="B316" s="5"/>
      <c r="D316" s="5" t="s">
        <v>342</v>
      </c>
      <c r="E316" s="5" t="s">
        <v>763</v>
      </c>
      <c r="G316" s="149"/>
      <c r="H316" s="149"/>
      <c r="I316" s="149"/>
      <c r="J316" s="149"/>
      <c r="K316" s="149"/>
      <c r="P316" s="149"/>
      <c r="Q316" s="149"/>
      <c r="R316" s="149"/>
      <c r="S316" s="149"/>
    </row>
    <row r="317" spans="2:23">
      <c r="B317" s="5"/>
      <c r="D317" s="5"/>
      <c r="E317" t="s">
        <v>267</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1" t="s">
        <v>583</v>
      </c>
      <c r="E319" s="251" t="s">
        <v>747</v>
      </c>
      <c r="F319" s="22"/>
      <c r="G319" s="149"/>
      <c r="H319" s="149"/>
      <c r="I319" s="149"/>
      <c r="J319" s="149"/>
      <c r="K319" s="149"/>
      <c r="L319" s="149"/>
      <c r="M319" s="149"/>
      <c r="N319" s="149"/>
      <c r="O319" s="149"/>
      <c r="P319" s="149"/>
      <c r="Q319" s="149"/>
      <c r="R319" s="149"/>
      <c r="S319" s="149"/>
    </row>
    <row r="320" spans="2:23">
      <c r="B320" s="5"/>
      <c r="E320" t="s">
        <v>744</v>
      </c>
      <c r="I320" s="149"/>
      <c r="J320" s="149"/>
      <c r="K320" s="149"/>
      <c r="L320" s="149"/>
      <c r="M320" s="149"/>
      <c r="N320" s="149"/>
      <c r="O320" s="149"/>
      <c r="P320" s="149"/>
      <c r="Q320" s="149"/>
      <c r="R320" s="149"/>
      <c r="S320" s="149"/>
    </row>
    <row r="321" spans="1:38">
      <c r="B321" s="5"/>
      <c r="E321" t="s">
        <v>745</v>
      </c>
      <c r="I321" s="149"/>
      <c r="J321" s="149"/>
      <c r="K321" s="149"/>
      <c r="L321" s="149"/>
      <c r="M321" s="149"/>
      <c r="N321" s="149"/>
      <c r="O321" s="149"/>
      <c r="P321" s="149"/>
      <c r="Q321" s="149"/>
      <c r="R321" s="149"/>
      <c r="S321" s="149"/>
    </row>
    <row r="322" spans="1:38">
      <c r="B322" s="5"/>
      <c r="E322" t="s">
        <v>746</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624</v>
      </c>
      <c r="I324" s="149"/>
      <c r="J324" s="149"/>
      <c r="K324" s="149"/>
      <c r="L324" s="149"/>
      <c r="M324" s="149"/>
      <c r="N324" s="149"/>
      <c r="O324" s="149"/>
      <c r="P324" s="149"/>
      <c r="Q324" s="149"/>
      <c r="R324" s="149"/>
      <c r="S324" s="149"/>
    </row>
    <row r="325" spans="1:38">
      <c r="A325" t="s">
        <v>251</v>
      </c>
      <c r="D325" s="5" t="s">
        <v>208</v>
      </c>
      <c r="E325" s="183" t="s">
        <v>624</v>
      </c>
      <c r="J325" s="183"/>
      <c r="K325" s="183"/>
      <c r="L325" s="183"/>
      <c r="M325" s="182"/>
      <c r="N325" s="182"/>
      <c r="O325" s="182"/>
      <c r="P325" s="182"/>
      <c r="Q325" s="182"/>
      <c r="R325" s="182"/>
      <c r="S325" s="149"/>
    </row>
    <row r="326" spans="1:38">
      <c r="E326" t="s">
        <v>113</v>
      </c>
      <c r="F326" s="149" t="s">
        <v>989</v>
      </c>
      <c r="J326" s="149"/>
      <c r="K326" s="149"/>
      <c r="L326" s="149"/>
      <c r="M326" s="149"/>
      <c r="N326" s="149"/>
      <c r="O326" s="149"/>
      <c r="P326" s="149"/>
      <c r="Q326" s="149"/>
      <c r="R326" s="149"/>
      <c r="S326" s="149"/>
    </row>
    <row r="327" spans="1:38">
      <c r="E327" s="149" t="s">
        <v>114</v>
      </c>
      <c r="F327" t="s">
        <v>748</v>
      </c>
      <c r="J327" s="149"/>
      <c r="K327" s="149"/>
      <c r="L327" s="149"/>
      <c r="M327" s="149"/>
      <c r="N327" s="149"/>
      <c r="O327" s="149"/>
      <c r="P327" s="149"/>
      <c r="Q327" s="149"/>
      <c r="R327" s="149"/>
      <c r="S327" s="149"/>
    </row>
    <row r="328" spans="1:38">
      <c r="F328" s="184" t="s">
        <v>1289</v>
      </c>
      <c r="I328" s="184"/>
      <c r="J328" s="149"/>
      <c r="K328" s="149"/>
      <c r="L328" s="149"/>
      <c r="M328" s="149"/>
      <c r="N328" s="149"/>
      <c r="O328" s="149"/>
      <c r="P328" s="149"/>
      <c r="Q328" s="149"/>
      <c r="R328" s="149"/>
      <c r="S328" s="149"/>
    </row>
    <row r="329" spans="1:38">
      <c r="F329" s="184" t="s">
        <v>1290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524</v>
      </c>
      <c r="C331" s="193" t="s">
        <v>22</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431</v>
      </c>
      <c r="G333" s="195" t="s">
        <v>22</v>
      </c>
      <c r="I333" s="183"/>
      <c r="J333" s="149"/>
      <c r="K333" s="149"/>
      <c r="L333" s="149"/>
      <c r="M333" s="149"/>
      <c r="N333" s="149"/>
      <c r="O333" s="149"/>
      <c r="P333" s="149"/>
      <c r="Q333" s="149"/>
      <c r="R333" s="149"/>
      <c r="S333" s="149"/>
    </row>
    <row r="334" spans="1:38" s="1" customFormat="1">
      <c r="A334"/>
      <c r="B334" s="5"/>
      <c r="C334" s="183"/>
      <c r="D334" s="5" t="s">
        <v>208</v>
      </c>
      <c r="E334" s="5" t="s">
        <v>22</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113</v>
      </c>
      <c r="F335" t="s">
        <v>751</v>
      </c>
      <c r="J335" s="149"/>
      <c r="K335" s="149"/>
      <c r="L335" s="149"/>
      <c r="M335" s="149"/>
      <c r="N335" s="149"/>
      <c r="O335" s="149"/>
      <c r="P335" s="149"/>
      <c r="Q335" s="149"/>
      <c r="R335" s="149"/>
      <c r="S335" s="149"/>
    </row>
    <row r="336" spans="1:38">
      <c r="B336" s="5"/>
      <c r="E336" s="149"/>
      <c r="F336" s="149" t="s">
        <v>752</v>
      </c>
      <c r="J336" s="149"/>
      <c r="K336" s="149"/>
      <c r="L336" s="149"/>
      <c r="M336" s="149"/>
      <c r="N336" s="149"/>
      <c r="O336" s="149"/>
      <c r="P336" s="149"/>
      <c r="Q336" s="149"/>
      <c r="R336" s="149"/>
      <c r="S336" s="149"/>
    </row>
    <row r="337" spans="2:37">
      <c r="B337" s="5"/>
      <c r="E337" s="149"/>
      <c r="F337" s="149" t="s">
        <v>753</v>
      </c>
      <c r="I337" s="149"/>
      <c r="J337" s="149"/>
      <c r="K337" s="149"/>
      <c r="L337" s="149"/>
      <c r="M337" s="149"/>
      <c r="N337" s="149"/>
      <c r="O337" s="149"/>
      <c r="P337" s="149"/>
      <c r="Q337" s="149"/>
      <c r="R337" s="149"/>
      <c r="S337" s="149"/>
    </row>
    <row r="338" spans="2:37">
      <c r="B338" s="5"/>
      <c r="E338" s="149" t="s">
        <v>114</v>
      </c>
      <c r="F338" s="1917" t="s">
        <v>1293</v>
      </c>
      <c r="G338" s="1917"/>
      <c r="H338" s="1917"/>
      <c r="I338" s="1917"/>
      <c r="J338" s="1917"/>
      <c r="K338" s="1917"/>
      <c r="L338" s="1917"/>
      <c r="M338" s="1917"/>
      <c r="N338" s="1917"/>
      <c r="O338" s="1917"/>
      <c r="P338" s="1917"/>
      <c r="Q338" s="1917"/>
      <c r="R338" s="1917"/>
      <c r="S338" s="1917"/>
      <c r="T338" s="1917"/>
      <c r="U338" s="1917"/>
      <c r="V338" s="1917"/>
      <c r="W338" s="1917"/>
      <c r="X338" s="1917"/>
      <c r="Y338" s="1917"/>
      <c r="Z338" s="1917"/>
      <c r="AA338" s="1917"/>
      <c r="AB338" s="1917"/>
      <c r="AC338" s="1917"/>
      <c r="AD338" s="1917"/>
      <c r="AE338" s="1917"/>
      <c r="AF338" s="1917"/>
      <c r="AG338" s="1917"/>
      <c r="AH338" s="1917"/>
      <c r="AI338" s="1917"/>
      <c r="AJ338" s="1917"/>
      <c r="AK338" s="1917"/>
    </row>
    <row r="339" spans="2:37">
      <c r="B339" s="5"/>
      <c r="E339" s="149"/>
      <c r="F339" s="1917"/>
      <c r="G339" s="1917"/>
      <c r="H339" s="1917"/>
      <c r="I339" s="1917"/>
      <c r="J339" s="1917"/>
      <c r="K339" s="1917"/>
      <c r="L339" s="1917"/>
      <c r="M339" s="1917"/>
      <c r="N339" s="1917"/>
      <c r="O339" s="1917"/>
      <c r="P339" s="1917"/>
      <c r="Q339" s="1917"/>
      <c r="R339" s="1917"/>
      <c r="S339" s="1917"/>
      <c r="T339" s="1917"/>
      <c r="U339" s="1917"/>
      <c r="V339" s="1917"/>
      <c r="W339" s="1917"/>
      <c r="X339" s="1917"/>
      <c r="Y339" s="1917"/>
      <c r="Z339" s="1917"/>
      <c r="AA339" s="1917"/>
      <c r="AB339" s="1917"/>
      <c r="AC339" s="1917"/>
      <c r="AD339" s="1917"/>
      <c r="AE339" s="1917"/>
      <c r="AF339" s="1917"/>
      <c r="AG339" s="1917"/>
      <c r="AH339" s="1917"/>
      <c r="AI339" s="1917"/>
      <c r="AJ339" s="1917"/>
      <c r="AK339" s="1917"/>
    </row>
    <row r="340" spans="2:37">
      <c r="B340" s="5"/>
      <c r="E340" s="149"/>
      <c r="F340" s="1917"/>
      <c r="G340" s="1917"/>
      <c r="H340" s="1917"/>
      <c r="I340" s="1917"/>
      <c r="J340" s="1917"/>
      <c r="K340" s="1917"/>
      <c r="L340" s="1917"/>
      <c r="M340" s="1917"/>
      <c r="N340" s="1917"/>
      <c r="O340" s="1917"/>
      <c r="P340" s="1917"/>
      <c r="Q340" s="1917"/>
      <c r="R340" s="1917"/>
      <c r="S340" s="1917"/>
      <c r="T340" s="1917"/>
      <c r="U340" s="1917"/>
      <c r="V340" s="1917"/>
      <c r="W340" s="1917"/>
      <c r="X340" s="1917"/>
      <c r="Y340" s="1917"/>
      <c r="Z340" s="1917"/>
      <c r="AA340" s="1917"/>
      <c r="AB340" s="1917"/>
      <c r="AC340" s="1917"/>
      <c r="AD340" s="1917"/>
      <c r="AE340" s="1917"/>
      <c r="AF340" s="1917"/>
      <c r="AG340" s="1917"/>
      <c r="AH340" s="1917"/>
      <c r="AI340" s="1917"/>
      <c r="AJ340" s="1917"/>
      <c r="AK340" s="1917"/>
    </row>
    <row r="341" spans="2:37">
      <c r="B341" s="5"/>
      <c r="F341" s="149"/>
      <c r="H341" s="149"/>
      <c r="I341" s="149"/>
      <c r="J341" s="149"/>
      <c r="K341" s="149"/>
      <c r="L341" s="149"/>
      <c r="M341" s="149"/>
      <c r="N341" s="149"/>
      <c r="O341" s="149"/>
      <c r="P341" s="149"/>
      <c r="Q341" s="149"/>
      <c r="R341" s="149"/>
      <c r="S341" s="149"/>
    </row>
    <row r="342" spans="2:37" s="706" customFormat="1">
      <c r="B342" s="5"/>
      <c r="C342" s="183" t="s">
        <v>432</v>
      </c>
      <c r="G342" s="195" t="s">
        <v>1374</v>
      </c>
      <c r="I342" s="183"/>
      <c r="J342" s="149"/>
      <c r="K342" s="149"/>
      <c r="L342" s="149"/>
      <c r="M342" s="149"/>
      <c r="N342" s="149"/>
      <c r="O342" s="149"/>
      <c r="P342" s="149"/>
      <c r="Q342" s="149"/>
      <c r="R342" s="149"/>
      <c r="S342" s="149"/>
    </row>
    <row r="343" spans="2:37" s="706" customFormat="1" ht="13.15" customHeight="1">
      <c r="B343" s="5"/>
      <c r="E343" s="1923" t="s">
        <v>1381</v>
      </c>
      <c r="F343" s="1923"/>
      <c r="G343" s="1923"/>
      <c r="H343" s="1923"/>
      <c r="I343" s="1923"/>
      <c r="J343" s="1923"/>
      <c r="K343" s="1923"/>
      <c r="L343" s="1923"/>
      <c r="M343" s="1923"/>
      <c r="N343" s="1923"/>
      <c r="O343" s="1923"/>
      <c r="P343" s="1923"/>
      <c r="Q343" s="1923"/>
      <c r="R343" s="1923"/>
      <c r="S343" s="1923"/>
      <c r="T343" s="1923"/>
      <c r="U343" s="1923"/>
      <c r="V343" s="1923"/>
      <c r="W343" s="1923"/>
      <c r="X343" s="1923"/>
      <c r="Y343" s="1923"/>
      <c r="Z343" s="1923"/>
      <c r="AA343" s="1923"/>
      <c r="AB343" s="1923"/>
      <c r="AC343" s="1923"/>
      <c r="AD343" s="1923"/>
      <c r="AE343" s="1923"/>
      <c r="AF343" s="1923"/>
      <c r="AG343" s="1923"/>
      <c r="AH343" s="1923"/>
      <c r="AI343" s="1923"/>
      <c r="AJ343" s="1923"/>
      <c r="AK343" s="1923"/>
    </row>
    <row r="344" spans="2:37" s="706" customFormat="1">
      <c r="B344" s="5"/>
      <c r="E344" s="1923"/>
      <c r="F344" s="1923"/>
      <c r="G344" s="1923"/>
      <c r="H344" s="1923"/>
      <c r="I344" s="1923"/>
      <c r="J344" s="1923"/>
      <c r="K344" s="1923"/>
      <c r="L344" s="1923"/>
      <c r="M344" s="1923"/>
      <c r="N344" s="1923"/>
      <c r="O344" s="1923"/>
      <c r="P344" s="1923"/>
      <c r="Q344" s="1923"/>
      <c r="R344" s="1923"/>
      <c r="S344" s="1923"/>
      <c r="T344" s="1923"/>
      <c r="U344" s="1923"/>
      <c r="V344" s="1923"/>
      <c r="W344" s="1923"/>
      <c r="X344" s="1923"/>
      <c r="Y344" s="1923"/>
      <c r="Z344" s="1923"/>
      <c r="AA344" s="1923"/>
      <c r="AB344" s="1923"/>
      <c r="AC344" s="1923"/>
      <c r="AD344" s="1923"/>
      <c r="AE344" s="1923"/>
      <c r="AF344" s="1923"/>
      <c r="AG344" s="1923"/>
      <c r="AH344" s="1923"/>
      <c r="AI344" s="1923"/>
      <c r="AJ344" s="1923"/>
      <c r="AK344" s="1923"/>
    </row>
    <row r="345" spans="2:37" s="706" customFormat="1">
      <c r="B345" s="5"/>
      <c r="E345" s="1923"/>
      <c r="F345" s="1923"/>
      <c r="G345" s="1923"/>
      <c r="H345" s="1923"/>
      <c r="I345" s="1923"/>
      <c r="J345" s="1923"/>
      <c r="K345" s="1923"/>
      <c r="L345" s="1923"/>
      <c r="M345" s="1923"/>
      <c r="N345" s="1923"/>
      <c r="O345" s="1923"/>
      <c r="P345" s="1923"/>
      <c r="Q345" s="1923"/>
      <c r="R345" s="1923"/>
      <c r="S345" s="1923"/>
      <c r="T345" s="1923"/>
      <c r="U345" s="1923"/>
      <c r="V345" s="1923"/>
      <c r="W345" s="1923"/>
      <c r="X345" s="1923"/>
      <c r="Y345" s="1923"/>
      <c r="Z345" s="1923"/>
      <c r="AA345" s="1923"/>
      <c r="AB345" s="1923"/>
      <c r="AC345" s="1923"/>
      <c r="AD345" s="1923"/>
      <c r="AE345" s="1923"/>
      <c r="AF345" s="1923"/>
      <c r="AG345" s="1923"/>
      <c r="AH345" s="1923"/>
      <c r="AI345" s="1923"/>
      <c r="AJ345" s="1923"/>
      <c r="AK345" s="1923"/>
    </row>
    <row r="346" spans="2:37" s="706" customFormat="1">
      <c r="B346" s="5"/>
      <c r="E346" s="1923"/>
      <c r="F346" s="1923"/>
      <c r="G346" s="1923"/>
      <c r="H346" s="1923"/>
      <c r="I346" s="1923"/>
      <c r="J346" s="1923"/>
      <c r="K346" s="1923"/>
      <c r="L346" s="1923"/>
      <c r="M346" s="1923"/>
      <c r="N346" s="1923"/>
      <c r="O346" s="1923"/>
      <c r="P346" s="1923"/>
      <c r="Q346" s="1923"/>
      <c r="R346" s="1923"/>
      <c r="S346" s="1923"/>
      <c r="T346" s="1923"/>
      <c r="U346" s="1923"/>
      <c r="V346" s="1923"/>
      <c r="W346" s="1923"/>
      <c r="X346" s="1923"/>
      <c r="Y346" s="1923"/>
      <c r="Z346" s="1923"/>
      <c r="AA346" s="1923"/>
      <c r="AB346" s="1923"/>
      <c r="AC346" s="1923"/>
      <c r="AD346" s="1923"/>
      <c r="AE346" s="1923"/>
      <c r="AF346" s="1923"/>
      <c r="AG346" s="1923"/>
      <c r="AH346" s="1923"/>
      <c r="AI346" s="1923"/>
      <c r="AJ346" s="1923"/>
      <c r="AK346" s="1923"/>
    </row>
    <row r="347" spans="2:37" s="706" customFormat="1">
      <c r="B347" s="5"/>
      <c r="E347" s="1923"/>
      <c r="F347" s="1923"/>
      <c r="G347" s="1923"/>
      <c r="H347" s="1923"/>
      <c r="I347" s="1923"/>
      <c r="J347" s="1923"/>
      <c r="K347" s="1923"/>
      <c r="L347" s="1923"/>
      <c r="M347" s="1923"/>
      <c r="N347" s="1923"/>
      <c r="O347" s="1923"/>
      <c r="P347" s="1923"/>
      <c r="Q347" s="1923"/>
      <c r="R347" s="1923"/>
      <c r="S347" s="1923"/>
      <c r="T347" s="1923"/>
      <c r="U347" s="1923"/>
      <c r="V347" s="1923"/>
      <c r="W347" s="1923"/>
      <c r="X347" s="1923"/>
      <c r="Y347" s="1923"/>
      <c r="Z347" s="1923"/>
      <c r="AA347" s="1923"/>
      <c r="AB347" s="1923"/>
      <c r="AC347" s="1923"/>
      <c r="AD347" s="1923"/>
      <c r="AE347" s="1923"/>
      <c r="AF347" s="1923"/>
      <c r="AG347" s="1923"/>
      <c r="AH347" s="1923"/>
      <c r="AI347" s="1923"/>
      <c r="AJ347" s="1923"/>
      <c r="AK347" s="1923"/>
    </row>
    <row r="348" spans="2:37" s="706" customFormat="1">
      <c r="B348" s="5"/>
      <c r="E348" s="6" t="s">
        <v>113</v>
      </c>
      <c r="F348" s="1917" t="s">
        <v>1383</v>
      </c>
      <c r="G348" s="1917"/>
      <c r="H348" s="1917"/>
      <c r="I348" s="1917"/>
      <c r="J348" s="1917"/>
      <c r="K348" s="1917"/>
      <c r="L348" s="1917"/>
      <c r="M348" s="1917"/>
      <c r="N348" s="1917"/>
      <c r="O348" s="1917"/>
      <c r="P348" s="1917"/>
      <c r="Q348" s="1917"/>
      <c r="R348" s="1917"/>
      <c r="S348" s="1917"/>
      <c r="T348" s="1917"/>
      <c r="U348" s="1917"/>
      <c r="V348" s="1917"/>
      <c r="W348" s="1917"/>
      <c r="X348" s="1917"/>
      <c r="Y348" s="1917"/>
      <c r="Z348" s="1917"/>
      <c r="AA348" s="1917"/>
      <c r="AB348" s="1917"/>
      <c r="AC348" s="1917"/>
      <c r="AD348" s="1917"/>
      <c r="AE348" s="1917"/>
      <c r="AF348" s="1917"/>
      <c r="AG348" s="1917"/>
      <c r="AH348" s="1917"/>
      <c r="AI348" s="1917"/>
      <c r="AJ348" s="1917"/>
      <c r="AK348" s="1917"/>
    </row>
    <row r="349" spans="2:37" s="706" customFormat="1">
      <c r="B349" s="5"/>
      <c r="E349" s="6"/>
      <c r="F349" s="1917"/>
      <c r="G349" s="1917"/>
      <c r="H349" s="1917"/>
      <c r="I349" s="1917"/>
      <c r="J349" s="1917"/>
      <c r="K349" s="1917"/>
      <c r="L349" s="1917"/>
      <c r="M349" s="1917"/>
      <c r="N349" s="1917"/>
      <c r="O349" s="1917"/>
      <c r="P349" s="1917"/>
      <c r="Q349" s="1917"/>
      <c r="R349" s="1917"/>
      <c r="S349" s="1917"/>
      <c r="T349" s="1917"/>
      <c r="U349" s="1917"/>
      <c r="V349" s="1917"/>
      <c r="W349" s="1917"/>
      <c r="X349" s="1917"/>
      <c r="Y349" s="1917"/>
      <c r="Z349" s="1917"/>
      <c r="AA349" s="1917"/>
      <c r="AB349" s="1917"/>
      <c r="AC349" s="1917"/>
      <c r="AD349" s="1917"/>
      <c r="AE349" s="1917"/>
      <c r="AF349" s="1917"/>
      <c r="AG349" s="1917"/>
      <c r="AH349" s="1917"/>
      <c r="AI349" s="1917"/>
      <c r="AJ349" s="1917"/>
      <c r="AK349" s="1917"/>
    </row>
    <row r="350" spans="2:37" s="706" customFormat="1">
      <c r="B350" s="5"/>
      <c r="E350" s="6"/>
      <c r="F350" s="1917"/>
      <c r="G350" s="1917"/>
      <c r="H350" s="1917"/>
      <c r="I350" s="1917"/>
      <c r="J350" s="1917"/>
      <c r="K350" s="1917"/>
      <c r="L350" s="1917"/>
      <c r="M350" s="1917"/>
      <c r="N350" s="1917"/>
      <c r="O350" s="1917"/>
      <c r="P350" s="1917"/>
      <c r="Q350" s="1917"/>
      <c r="R350" s="1917"/>
      <c r="S350" s="1917"/>
      <c r="T350" s="1917"/>
      <c r="U350" s="1917"/>
      <c r="V350" s="1917"/>
      <c r="W350" s="1917"/>
      <c r="X350" s="1917"/>
      <c r="Y350" s="1917"/>
      <c r="Z350" s="1917"/>
      <c r="AA350" s="1917"/>
      <c r="AB350" s="1917"/>
      <c r="AC350" s="1917"/>
      <c r="AD350" s="1917"/>
      <c r="AE350" s="1917"/>
      <c r="AF350" s="1917"/>
      <c r="AG350" s="1917"/>
      <c r="AH350" s="1917"/>
      <c r="AI350" s="1917"/>
      <c r="AJ350" s="1917"/>
      <c r="AK350" s="1917"/>
    </row>
    <row r="351" spans="2:37" s="706" customFormat="1">
      <c r="B351" s="5"/>
      <c r="E351" s="6"/>
      <c r="F351" s="1917"/>
      <c r="G351" s="1917"/>
      <c r="H351" s="1917"/>
      <c r="I351" s="1917"/>
      <c r="J351" s="1917"/>
      <c r="K351" s="1917"/>
      <c r="L351" s="1917"/>
      <c r="M351" s="1917"/>
      <c r="N351" s="1917"/>
      <c r="O351" s="1917"/>
      <c r="P351" s="1917"/>
      <c r="Q351" s="1917"/>
      <c r="R351" s="1917"/>
      <c r="S351" s="1917"/>
      <c r="T351" s="1917"/>
      <c r="U351" s="1917"/>
      <c r="V351" s="1917"/>
      <c r="W351" s="1917"/>
      <c r="X351" s="1917"/>
      <c r="Y351" s="1917"/>
      <c r="Z351" s="1917"/>
      <c r="AA351" s="1917"/>
      <c r="AB351" s="1917"/>
      <c r="AC351" s="1917"/>
      <c r="AD351" s="1917"/>
      <c r="AE351" s="1917"/>
      <c r="AF351" s="1917"/>
      <c r="AG351" s="1917"/>
      <c r="AH351" s="1917"/>
      <c r="AI351" s="1917"/>
      <c r="AJ351" s="1917"/>
      <c r="AK351" s="1917"/>
    </row>
    <row r="352" spans="2:37" s="706" customFormat="1">
      <c r="B352" s="5"/>
      <c r="E352" s="6" t="s">
        <v>114</v>
      </c>
      <c r="F352" s="1917" t="s">
        <v>1382</v>
      </c>
      <c r="G352" s="1917"/>
      <c r="H352" s="1917"/>
      <c r="I352" s="1917"/>
      <c r="J352" s="1917"/>
      <c r="K352" s="1917"/>
      <c r="L352" s="1917"/>
      <c r="M352" s="1917"/>
      <c r="N352" s="1917"/>
      <c r="O352" s="1917"/>
      <c r="P352" s="1917"/>
      <c r="Q352" s="1917"/>
      <c r="R352" s="1917"/>
      <c r="S352" s="1917"/>
      <c r="T352" s="1917"/>
      <c r="U352" s="1917"/>
      <c r="V352" s="1917"/>
      <c r="W352" s="1917"/>
      <c r="X352" s="1917"/>
      <c r="Y352" s="1917"/>
      <c r="Z352" s="1917"/>
      <c r="AA352" s="1917"/>
      <c r="AB352" s="1917"/>
      <c r="AC352" s="1917"/>
      <c r="AD352" s="1917"/>
      <c r="AE352" s="1917"/>
      <c r="AF352" s="1917"/>
      <c r="AG352" s="1917"/>
      <c r="AH352" s="1917"/>
      <c r="AI352" s="1917"/>
      <c r="AJ352" s="1917"/>
      <c r="AK352" s="1917"/>
    </row>
    <row r="353" spans="1:38" s="706" customFormat="1">
      <c r="B353" s="5"/>
      <c r="F353" s="1917"/>
      <c r="G353" s="1917"/>
      <c r="H353" s="1917"/>
      <c r="I353" s="1917"/>
      <c r="J353" s="1917"/>
      <c r="K353" s="1917"/>
      <c r="L353" s="1917"/>
      <c r="M353" s="1917"/>
      <c r="N353" s="1917"/>
      <c r="O353" s="1917"/>
      <c r="P353" s="1917"/>
      <c r="Q353" s="1917"/>
      <c r="R353" s="1917"/>
      <c r="S353" s="1917"/>
      <c r="T353" s="1917"/>
      <c r="U353" s="1917"/>
      <c r="V353" s="1917"/>
      <c r="W353" s="1917"/>
      <c r="X353" s="1917"/>
      <c r="Y353" s="1917"/>
      <c r="Z353" s="1917"/>
      <c r="AA353" s="1917"/>
      <c r="AB353" s="1917"/>
      <c r="AC353" s="1917"/>
      <c r="AD353" s="1917"/>
      <c r="AE353" s="1917"/>
      <c r="AF353" s="1917"/>
      <c r="AG353" s="1917"/>
      <c r="AH353" s="1917"/>
      <c r="AI353" s="1917"/>
      <c r="AJ353" s="1917"/>
      <c r="AK353" s="1917"/>
    </row>
    <row r="354" spans="1:38" s="706" customFormat="1">
      <c r="B354" s="5"/>
      <c r="F354" s="1917"/>
      <c r="G354" s="1917"/>
      <c r="H354" s="1917"/>
      <c r="I354" s="1917"/>
      <c r="J354" s="1917"/>
      <c r="K354" s="1917"/>
      <c r="L354" s="1917"/>
      <c r="M354" s="1917"/>
      <c r="N354" s="1917"/>
      <c r="O354" s="1917"/>
      <c r="P354" s="1917"/>
      <c r="Q354" s="1917"/>
      <c r="R354" s="1917"/>
      <c r="S354" s="1917"/>
      <c r="T354" s="1917"/>
      <c r="U354" s="1917"/>
      <c r="V354" s="1917"/>
      <c r="W354" s="1917"/>
      <c r="X354" s="1917"/>
      <c r="Y354" s="1917"/>
      <c r="Z354" s="1917"/>
      <c r="AA354" s="1917"/>
      <c r="AB354" s="1917"/>
      <c r="AC354" s="1917"/>
      <c r="AD354" s="1917"/>
      <c r="AE354" s="1917"/>
      <c r="AF354" s="1917"/>
      <c r="AG354" s="1917"/>
      <c r="AH354" s="1917"/>
      <c r="AI354" s="1917"/>
      <c r="AJ354" s="1917"/>
      <c r="AK354" s="1917"/>
    </row>
    <row r="355" spans="1:38" s="706" customFormat="1">
      <c r="B355" s="5"/>
      <c r="F355" s="149"/>
      <c r="H355" s="149"/>
      <c r="I355" s="149"/>
      <c r="J355" s="149"/>
      <c r="K355" s="149"/>
      <c r="L355" s="149"/>
      <c r="M355" s="149"/>
      <c r="N355" s="149"/>
      <c r="O355" s="149"/>
      <c r="P355" s="149"/>
      <c r="Q355" s="149"/>
      <c r="R355" s="149"/>
      <c r="S355" s="149"/>
    </row>
    <row r="356" spans="1:38">
      <c r="A356" s="8"/>
      <c r="B356" s="17" t="s">
        <v>764</v>
      </c>
      <c r="C356" s="17" t="s">
        <v>625</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6" customFormat="1">
      <c r="A357" s="1"/>
      <c r="B357" s="194"/>
      <c r="D357" s="85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6" customFormat="1" ht="13.15" customHeight="1">
      <c r="B358" s="5"/>
      <c r="C358" s="17" t="s">
        <v>1361</v>
      </c>
      <c r="D358" s="8"/>
      <c r="E358" s="8"/>
      <c r="F358" s="8"/>
      <c r="G358" s="8"/>
      <c r="H358" s="8"/>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row>
    <row r="359" spans="1:38" s="706" customFormat="1" ht="13.15" customHeight="1">
      <c r="B359" s="5"/>
      <c r="C359" s="5"/>
      <c r="E359" s="846"/>
      <c r="F359" s="846"/>
      <c r="G359" s="846"/>
      <c r="H359" s="846"/>
      <c r="I359" s="846"/>
      <c r="J359" s="846"/>
      <c r="K359" s="846"/>
      <c r="L359" s="846"/>
      <c r="M359" s="846"/>
      <c r="N359" s="846"/>
      <c r="O359" s="846"/>
      <c r="P359" s="846"/>
      <c r="Q359" s="846"/>
      <c r="R359" s="846"/>
      <c r="S359" s="846"/>
      <c r="T359" s="846"/>
      <c r="U359" s="846"/>
      <c r="V359" s="846"/>
      <c r="W359" s="846"/>
      <c r="X359" s="846"/>
      <c r="Y359" s="846"/>
      <c r="Z359" s="846"/>
      <c r="AA359" s="846"/>
      <c r="AB359" s="846"/>
      <c r="AC359" s="846"/>
      <c r="AD359" s="846"/>
      <c r="AE359" s="846"/>
      <c r="AF359" s="846"/>
      <c r="AG359" s="846"/>
      <c r="AH359" s="846"/>
      <c r="AI359" s="846"/>
      <c r="AJ359" s="846"/>
      <c r="AK359" s="846"/>
    </row>
    <row r="360" spans="1:38">
      <c r="B360" s="5"/>
      <c r="D360" s="5" t="s">
        <v>208</v>
      </c>
      <c r="E360" s="5" t="s">
        <v>123</v>
      </c>
      <c r="I360" s="149"/>
      <c r="J360" s="149"/>
      <c r="K360" s="149"/>
      <c r="L360" s="149"/>
      <c r="M360" s="149"/>
      <c r="N360" s="149"/>
      <c r="O360" s="149"/>
      <c r="P360" s="149"/>
      <c r="Q360" s="149"/>
      <c r="R360" s="149"/>
      <c r="S360" s="149"/>
    </row>
    <row r="361" spans="1:38">
      <c r="B361" s="5"/>
      <c r="E361" t="s">
        <v>113</v>
      </c>
      <c r="F361" s="149" t="s">
        <v>755</v>
      </c>
      <c r="I361" s="149"/>
      <c r="J361" s="149"/>
      <c r="K361" s="149"/>
      <c r="L361" s="149"/>
      <c r="M361" s="149"/>
      <c r="N361" s="149"/>
      <c r="O361" s="149"/>
      <c r="P361" s="149"/>
      <c r="Q361" s="149"/>
      <c r="R361" s="149"/>
      <c r="S361" s="149"/>
    </row>
    <row r="362" spans="1:38">
      <c r="B362" s="5"/>
      <c r="F362" s="149" t="s">
        <v>756</v>
      </c>
      <c r="I362" s="149"/>
      <c r="J362" s="149"/>
      <c r="K362" s="149"/>
      <c r="L362" s="149"/>
      <c r="M362" s="149"/>
      <c r="N362" s="149"/>
      <c r="O362" s="149"/>
      <c r="P362" s="149"/>
      <c r="Q362" s="149"/>
      <c r="R362" s="149"/>
      <c r="S362" s="149"/>
    </row>
    <row r="363" spans="1:38">
      <c r="B363" s="5"/>
      <c r="F363" s="149" t="s">
        <v>900</v>
      </c>
      <c r="G363" s="149"/>
      <c r="K363" s="149"/>
      <c r="L363" s="149"/>
      <c r="M363" s="149"/>
      <c r="N363" s="149"/>
      <c r="O363" s="149"/>
      <c r="P363" s="149"/>
      <c r="Q363" s="149"/>
      <c r="R363" s="149"/>
      <c r="S363" s="149"/>
    </row>
    <row r="364" spans="1:38">
      <c r="B364" s="5"/>
      <c r="E364" t="s">
        <v>114</v>
      </c>
      <c r="F364" s="149" t="s">
        <v>899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120</v>
      </c>
      <c r="F365" s="149" t="s">
        <v>757</v>
      </c>
      <c r="I365" s="149"/>
      <c r="J365" s="149"/>
      <c r="K365" s="149"/>
      <c r="L365" s="149"/>
      <c r="M365" s="149"/>
      <c r="N365" s="149"/>
      <c r="O365" s="149"/>
      <c r="P365" s="149"/>
      <c r="Q365" s="149"/>
      <c r="R365" s="149"/>
      <c r="S365" s="149"/>
    </row>
    <row r="366" spans="1:38">
      <c r="B366" s="5"/>
      <c r="F366" s="149" t="s">
        <v>758</v>
      </c>
      <c r="J366" s="149"/>
      <c r="K366" s="149"/>
      <c r="L366" s="149"/>
      <c r="M366" s="149"/>
      <c r="N366" s="149"/>
      <c r="O366" s="149"/>
      <c r="P366" s="149"/>
      <c r="Q366" s="149"/>
      <c r="R366" s="149"/>
      <c r="S366" s="149"/>
    </row>
    <row r="367" spans="1:38" s="706" customFormat="1">
      <c r="B367" s="5"/>
      <c r="E367" s="1927" t="s">
        <v>1372</v>
      </c>
      <c r="F367" s="1927"/>
      <c r="G367" s="1927"/>
      <c r="H367" s="1927"/>
      <c r="I367" s="1927"/>
      <c r="J367" s="1927"/>
      <c r="K367" s="1927"/>
      <c r="L367" s="1927"/>
      <c r="M367" s="1927"/>
      <c r="N367" s="1927"/>
      <c r="O367" s="1927"/>
      <c r="P367" s="1927"/>
      <c r="Q367" s="1927"/>
      <c r="R367" s="1927"/>
      <c r="S367" s="1927"/>
      <c r="T367" s="1927"/>
      <c r="U367" s="1927"/>
      <c r="V367" s="1927"/>
      <c r="W367" s="1927"/>
      <c r="X367" s="1927"/>
      <c r="Y367" s="1927"/>
      <c r="Z367" s="1927"/>
      <c r="AA367" s="1927"/>
      <c r="AB367" s="1927"/>
      <c r="AC367" s="1927"/>
      <c r="AD367" s="1927"/>
      <c r="AE367" s="1927"/>
      <c r="AF367" s="1927"/>
      <c r="AG367" s="1927"/>
      <c r="AH367" s="1927"/>
      <c r="AI367" s="1927"/>
      <c r="AJ367" s="1927"/>
      <c r="AK367" s="1927"/>
      <c r="AL367" s="1927"/>
    </row>
    <row r="368" spans="1:38" s="706" customFormat="1">
      <c r="B368" s="5"/>
      <c r="E368" s="1927"/>
      <c r="F368" s="1927"/>
      <c r="G368" s="1927"/>
      <c r="H368" s="1927"/>
      <c r="I368" s="1927"/>
      <c r="J368" s="1927"/>
      <c r="K368" s="1927"/>
      <c r="L368" s="1927"/>
      <c r="M368" s="1927"/>
      <c r="N368" s="1927"/>
      <c r="O368" s="1927"/>
      <c r="P368" s="1927"/>
      <c r="Q368" s="1927"/>
      <c r="R368" s="1927"/>
      <c r="S368" s="1927"/>
      <c r="T368" s="1927"/>
      <c r="U368" s="1927"/>
      <c r="V368" s="1927"/>
      <c r="W368" s="1927"/>
      <c r="X368" s="1927"/>
      <c r="Y368" s="1927"/>
      <c r="Z368" s="1927"/>
      <c r="AA368" s="1927"/>
      <c r="AB368" s="1927"/>
      <c r="AC368" s="1927"/>
      <c r="AD368" s="1927"/>
      <c r="AE368" s="1927"/>
      <c r="AF368" s="1927"/>
      <c r="AG368" s="1927"/>
      <c r="AH368" s="1927"/>
      <c r="AI368" s="1927"/>
      <c r="AJ368" s="1927"/>
      <c r="AK368" s="1927"/>
      <c r="AL368" s="1927"/>
    </row>
    <row r="369" spans="1:38" s="1929" customFormat="1">
      <c r="A369"/>
      <c r="B369" s="5"/>
      <c r="C369"/>
      <c r="D369"/>
      <c r="E369" s="1928" t="s">
        <v>1415</v>
      </c>
    </row>
    <row r="370" spans="1:38" s="1929" customFormat="1">
      <c r="A370" s="666"/>
      <c r="B370" s="183"/>
      <c r="C370" s="183"/>
      <c r="D370" s="666"/>
    </row>
    <row r="371" spans="1:38" s="706" customFormat="1">
      <c r="A371" s="666"/>
      <c r="B371" s="183"/>
      <c r="C371" s="666"/>
      <c r="D371" s="666"/>
      <c r="E371" s="182"/>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666"/>
    </row>
    <row r="372" spans="1:38" s="2" customFormat="1">
      <c r="A372"/>
      <c r="B372" s="5"/>
      <c r="C372"/>
      <c r="D372" s="5" t="s">
        <v>342</v>
      </c>
      <c r="E372" s="5" t="s">
        <v>577</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759</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760</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583</v>
      </c>
      <c r="E376" s="183" t="s">
        <v>283</v>
      </c>
      <c r="J376" s="182"/>
      <c r="K376" s="182"/>
      <c r="L376" s="182"/>
      <c r="M376" s="182"/>
      <c r="N376" s="182"/>
      <c r="O376" s="182"/>
      <c r="P376" s="182"/>
      <c r="Q376" s="182"/>
      <c r="R376" s="182"/>
      <c r="S376" s="182"/>
    </row>
    <row r="377" spans="1:38" s="2" customFormat="1">
      <c r="B377" s="183"/>
      <c r="E377" s="182" t="s">
        <v>113</v>
      </c>
      <c r="F377" s="182" t="s">
        <v>252</v>
      </c>
      <c r="G377" s="182"/>
      <c r="I377" s="182"/>
      <c r="J377" s="182"/>
      <c r="K377" s="182"/>
      <c r="L377" s="182"/>
      <c r="M377" s="182"/>
      <c r="N377" s="182"/>
      <c r="O377" s="182"/>
      <c r="P377" s="182"/>
      <c r="Q377" s="182"/>
      <c r="R377" s="182"/>
      <c r="S377" s="182"/>
    </row>
    <row r="378" spans="1:38" s="2" customFormat="1">
      <c r="B378" s="183"/>
      <c r="E378" s="182"/>
      <c r="F378" s="247" t="s">
        <v>1291</v>
      </c>
      <c r="G378" s="182"/>
      <c r="I378" s="247"/>
      <c r="J378" s="182"/>
      <c r="K378" s="182"/>
      <c r="L378" s="182"/>
      <c r="M378" s="182"/>
      <c r="N378" s="182"/>
      <c r="O378" s="182"/>
      <c r="P378" s="182"/>
      <c r="Q378" s="182"/>
      <c r="R378" s="182"/>
      <c r="S378" s="182"/>
    </row>
    <row r="379" spans="1:38">
      <c r="A379" s="2"/>
      <c r="B379" s="183"/>
      <c r="C379" s="2"/>
      <c r="D379" s="2"/>
      <c r="E379" s="182" t="s">
        <v>114</v>
      </c>
      <c r="F379" s="182" t="s">
        <v>253</v>
      </c>
      <c r="G379" s="182"/>
      <c r="H379" s="2"/>
      <c r="I379" s="247"/>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6" customFormat="1">
      <c r="A380" s="666"/>
      <c r="B380" s="183"/>
      <c r="C380" s="666"/>
      <c r="D380" s="666"/>
      <c r="E380" s="182"/>
      <c r="F380" s="182"/>
      <c r="G380" s="182"/>
      <c r="H380" s="666"/>
      <c r="I380" s="247"/>
      <c r="J380" s="182"/>
      <c r="K380" s="182"/>
      <c r="L380" s="182"/>
      <c r="M380" s="182"/>
      <c r="N380" s="182"/>
      <c r="O380" s="182"/>
      <c r="P380" s="182"/>
      <c r="Q380" s="182"/>
      <c r="R380" s="182"/>
      <c r="S380" s="182"/>
      <c r="T380" s="666"/>
      <c r="U380" s="666"/>
      <c r="V380" s="666"/>
      <c r="W380" s="666"/>
      <c r="X380" s="666"/>
      <c r="Y380" s="666"/>
      <c r="Z380" s="666"/>
      <c r="AA380" s="666"/>
      <c r="AB380" s="666"/>
      <c r="AC380" s="666"/>
      <c r="AD380" s="666"/>
      <c r="AE380" s="666"/>
      <c r="AF380" s="666"/>
      <c r="AG380" s="666"/>
      <c r="AH380" s="666"/>
      <c r="AI380" s="666"/>
      <c r="AJ380" s="666"/>
      <c r="AK380" s="666"/>
      <c r="AL380" s="666"/>
    </row>
    <row r="381" spans="1:38" s="666" customFormat="1">
      <c r="A381" s="706"/>
      <c r="B381" s="5"/>
      <c r="C381" s="706"/>
      <c r="D381" s="5" t="s">
        <v>523</v>
      </c>
      <c r="E381" s="5" t="s">
        <v>1416</v>
      </c>
      <c r="F381" s="706"/>
      <c r="G381" s="706"/>
      <c r="H381" s="706"/>
      <c r="I381" s="706"/>
      <c r="J381" s="6"/>
      <c r="K381" s="6"/>
      <c r="L381" s="6"/>
      <c r="M381" s="6"/>
      <c r="N381" s="6"/>
      <c r="O381" s="6"/>
      <c r="P381" s="6"/>
      <c r="Q381" s="6"/>
      <c r="R381" s="6"/>
      <c r="S381" s="6"/>
      <c r="T381" s="706"/>
      <c r="U381" s="706"/>
      <c r="V381" s="706"/>
      <c r="W381" s="706"/>
      <c r="X381" s="706"/>
      <c r="Y381" s="706"/>
      <c r="Z381" s="706"/>
      <c r="AA381" s="706"/>
      <c r="AB381" s="706"/>
      <c r="AC381" s="706"/>
      <c r="AD381" s="706"/>
      <c r="AE381" s="706"/>
      <c r="AF381" s="706"/>
      <c r="AG381" s="706"/>
      <c r="AH381" s="706"/>
      <c r="AI381" s="706"/>
      <c r="AJ381" s="706"/>
      <c r="AK381" s="706"/>
      <c r="AL381" s="706"/>
    </row>
    <row r="382" spans="1:38" s="666" customFormat="1">
      <c r="A382" s="706"/>
      <c r="B382" s="5"/>
      <c r="C382" s="706"/>
      <c r="D382" s="5"/>
      <c r="E382" s="6" t="s">
        <v>759</v>
      </c>
      <c r="F382" s="6"/>
      <c r="G382" s="6"/>
      <c r="H382" s="706"/>
      <c r="I382" s="706"/>
      <c r="J382" s="6"/>
      <c r="K382" s="6"/>
      <c r="L382" s="6"/>
      <c r="M382" s="6"/>
      <c r="N382" s="6"/>
      <c r="O382" s="6"/>
      <c r="P382" s="6"/>
      <c r="Q382" s="6"/>
      <c r="R382" s="6"/>
      <c r="S382" s="6"/>
      <c r="T382" s="706"/>
      <c r="U382" s="706"/>
      <c r="V382" s="706"/>
      <c r="W382" s="706"/>
      <c r="X382" s="706"/>
      <c r="Y382" s="706"/>
      <c r="Z382" s="706"/>
      <c r="AA382" s="706"/>
      <c r="AB382" s="706"/>
      <c r="AC382" s="706"/>
      <c r="AD382" s="706"/>
      <c r="AE382" s="706"/>
      <c r="AF382" s="706"/>
      <c r="AG382" s="706"/>
      <c r="AH382" s="706"/>
      <c r="AI382" s="706"/>
      <c r="AJ382" s="706"/>
      <c r="AK382" s="706"/>
      <c r="AL382" s="706"/>
    </row>
    <row r="383" spans="1:38" s="666" customFormat="1">
      <c r="A383" s="706"/>
      <c r="B383" s="5"/>
      <c r="C383" s="706"/>
      <c r="D383" s="5"/>
      <c r="E383" s="6" t="s">
        <v>1294</v>
      </c>
      <c r="F383" s="6"/>
      <c r="G383" s="6"/>
      <c r="H383" s="706"/>
      <c r="I383" s="706"/>
      <c r="J383" s="6"/>
      <c r="K383" s="6"/>
      <c r="L383" s="6"/>
      <c r="M383" s="6"/>
      <c r="N383" s="6"/>
      <c r="O383" s="6"/>
      <c r="P383" s="6"/>
      <c r="Q383" s="6"/>
      <c r="R383" s="6"/>
      <c r="S383" s="6"/>
      <c r="T383" s="706"/>
      <c r="U383" s="706"/>
      <c r="V383" s="706"/>
      <c r="W383" s="706"/>
      <c r="X383" s="706"/>
      <c r="Y383" s="706"/>
      <c r="Z383" s="706"/>
      <c r="AA383" s="706"/>
      <c r="AB383" s="706"/>
      <c r="AC383" s="706"/>
      <c r="AD383" s="706"/>
      <c r="AE383" s="706"/>
      <c r="AF383" s="706"/>
      <c r="AG383" s="706"/>
      <c r="AH383" s="706"/>
      <c r="AI383" s="706"/>
      <c r="AJ383" s="706"/>
      <c r="AK383" s="706"/>
      <c r="AL383" s="706"/>
    </row>
    <row r="384" spans="1:38" s="666" customFormat="1">
      <c r="A384" s="706"/>
      <c r="B384" s="5"/>
      <c r="C384" s="706"/>
      <c r="D384" s="5"/>
      <c r="E384" s="6"/>
      <c r="F384" s="6"/>
      <c r="G384" s="6"/>
      <c r="H384" s="706"/>
      <c r="I384" s="706"/>
      <c r="J384" s="6"/>
      <c r="K384" s="6"/>
      <c r="L384" s="6"/>
      <c r="M384" s="6"/>
      <c r="N384" s="6"/>
      <c r="O384" s="6"/>
      <c r="P384" s="6"/>
      <c r="Q384" s="6"/>
      <c r="R384" s="6"/>
      <c r="S384" s="6"/>
      <c r="T384" s="706"/>
      <c r="U384" s="706"/>
      <c r="V384" s="706"/>
      <c r="W384" s="706"/>
      <c r="X384" s="706"/>
      <c r="Y384" s="706"/>
      <c r="Z384" s="706"/>
      <c r="AA384" s="706"/>
      <c r="AB384" s="706"/>
      <c r="AC384" s="706"/>
      <c r="AD384" s="706"/>
      <c r="AE384" s="706"/>
      <c r="AF384" s="706"/>
      <c r="AG384" s="706"/>
      <c r="AH384" s="706"/>
      <c r="AI384" s="706"/>
      <c r="AJ384" s="706"/>
      <c r="AK384" s="706"/>
      <c r="AL384" s="706"/>
    </row>
    <row r="385" spans="1:38" s="246" customFormat="1">
      <c r="A385" s="706"/>
      <c r="B385" s="5"/>
      <c r="C385" s="706"/>
      <c r="D385" s="5" t="s">
        <v>304</v>
      </c>
      <c r="E385" s="5" t="s">
        <v>285</v>
      </c>
      <c r="F385" s="706"/>
      <c r="G385" s="706"/>
      <c r="H385" s="706"/>
      <c r="I385" s="706"/>
      <c r="J385" s="6"/>
      <c r="K385" s="6"/>
      <c r="L385" s="6"/>
      <c r="M385" s="6"/>
      <c r="N385" s="6"/>
      <c r="O385" s="6"/>
      <c r="P385" s="6"/>
      <c r="Q385" s="6"/>
      <c r="R385" s="6"/>
      <c r="S385" s="6"/>
      <c r="T385" s="706"/>
      <c r="U385" s="706"/>
      <c r="V385" s="706"/>
      <c r="W385" s="706"/>
      <c r="X385" s="706"/>
      <c r="Y385" s="706"/>
      <c r="Z385" s="706"/>
      <c r="AA385" s="706"/>
      <c r="AB385" s="706"/>
      <c r="AC385" s="706"/>
      <c r="AD385" s="706"/>
      <c r="AE385" s="706"/>
      <c r="AF385" s="706"/>
      <c r="AG385" s="706"/>
      <c r="AH385" s="706"/>
      <c r="AI385" s="706"/>
      <c r="AJ385" s="706"/>
      <c r="AK385" s="706"/>
      <c r="AL385" s="706"/>
    </row>
    <row r="386" spans="1:38" s="246" customFormat="1">
      <c r="A386" s="666"/>
      <c r="B386" s="183"/>
      <c r="C386" s="666"/>
      <c r="D386" s="666"/>
      <c r="E386" s="667" t="s">
        <v>113</v>
      </c>
      <c r="F386" s="667" t="s">
        <v>1417</v>
      </c>
      <c r="G386" s="667"/>
      <c r="H386" s="666"/>
      <c r="I386" s="667"/>
      <c r="J386" s="667"/>
      <c r="K386" s="667"/>
      <c r="L386" s="667"/>
      <c r="M386" s="667"/>
      <c r="N386" s="667"/>
      <c r="O386" s="667"/>
      <c r="P386" s="667"/>
      <c r="Q386" s="667"/>
      <c r="R386" s="667"/>
      <c r="S386" s="667"/>
      <c r="T386" s="666"/>
      <c r="U386" s="666"/>
      <c r="V386" s="666"/>
      <c r="W386" s="666"/>
      <c r="X386" s="666"/>
      <c r="Y386" s="666"/>
      <c r="Z386" s="666"/>
      <c r="AA386" s="666"/>
      <c r="AB386" s="666"/>
      <c r="AC386" s="666"/>
      <c r="AD386" s="666"/>
      <c r="AE386" s="666"/>
      <c r="AF386" s="666"/>
      <c r="AG386" s="666"/>
      <c r="AH386" s="666"/>
      <c r="AI386" s="666"/>
      <c r="AJ386" s="666"/>
      <c r="AK386" s="666"/>
      <c r="AL386" s="666"/>
    </row>
    <row r="387" spans="1:38" s="246" customFormat="1">
      <c r="A387" s="666"/>
      <c r="B387" s="183"/>
      <c r="C387" s="666"/>
      <c r="D387" s="666"/>
      <c r="E387" s="667"/>
      <c r="F387" s="247" t="s">
        <v>1291</v>
      </c>
      <c r="G387" s="6"/>
      <c r="H387" s="706"/>
      <c r="I387" s="6"/>
      <c r="J387" s="6"/>
      <c r="K387" s="667"/>
      <c r="L387" s="667"/>
      <c r="M387" s="667"/>
      <c r="N387" s="667"/>
      <c r="O387" s="667"/>
      <c r="P387" s="667"/>
      <c r="Q387" s="667"/>
      <c r="R387" s="667"/>
      <c r="S387" s="667"/>
      <c r="T387" s="666"/>
      <c r="U387" s="666"/>
      <c r="V387" s="666"/>
      <c r="W387" s="666"/>
      <c r="X387" s="666"/>
      <c r="Y387" s="666"/>
      <c r="Z387" s="666"/>
      <c r="AA387" s="666"/>
      <c r="AB387" s="666"/>
      <c r="AC387" s="666"/>
      <c r="AD387" s="666"/>
      <c r="AE387" s="666"/>
      <c r="AF387" s="666"/>
      <c r="AG387" s="666"/>
      <c r="AH387" s="666"/>
      <c r="AI387" s="666"/>
      <c r="AJ387" s="666"/>
      <c r="AK387" s="666"/>
      <c r="AL387" s="666"/>
    </row>
    <row r="388" spans="1:38" s="706" customFormat="1">
      <c r="A388" s="666"/>
      <c r="B388" s="183"/>
      <c r="C388" s="666"/>
      <c r="D388" s="666"/>
      <c r="E388" s="667" t="s">
        <v>114</v>
      </c>
      <c r="F388" s="1920" t="s">
        <v>1426</v>
      </c>
      <c r="G388" s="1920"/>
      <c r="H388" s="1920"/>
      <c r="I388" s="1920"/>
      <c r="J388" s="1920"/>
      <c r="K388" s="1920"/>
      <c r="L388" s="1920"/>
      <c r="M388" s="1920"/>
      <c r="N388" s="1920"/>
      <c r="O388" s="1920"/>
      <c r="P388" s="1920"/>
      <c r="Q388" s="1920"/>
      <c r="R388" s="1920"/>
      <c r="S388" s="1920"/>
      <c r="T388" s="1920"/>
      <c r="U388" s="1920"/>
      <c r="V388" s="1920"/>
      <c r="W388" s="1920"/>
      <c r="X388" s="1920"/>
      <c r="Y388" s="1920"/>
      <c r="Z388" s="1920"/>
      <c r="AA388" s="1920"/>
      <c r="AB388" s="1920"/>
      <c r="AC388" s="1920"/>
      <c r="AD388" s="1920"/>
      <c r="AE388" s="1920"/>
      <c r="AF388" s="1920"/>
      <c r="AG388" s="1920"/>
      <c r="AH388" s="1920"/>
      <c r="AI388" s="1920"/>
      <c r="AJ388" s="1920"/>
      <c r="AK388" s="1920"/>
      <c r="AL388" s="666"/>
    </row>
    <row r="389" spans="1:38" s="706" customFormat="1">
      <c r="A389" s="666"/>
      <c r="B389" s="183"/>
      <c r="C389" s="666"/>
      <c r="D389" s="666"/>
      <c r="E389" s="667"/>
      <c r="F389" s="1920"/>
      <c r="G389" s="1920"/>
      <c r="H389" s="1920"/>
      <c r="I389" s="1920"/>
      <c r="J389" s="1920"/>
      <c r="K389" s="1920"/>
      <c r="L389" s="1920"/>
      <c r="M389" s="1920"/>
      <c r="N389" s="1920"/>
      <c r="O389" s="1920"/>
      <c r="P389" s="1920"/>
      <c r="Q389" s="1920"/>
      <c r="R389" s="1920"/>
      <c r="S389" s="1920"/>
      <c r="T389" s="1920"/>
      <c r="U389" s="1920"/>
      <c r="V389" s="1920"/>
      <c r="W389" s="1920"/>
      <c r="X389" s="1920"/>
      <c r="Y389" s="1920"/>
      <c r="Z389" s="1920"/>
      <c r="AA389" s="1920"/>
      <c r="AB389" s="1920"/>
      <c r="AC389" s="1920"/>
      <c r="AD389" s="1920"/>
      <c r="AE389" s="1920"/>
      <c r="AF389" s="1920"/>
      <c r="AG389" s="1920"/>
      <c r="AH389" s="1920"/>
      <c r="AI389" s="1920"/>
      <c r="AJ389" s="1920"/>
      <c r="AK389" s="1920"/>
      <c r="AL389" s="666"/>
    </row>
    <row r="390" spans="1:38" s="706" customFormat="1">
      <c r="A390" s="666"/>
      <c r="B390" s="183"/>
      <c r="C390" s="666"/>
      <c r="D390" s="666"/>
      <c r="E390" s="667"/>
      <c r="F390" s="1920"/>
      <c r="G390" s="1920"/>
      <c r="H390" s="1920"/>
      <c r="I390" s="1920"/>
      <c r="J390" s="1920"/>
      <c r="K390" s="1920"/>
      <c r="L390" s="1920"/>
      <c r="M390" s="1920"/>
      <c r="N390" s="1920"/>
      <c r="O390" s="1920"/>
      <c r="P390" s="1920"/>
      <c r="Q390" s="1920"/>
      <c r="R390" s="1920"/>
      <c r="S390" s="1920"/>
      <c r="T390" s="1920"/>
      <c r="U390" s="1920"/>
      <c r="V390" s="1920"/>
      <c r="W390" s="1920"/>
      <c r="X390" s="1920"/>
      <c r="Y390" s="1920"/>
      <c r="Z390" s="1920"/>
      <c r="AA390" s="1920"/>
      <c r="AB390" s="1920"/>
      <c r="AC390" s="1920"/>
      <c r="AD390" s="1920"/>
      <c r="AE390" s="1920"/>
      <c r="AF390" s="1920"/>
      <c r="AG390" s="1920"/>
      <c r="AH390" s="1920"/>
      <c r="AI390" s="1920"/>
      <c r="AJ390" s="1920"/>
      <c r="AK390" s="1920"/>
      <c r="AL390" s="666"/>
    </row>
    <row r="391" spans="1:38" s="706" customFormat="1">
      <c r="A391" s="666"/>
      <c r="B391" s="183"/>
      <c r="C391" s="666"/>
      <c r="D391" s="666"/>
      <c r="E391" s="182"/>
      <c r="F391" s="729"/>
      <c r="G391" s="729"/>
      <c r="H391" s="729"/>
      <c r="I391" s="729"/>
      <c r="J391" s="729"/>
      <c r="K391" s="729"/>
      <c r="L391" s="729"/>
      <c r="M391" s="729"/>
      <c r="N391" s="729"/>
      <c r="O391" s="729"/>
      <c r="P391" s="729"/>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32"/>
    </row>
    <row r="392" spans="1:38" s="706" customFormat="1">
      <c r="A392" s="666"/>
      <c r="B392" s="183"/>
      <c r="C392" s="183"/>
      <c r="D392" s="5" t="s">
        <v>430</v>
      </c>
      <c r="E392" s="5" t="s">
        <v>1432</v>
      </c>
      <c r="F392" s="667"/>
      <c r="G392" s="183"/>
      <c r="H392" s="666"/>
      <c r="I392" s="247"/>
      <c r="J392" s="667"/>
      <c r="K392" s="667"/>
      <c r="L392" s="667"/>
      <c r="M392" s="667"/>
      <c r="N392" s="667"/>
      <c r="O392" s="667"/>
      <c r="P392" s="667"/>
      <c r="Q392" s="667"/>
      <c r="R392" s="667"/>
      <c r="S392" s="667"/>
      <c r="T392" s="666"/>
      <c r="U392" s="666"/>
      <c r="V392" s="666"/>
      <c r="W392" s="666"/>
      <c r="X392" s="666"/>
      <c r="Y392" s="666"/>
      <c r="Z392" s="666"/>
      <c r="AA392" s="666"/>
      <c r="AB392" s="666"/>
      <c r="AC392" s="666"/>
      <c r="AD392" s="666"/>
      <c r="AE392" s="666"/>
      <c r="AF392" s="666"/>
      <c r="AG392" s="666"/>
      <c r="AH392" s="666"/>
      <c r="AI392" s="666"/>
      <c r="AJ392" s="666"/>
      <c r="AK392" s="666"/>
      <c r="AL392" s="666"/>
    </row>
    <row r="393" spans="1:38" s="706" customFormat="1" ht="13.15" customHeight="1">
      <c r="A393" s="666"/>
      <c r="B393" s="183"/>
      <c r="C393" s="666"/>
      <c r="D393" s="5"/>
      <c r="E393" s="6" t="s">
        <v>1431</v>
      </c>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666"/>
    </row>
    <row r="394" spans="1:38">
      <c r="B394" s="5"/>
      <c r="E394" t="s">
        <v>1294</v>
      </c>
      <c r="F394" s="731"/>
      <c r="G394" s="731"/>
      <c r="H394" s="731"/>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row>
    <row r="395" spans="1:38" s="246"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6"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68" t="s">
        <v>1104</v>
      </c>
      <c r="B2" s="1968"/>
      <c r="C2" s="1969"/>
      <c r="D2" s="1969"/>
      <c r="E2" s="1969"/>
      <c r="F2" s="1969"/>
      <c r="G2" s="1969"/>
    </row>
    <row r="3" spans="1:9" s="255" customFormat="1">
      <c r="A3" s="1968" t="s">
        <v>1041</v>
      </c>
      <c r="B3" s="1968"/>
      <c r="C3" s="1969"/>
      <c r="D3" s="1969"/>
      <c r="E3" s="1969"/>
      <c r="F3" s="1969"/>
      <c r="G3" s="1969"/>
      <c r="I3" s="666" t="s">
        <v>308</v>
      </c>
    </row>
    <row r="4" spans="1:9">
      <c r="I4" s="667" t="s">
        <v>1105</v>
      </c>
    </row>
    <row r="5" spans="1:9" s="39" customFormat="1">
      <c r="A5" s="1972" t="s">
        <v>1042</v>
      </c>
      <c r="B5" s="1972"/>
      <c r="C5" s="1973"/>
      <c r="D5" s="1973"/>
      <c r="E5" s="1973"/>
      <c r="F5" s="1973"/>
      <c r="G5" s="1973"/>
      <c r="I5" s="667" t="s">
        <v>1106</v>
      </c>
    </row>
    <row r="6" spans="1:9" s="39" customFormat="1">
      <c r="A6" s="1972" t="s">
        <v>845</v>
      </c>
      <c r="B6" s="1972"/>
      <c r="C6" s="1973"/>
      <c r="D6" s="1973"/>
      <c r="E6" s="1973"/>
      <c r="F6" s="1973"/>
      <c r="G6" s="1973"/>
      <c r="I6" s="666" t="s">
        <v>600</v>
      </c>
    </row>
    <row r="7" spans="1:9" ht="11.85" customHeight="1"/>
    <row r="8" spans="1:9" s="39" customFormat="1">
      <c r="A8" s="1970" t="s">
        <v>1201</v>
      </c>
      <c r="B8" s="1970"/>
      <c r="C8" s="1971"/>
      <c r="D8" s="1971"/>
      <c r="E8" s="1971"/>
      <c r="F8" s="1971"/>
      <c r="G8" s="1971"/>
    </row>
    <row r="9" spans="1:9" s="39" customFormat="1">
      <c r="A9" s="1970" t="s">
        <v>1202</v>
      </c>
      <c r="B9" s="1970"/>
      <c r="C9" s="1971"/>
      <c r="D9" s="1971"/>
      <c r="E9" s="1971"/>
      <c r="F9" s="1971"/>
      <c r="G9" s="1971"/>
    </row>
    <row r="10" spans="1:9">
      <c r="A10" s="257"/>
      <c r="B10" s="257"/>
      <c r="C10" s="254"/>
      <c r="D10" s="254"/>
      <c r="E10" s="254"/>
      <c r="F10" s="254"/>
    </row>
    <row r="11" spans="1:9">
      <c r="A11" s="1974" t="s">
        <v>1204</v>
      </c>
      <c r="B11" s="1974"/>
      <c r="C11" s="1974"/>
      <c r="D11" s="1974"/>
      <c r="E11" s="1974"/>
      <c r="F11" s="1974"/>
      <c r="G11" s="1974"/>
    </row>
    <row r="12" spans="1:9">
      <c r="A12" s="254"/>
      <c r="B12" s="662"/>
      <c r="E12" s="50"/>
    </row>
    <row r="13" spans="1:9" ht="13.15" customHeight="1">
      <c r="C13" s="254"/>
      <c r="D13" s="1946" t="s">
        <v>1203</v>
      </c>
      <c r="E13" s="1946"/>
      <c r="F13" s="1946"/>
    </row>
    <row r="14" spans="1:9">
      <c r="C14" s="254"/>
      <c r="D14" s="1946"/>
      <c r="E14" s="1946"/>
      <c r="F14" s="1946"/>
    </row>
    <row r="15" spans="1:9">
      <c r="A15" s="259"/>
      <c r="B15" s="259"/>
      <c r="C15" s="259"/>
      <c r="D15" s="1943" t="s">
        <v>1186</v>
      </c>
      <c r="E15" s="1943"/>
      <c r="F15" s="1943"/>
    </row>
    <row r="16" spans="1:9">
      <c r="A16" s="259"/>
      <c r="B16" s="259"/>
      <c r="C16" s="259"/>
      <c r="D16" s="326"/>
    </row>
    <row r="17" spans="1:7" ht="14.25">
      <c r="A17" s="260"/>
      <c r="B17" s="668" t="s">
        <v>308</v>
      </c>
      <c r="C17" s="312"/>
      <c r="D17" s="1917" t="s">
        <v>1187</v>
      </c>
      <c r="E17" s="1917"/>
      <c r="F17" s="1917"/>
    </row>
    <row r="18" spans="1:7">
      <c r="A18" s="259"/>
      <c r="B18" s="259"/>
      <c r="C18" s="312"/>
      <c r="D18" s="1917"/>
      <c r="E18" s="1917"/>
      <c r="F18" s="1917"/>
    </row>
    <row r="19" spans="1:7">
      <c r="A19" s="259"/>
      <c r="B19" s="259"/>
      <c r="C19" s="312"/>
      <c r="D19" s="1917"/>
      <c r="E19" s="1917"/>
      <c r="F19" s="1917"/>
    </row>
    <row r="20" spans="1:7">
      <c r="A20" s="259"/>
      <c r="B20" s="259"/>
      <c r="C20" s="259"/>
    </row>
    <row r="21" spans="1:7" ht="14.25">
      <c r="A21" s="260"/>
      <c r="B21" s="668" t="s">
        <v>308</v>
      </c>
      <c r="D21" s="1947" t="s">
        <v>1188</v>
      </c>
      <c r="E21" s="1947"/>
      <c r="F21" s="1947"/>
    </row>
    <row r="22" spans="1:7" ht="14.25">
      <c r="A22" s="260"/>
      <c r="B22" s="260"/>
      <c r="D22" s="135"/>
    </row>
    <row r="23" spans="1:7" ht="14.25">
      <c r="A23" s="260"/>
      <c r="B23" s="668" t="s">
        <v>308</v>
      </c>
      <c r="D23" s="1917" t="s">
        <v>1189</v>
      </c>
      <c r="E23" s="1917"/>
      <c r="F23" s="1917"/>
    </row>
    <row r="24" spans="1:7" ht="14.25">
      <c r="A24" s="260"/>
      <c r="B24" s="260"/>
      <c r="D24" s="1917"/>
      <c r="E24" s="1917"/>
      <c r="F24" s="1917"/>
    </row>
    <row r="25" spans="1:7"/>
    <row r="26" spans="1:7" ht="14.25">
      <c r="A26" s="260"/>
      <c r="B26" s="668" t="s">
        <v>308</v>
      </c>
      <c r="D26" s="1941" t="s">
        <v>1190</v>
      </c>
      <c r="E26" s="1941"/>
      <c r="F26" s="1941"/>
    </row>
    <row r="27" spans="1:7">
      <c r="D27" s="1941"/>
      <c r="E27" s="1941"/>
      <c r="F27" s="1941"/>
    </row>
    <row r="28" spans="1:7">
      <c r="D28" s="1941"/>
      <c r="E28" s="1941"/>
      <c r="F28" s="1941"/>
    </row>
    <row r="29" spans="1:7">
      <c r="A29" s="549"/>
      <c r="C29" s="549"/>
      <c r="D29" s="1941"/>
      <c r="E29" s="1941"/>
      <c r="F29" s="1941"/>
    </row>
    <row r="30" spans="1:7">
      <c r="A30" s="549"/>
      <c r="C30" s="549"/>
      <c r="D30" s="1941"/>
      <c r="E30" s="1941"/>
      <c r="F30" s="1941"/>
    </row>
    <row r="31" spans="1:7" s="39" customFormat="1">
      <c r="A31" s="272"/>
      <c r="B31" s="272"/>
      <c r="C31" s="272"/>
      <c r="D31" s="438"/>
      <c r="E31" s="130"/>
      <c r="F31" s="130"/>
      <c r="G31" s="130"/>
    </row>
    <row r="32" spans="1:7" s="39" customFormat="1">
      <c r="A32" s="272"/>
      <c r="B32" s="668" t="s">
        <v>308</v>
      </c>
      <c r="C32" s="272"/>
      <c r="D32" s="1920" t="s">
        <v>1191</v>
      </c>
      <c r="E32" s="1920"/>
      <c r="F32" s="1920"/>
      <c r="G32" s="130"/>
    </row>
    <row r="33" spans="1:7" s="39" customFormat="1">
      <c r="A33" s="272"/>
      <c r="B33" s="272"/>
      <c r="C33" s="272"/>
      <c r="D33" s="1920"/>
      <c r="E33" s="1920"/>
      <c r="F33" s="1920"/>
      <c r="G33" s="130"/>
    </row>
    <row r="34" spans="1:7" ht="14.25">
      <c r="A34" s="260"/>
      <c r="B34" s="260"/>
      <c r="D34" s="399"/>
    </row>
    <row r="35" spans="1:7" ht="14.45" customHeight="1">
      <c r="A35" s="260"/>
      <c r="B35" s="668" t="s">
        <v>308</v>
      </c>
      <c r="C35" s="545"/>
      <c r="D35" s="1920" t="s">
        <v>1192</v>
      </c>
      <c r="E35" s="1920"/>
      <c r="F35" s="1920"/>
    </row>
    <row r="36" spans="1:7" ht="14.25">
      <c r="A36" s="260"/>
      <c r="B36" s="260"/>
      <c r="C36" s="545"/>
      <c r="D36" s="1920"/>
      <c r="E36" s="1920"/>
      <c r="F36" s="1920"/>
    </row>
    <row r="37" spans="1:7" ht="14.25">
      <c r="A37" s="260"/>
      <c r="B37" s="260"/>
      <c r="C37" s="545"/>
      <c r="D37" s="1920"/>
      <c r="E37" s="1920"/>
      <c r="F37" s="1920"/>
    </row>
    <row r="38" spans="1:7" ht="14.25">
      <c r="A38" s="260"/>
      <c r="B38" s="260"/>
      <c r="C38" s="545"/>
      <c r="D38" s="12"/>
    </row>
    <row r="39" spans="1:7" s="671" customFormat="1" ht="14.25">
      <c r="A39" s="260"/>
      <c r="B39" s="668" t="s">
        <v>308</v>
      </c>
      <c r="C39" s="688"/>
      <c r="D39" s="1920" t="s">
        <v>1193</v>
      </c>
      <c r="E39" s="1920"/>
      <c r="F39" s="1920"/>
      <c r="G39" s="7"/>
    </row>
    <row r="40" spans="1:7" s="671" customFormat="1" ht="14.25">
      <c r="A40" s="260"/>
      <c r="B40" s="260"/>
      <c r="C40" s="688"/>
      <c r="D40" s="1920"/>
      <c r="E40" s="1920"/>
      <c r="F40" s="1920"/>
      <c r="G40" s="7"/>
    </row>
    <row r="41" spans="1:7" s="671" customFormat="1" ht="14.25">
      <c r="A41" s="260"/>
      <c r="B41" s="260"/>
      <c r="C41" s="688"/>
      <c r="D41" s="1920"/>
      <c r="E41" s="1920"/>
      <c r="F41" s="1920"/>
      <c r="G41" s="7"/>
    </row>
    <row r="42" spans="1:7" s="671" customFormat="1" ht="14.25">
      <c r="A42" s="260"/>
      <c r="B42" s="260"/>
      <c r="C42" s="688"/>
      <c r="D42" s="1920"/>
      <c r="E42" s="1920"/>
      <c r="F42" s="1920"/>
      <c r="G42" s="7"/>
    </row>
    <row r="43" spans="1:7" s="671" customFormat="1" ht="14.25">
      <c r="A43" s="260"/>
      <c r="B43" s="260"/>
      <c r="C43" s="688"/>
      <c r="D43" s="1920"/>
      <c r="E43" s="1920"/>
      <c r="F43" s="1920"/>
      <c r="G43" s="7"/>
    </row>
    <row r="44" spans="1:7" s="671" customFormat="1" ht="14.25">
      <c r="A44" s="260"/>
      <c r="B44" s="260"/>
      <c r="C44" s="688"/>
      <c r="D44" s="687"/>
      <c r="E44" s="687"/>
      <c r="F44" s="687"/>
      <c r="G44" s="7"/>
    </row>
    <row r="45" spans="1:7" ht="14.25">
      <c r="A45" s="260"/>
      <c r="B45" s="668" t="s">
        <v>308</v>
      </c>
      <c r="C45" s="545"/>
      <c r="D45" s="1920" t="s">
        <v>1194</v>
      </c>
      <c r="E45" s="1920"/>
      <c r="F45" s="1920"/>
    </row>
    <row r="46" spans="1:7" ht="14.25">
      <c r="A46" s="260"/>
      <c r="B46" s="260"/>
      <c r="C46" s="545"/>
      <c r="D46" s="1920"/>
      <c r="E46" s="1920"/>
      <c r="F46" s="1920"/>
    </row>
    <row r="47" spans="1:7" ht="14.25">
      <c r="A47" s="260"/>
      <c r="B47" s="260"/>
      <c r="C47" s="545"/>
      <c r="D47" s="1920"/>
      <c r="E47" s="1920"/>
      <c r="F47" s="1920"/>
    </row>
    <row r="48" spans="1:7" ht="23.25" customHeight="1">
      <c r="A48" s="260"/>
      <c r="B48" s="260"/>
      <c r="C48" s="545"/>
      <c r="D48" s="1920"/>
      <c r="E48" s="1920"/>
      <c r="F48" s="1920"/>
    </row>
    <row r="49" spans="1:7" ht="14.25">
      <c r="A49" s="260"/>
      <c r="B49" s="260"/>
      <c r="D49" s="151"/>
    </row>
    <row r="50" spans="1:7" ht="14.45" customHeight="1">
      <c r="A50" s="260"/>
      <c r="B50" s="668" t="s">
        <v>308</v>
      </c>
      <c r="D50" s="1920" t="s">
        <v>1195</v>
      </c>
      <c r="E50" s="1920"/>
      <c r="F50" s="1920"/>
    </row>
    <row r="51" spans="1:7" ht="14.25">
      <c r="A51" s="260"/>
      <c r="B51" s="260"/>
      <c r="D51" s="1920"/>
      <c r="E51" s="1920"/>
      <c r="F51" s="1920"/>
    </row>
    <row r="52" spans="1:7" ht="14.25">
      <c r="A52" s="260"/>
      <c r="B52" s="260"/>
      <c r="D52" s="1920"/>
      <c r="E52" s="1920"/>
      <c r="F52" s="1920"/>
    </row>
    <row r="53" spans="1:7" s="2" customFormat="1" ht="14.25">
      <c r="A53" s="260"/>
      <c r="B53" s="260"/>
      <c r="C53" s="547"/>
      <c r="D53" s="238"/>
      <c r="E53" s="22"/>
      <c r="F53" s="22"/>
      <c r="G53" s="22"/>
    </row>
    <row r="54" spans="1:7" s="2" customFormat="1" ht="14.25">
      <c r="A54" s="398"/>
      <c r="B54" s="668" t="s">
        <v>308</v>
      </c>
      <c r="C54" s="548"/>
      <c r="D54" s="1920" t="s">
        <v>1196</v>
      </c>
      <c r="E54" s="1920"/>
      <c r="F54" s="1920"/>
      <c r="G54" s="22"/>
    </row>
    <row r="55" spans="1:7" s="2" customFormat="1" ht="14.25">
      <c r="A55" s="398"/>
      <c r="B55" s="398"/>
      <c r="C55" s="548"/>
      <c r="D55" s="1920"/>
      <c r="E55" s="1920"/>
      <c r="F55" s="1920"/>
      <c r="G55" s="22"/>
    </row>
    <row r="56" spans="1:7" s="39" customFormat="1">
      <c r="A56" s="272"/>
      <c r="B56" s="272"/>
      <c r="C56" s="272"/>
      <c r="D56" s="438"/>
      <c r="E56" s="130"/>
      <c r="F56" s="130"/>
      <c r="G56" s="130"/>
    </row>
    <row r="57" spans="1:7" ht="14.25">
      <c r="A57" s="260"/>
      <c r="B57" s="668" t="s">
        <v>308</v>
      </c>
      <c r="D57" s="1920" t="s">
        <v>1197</v>
      </c>
      <c r="E57" s="1920"/>
      <c r="F57" s="1920"/>
    </row>
    <row r="58" spans="1:7">
      <c r="D58" s="1920"/>
      <c r="E58" s="1920"/>
      <c r="F58" s="1920"/>
    </row>
    <row r="59" spans="1:7">
      <c r="D59" s="1920"/>
      <c r="E59" s="1920"/>
      <c r="F59" s="1920"/>
    </row>
    <row r="60" spans="1:7" s="671" customFormat="1">
      <c r="A60" s="688"/>
      <c r="B60" s="688"/>
      <c r="C60" s="688"/>
      <c r="D60" s="667"/>
      <c r="E60" s="7"/>
      <c r="F60" s="7"/>
      <c r="G60" s="7"/>
    </row>
    <row r="61" spans="1:7" ht="14.25">
      <c r="A61" s="260"/>
      <c r="B61" s="668" t="s">
        <v>308</v>
      </c>
      <c r="D61" s="1920" t="s">
        <v>1198</v>
      </c>
      <c r="E61" s="1920"/>
      <c r="F61" s="1920"/>
    </row>
    <row r="62" spans="1:7">
      <c r="D62" s="1920"/>
      <c r="E62" s="1920"/>
      <c r="F62" s="1920"/>
    </row>
    <row r="63" spans="1:7"/>
    <row r="64" spans="1:7" ht="14.25">
      <c r="A64" s="260"/>
      <c r="B64" s="668" t="s">
        <v>308</v>
      </c>
      <c r="D64" s="1920" t="s">
        <v>1199</v>
      </c>
      <c r="E64" s="1920"/>
      <c r="F64" s="1920"/>
    </row>
    <row r="65" spans="1:7">
      <c r="D65" s="1920"/>
      <c r="E65" s="1920"/>
      <c r="F65" s="1920"/>
    </row>
    <row r="66" spans="1:7">
      <c r="A66" s="546"/>
      <c r="C66" s="546"/>
      <c r="D66" s="1920"/>
      <c r="E66" s="1920"/>
      <c r="F66" s="1920"/>
    </row>
    <row r="67" spans="1:7">
      <c r="D67" s="12"/>
    </row>
    <row r="68" spans="1:7" ht="14.25">
      <c r="A68" s="260"/>
      <c r="B68" s="668" t="s">
        <v>308</v>
      </c>
      <c r="D68" s="1917" t="s">
        <v>1200</v>
      </c>
      <c r="E68" s="1917"/>
      <c r="F68" s="1917"/>
    </row>
    <row r="69" spans="1:7">
      <c r="D69" s="1917"/>
      <c r="E69" s="1917"/>
      <c r="F69" s="1917"/>
    </row>
    <row r="70" spans="1:7" ht="14.25">
      <c r="A70" s="260"/>
      <c r="B70" s="260"/>
      <c r="D70" s="135"/>
    </row>
    <row r="71" spans="1:7">
      <c r="A71" s="1944" t="s">
        <v>1107</v>
      </c>
      <c r="B71" s="1944"/>
      <c r="C71" s="1944"/>
      <c r="D71" s="1944"/>
      <c r="E71" s="1944"/>
      <c r="F71" s="1944"/>
      <c r="G71" s="1944"/>
    </row>
    <row r="72" spans="1:7"/>
    <row r="73" spans="1:7">
      <c r="C73" s="261"/>
      <c r="D73" s="1960" t="s">
        <v>1205</v>
      </c>
      <c r="E73" s="1960"/>
      <c r="F73" s="1960"/>
    </row>
    <row r="74" spans="1:7">
      <c r="A74" s="135"/>
      <c r="B74" s="135"/>
      <c r="D74" s="1917" t="s">
        <v>1232</v>
      </c>
      <c r="E74" s="1917"/>
      <c r="F74" s="1917"/>
    </row>
    <row r="75" spans="1:7">
      <c r="A75" s="135"/>
      <c r="B75" s="135"/>
    </row>
    <row r="76" spans="1:7" ht="14.25">
      <c r="A76" s="260"/>
      <c r="B76" s="668" t="s">
        <v>308</v>
      </c>
      <c r="D76" s="1917" t="s">
        <v>1206</v>
      </c>
      <c r="E76" s="1917"/>
      <c r="F76" s="1917"/>
    </row>
    <row r="77" spans="1:7" ht="14.25">
      <c r="A77" s="260"/>
      <c r="B77" s="260"/>
      <c r="D77" s="1917"/>
      <c r="E77" s="1917"/>
      <c r="F77" s="1917"/>
    </row>
    <row r="78" spans="1:7" ht="14.25">
      <c r="A78" s="260"/>
      <c r="B78" s="260"/>
      <c r="D78" s="1917"/>
      <c r="E78" s="1917"/>
      <c r="F78" s="1917"/>
    </row>
    <row r="79" spans="1:7" ht="14.25">
      <c r="A79" s="260"/>
      <c r="B79" s="260"/>
      <c r="D79" s="1917"/>
      <c r="E79" s="1917"/>
      <c r="F79" s="1917"/>
    </row>
    <row r="80" spans="1:7" ht="14.25">
      <c r="A80" s="260"/>
      <c r="B80" s="260"/>
      <c r="D80" s="1917"/>
      <c r="E80" s="1917"/>
      <c r="F80" s="1917"/>
    </row>
    <row r="81" spans="1:7" ht="14.25">
      <c r="A81" s="260"/>
      <c r="B81" s="260"/>
      <c r="D81" s="1917"/>
      <c r="E81" s="1917"/>
      <c r="F81" s="1917"/>
    </row>
    <row r="82" spans="1:7" s="695" customFormat="1" ht="14.25">
      <c r="A82" s="696"/>
      <c r="B82" s="696"/>
      <c r="C82" s="694"/>
      <c r="D82" s="698"/>
      <c r="E82" s="698"/>
      <c r="F82" s="698"/>
      <c r="G82" s="7"/>
    </row>
    <row r="83" spans="1:7" s="695" customFormat="1" ht="14.45" customHeight="1">
      <c r="A83" s="696"/>
      <c r="B83" s="701" t="s">
        <v>308</v>
      </c>
      <c r="C83" s="694"/>
      <c r="D83" s="1975" t="s">
        <v>1305</v>
      </c>
      <c r="E83" s="1975"/>
      <c r="F83" s="1975"/>
      <c r="G83" s="7"/>
    </row>
    <row r="84" spans="1:7" s="695" customFormat="1" ht="14.25">
      <c r="A84" s="696"/>
      <c r="B84" s="696"/>
      <c r="C84" s="694"/>
      <c r="D84" s="1975"/>
      <c r="E84" s="1975"/>
      <c r="F84" s="1975"/>
      <c r="G84" s="7"/>
    </row>
    <row r="85" spans="1:7" s="695" customFormat="1" ht="14.25">
      <c r="A85" s="696"/>
      <c r="B85" s="696"/>
      <c r="C85" s="694"/>
      <c r="D85" s="1975"/>
      <c r="E85" s="1975"/>
      <c r="F85" s="1975"/>
      <c r="G85" s="7"/>
    </row>
    <row r="86" spans="1:7" s="695" customFormat="1" ht="14.25">
      <c r="A86" s="696"/>
      <c r="B86" s="696"/>
      <c r="C86" s="694"/>
      <c r="D86" s="1975"/>
      <c r="E86" s="1975"/>
      <c r="F86" s="1975"/>
      <c r="G86" s="7"/>
    </row>
    <row r="87" spans="1:7" s="695" customFormat="1" ht="14.25">
      <c r="A87" s="696"/>
      <c r="B87" s="696"/>
      <c r="C87" s="694"/>
      <c r="D87" s="1975"/>
      <c r="E87" s="1975"/>
      <c r="F87" s="1975"/>
      <c r="G87" s="7"/>
    </row>
    <row r="88" spans="1:7" s="708" customFormat="1" ht="14.25">
      <c r="A88" s="703"/>
      <c r="B88" s="703"/>
      <c r="C88" s="734"/>
      <c r="D88" s="1975"/>
      <c r="E88" s="1975"/>
      <c r="F88" s="1975"/>
      <c r="G88" s="7"/>
    </row>
    <row r="89" spans="1:7" s="708" customFormat="1" ht="14.25">
      <c r="A89" s="703"/>
      <c r="B89" s="703"/>
      <c r="C89" s="734"/>
      <c r="D89" s="1975"/>
      <c r="E89" s="1975"/>
      <c r="F89" s="1975"/>
      <c r="G89" s="7"/>
    </row>
    <row r="90" spans="1:7" s="708" customFormat="1" ht="14.25">
      <c r="A90" s="703"/>
      <c r="B90" s="703"/>
      <c r="C90" s="734"/>
      <c r="D90" s="1975"/>
      <c r="E90" s="1975"/>
      <c r="F90" s="1975"/>
      <c r="G90" s="7"/>
    </row>
    <row r="91" spans="1:7" ht="14.25">
      <c r="A91" s="260"/>
      <c r="B91" s="260"/>
      <c r="D91" s="1975"/>
      <c r="E91" s="1975"/>
      <c r="F91" s="1975"/>
    </row>
    <row r="92" spans="1:7" ht="14.25">
      <c r="A92" s="260"/>
      <c r="B92" s="260"/>
      <c r="D92" s="1975"/>
      <c r="E92" s="1975"/>
      <c r="F92" s="1975"/>
    </row>
    <row r="93" spans="1:7" ht="14.25">
      <c r="A93" s="260"/>
      <c r="B93" s="260"/>
      <c r="D93" s="1975"/>
      <c r="E93" s="1975"/>
      <c r="F93" s="1975"/>
    </row>
    <row r="94" spans="1:7" ht="14.25">
      <c r="A94" s="260"/>
      <c r="B94" s="260"/>
      <c r="D94" s="1975"/>
      <c r="E94" s="1975"/>
      <c r="F94" s="1975"/>
    </row>
    <row r="95" spans="1:7" ht="14.25">
      <c r="A95" s="260"/>
      <c r="B95" s="260"/>
      <c r="D95" s="1975"/>
      <c r="E95" s="1975"/>
      <c r="F95" s="1975"/>
    </row>
    <row r="96" spans="1:7" ht="14.25">
      <c r="A96" s="260"/>
      <c r="B96" s="260"/>
      <c r="D96" s="1975"/>
      <c r="E96" s="1975"/>
      <c r="F96" s="1975"/>
    </row>
    <row r="97" spans="1:11" s="699" customFormat="1" ht="14.25">
      <c r="A97" s="700"/>
      <c r="B97" s="704" t="s">
        <v>308</v>
      </c>
      <c r="C97" s="694"/>
      <c r="D97" s="1917" t="s">
        <v>1207</v>
      </c>
      <c r="E97" s="1917"/>
      <c r="F97" s="1917"/>
      <c r="G97" s="7"/>
    </row>
    <row r="98" spans="1:11" s="699" customFormat="1" ht="14.25">
      <c r="A98" s="700"/>
      <c r="B98" s="700"/>
      <c r="C98" s="694"/>
      <c r="D98" s="1917"/>
      <c r="E98" s="1917"/>
      <c r="F98" s="1917"/>
      <c r="G98" s="7"/>
    </row>
    <row r="99" spans="1:11" s="699" customFormat="1" ht="14.25">
      <c r="A99" s="700"/>
      <c r="B99" s="700"/>
      <c r="C99" s="694"/>
      <c r="D99" s="1917"/>
      <c r="E99" s="1917"/>
      <c r="F99" s="1917"/>
      <c r="G99" s="7"/>
    </row>
    <row r="100" spans="1:11" s="699" customFormat="1" ht="14.25">
      <c r="A100" s="700"/>
      <c r="B100" s="700"/>
      <c r="C100" s="694"/>
      <c r="D100" s="1917"/>
      <c r="E100" s="1917"/>
      <c r="F100" s="1917"/>
      <c r="G100" s="7"/>
    </row>
    <row r="101" spans="1:11" s="699" customFormat="1" ht="14.25">
      <c r="A101" s="700"/>
      <c r="B101" s="700"/>
      <c r="C101" s="694"/>
      <c r="D101" s="1917"/>
      <c r="E101" s="1917"/>
      <c r="F101" s="1917"/>
      <c r="G101" s="7"/>
    </row>
    <row r="102" spans="1:11" s="699" customFormat="1" ht="14.25">
      <c r="A102" s="700"/>
      <c r="B102" s="700"/>
      <c r="C102" s="694"/>
      <c r="D102" s="1917"/>
      <c r="E102" s="1917"/>
      <c r="F102" s="1917"/>
      <c r="G102" s="7"/>
    </row>
    <row r="103" spans="1:11" s="699" customFormat="1" ht="14.25">
      <c r="A103" s="700"/>
      <c r="B103" s="700"/>
      <c r="C103" s="694"/>
      <c r="D103" s="1917"/>
      <c r="E103" s="1917"/>
      <c r="F103" s="1917"/>
      <c r="G103" s="7"/>
    </row>
    <row r="104" spans="1:11" s="699" customFormat="1" ht="14.25">
      <c r="A104" s="700"/>
      <c r="B104" s="700"/>
      <c r="C104" s="694"/>
      <c r="D104" s="1917"/>
      <c r="E104" s="1917"/>
      <c r="F104" s="1917"/>
      <c r="G104" s="7"/>
    </row>
    <row r="105" spans="1:11" s="702" customFormat="1" ht="14.25">
      <c r="A105" s="703"/>
      <c r="B105" s="703"/>
      <c r="C105" s="694"/>
      <c r="D105" s="705"/>
      <c r="E105" s="705"/>
      <c r="F105" s="705"/>
      <c r="G105" s="7"/>
    </row>
    <row r="106" spans="1:11" ht="14.25">
      <c r="A106" s="398"/>
      <c r="B106" s="697" t="s">
        <v>308</v>
      </c>
      <c r="C106" s="464"/>
      <c r="D106" s="1976" t="s">
        <v>1208</v>
      </c>
      <c r="E106" s="1976"/>
      <c r="F106" s="1976"/>
      <c r="G106" s="465"/>
      <c r="H106" s="463"/>
      <c r="I106" s="463"/>
      <c r="J106" s="463"/>
      <c r="K106" s="463"/>
    </row>
    <row r="107" spans="1:11" ht="14.25">
      <c r="A107" s="260"/>
      <c r="B107" s="260"/>
      <c r="C107" s="314"/>
      <c r="D107" s="1976"/>
      <c r="E107" s="1976"/>
      <c r="F107" s="1976"/>
      <c r="G107" s="465"/>
      <c r="H107" s="463"/>
      <c r="I107" s="463"/>
      <c r="J107" s="463"/>
      <c r="K107" s="463"/>
    </row>
    <row r="108" spans="1:11" ht="14.25">
      <c r="A108" s="260"/>
      <c r="B108" s="260"/>
      <c r="C108" s="314"/>
      <c r="D108" s="1976"/>
      <c r="E108" s="1976"/>
      <c r="F108" s="1976"/>
      <c r="G108" s="465"/>
      <c r="H108" s="463"/>
      <c r="I108" s="463"/>
      <c r="J108" s="463"/>
      <c r="K108" s="463"/>
    </row>
    <row r="109" spans="1:11" ht="14.25">
      <c r="A109" s="260"/>
      <c r="B109" s="260"/>
      <c r="C109" s="314"/>
      <c r="D109" s="1976"/>
      <c r="E109" s="1976"/>
      <c r="F109" s="1976"/>
      <c r="G109" s="465"/>
      <c r="H109" s="463"/>
      <c r="I109" s="463"/>
      <c r="J109" s="463"/>
      <c r="K109" s="463"/>
    </row>
    <row r="110" spans="1:11" ht="14.25">
      <c r="A110" s="260"/>
      <c r="B110" s="260"/>
      <c r="C110" s="314"/>
      <c r="D110" s="1976"/>
      <c r="E110" s="1976"/>
      <c r="F110" s="1976"/>
      <c r="G110" s="465"/>
      <c r="H110" s="463"/>
      <c r="I110" s="463"/>
      <c r="J110" s="463"/>
      <c r="K110" s="463"/>
    </row>
    <row r="111" spans="1:11">
      <c r="C111"/>
      <c r="D111" s="1976"/>
      <c r="E111" s="1976"/>
      <c r="F111" s="1976"/>
      <c r="G111"/>
      <c r="H111"/>
      <c r="I111"/>
      <c r="J111"/>
      <c r="K111"/>
    </row>
    <row r="112" spans="1:11">
      <c r="C112"/>
      <c r="D112" s="1976"/>
      <c r="E112" s="1976"/>
      <c r="F112" s="1976"/>
      <c r="G112"/>
      <c r="H112"/>
      <c r="I112"/>
      <c r="J112"/>
      <c r="K112"/>
    </row>
    <row r="113" spans="1:11">
      <c r="C113"/>
      <c r="D113" s="470"/>
      <c r="E113"/>
      <c r="F113"/>
      <c r="G113"/>
      <c r="H113"/>
      <c r="I113"/>
      <c r="J113"/>
      <c r="K113"/>
    </row>
    <row r="114" spans="1:11" ht="14.25">
      <c r="A114" s="260"/>
      <c r="B114" s="668" t="s">
        <v>308</v>
      </c>
      <c r="C114"/>
      <c r="D114" s="1977" t="s">
        <v>1209</v>
      </c>
      <c r="E114" s="1977"/>
      <c r="F114" s="1977"/>
      <c r="G114"/>
      <c r="H114"/>
      <c r="I114"/>
      <c r="J114"/>
      <c r="K114"/>
    </row>
    <row r="115" spans="1:11" ht="14.25">
      <c r="A115" s="260"/>
      <c r="B115" s="260"/>
      <c r="C115"/>
      <c r="D115" s="1977"/>
      <c r="E115" s="1977"/>
      <c r="F115" s="1977"/>
      <c r="G115"/>
      <c r="H115"/>
      <c r="I115"/>
      <c r="J115"/>
      <c r="K115"/>
    </row>
    <row r="116" spans="1:11"/>
    <row r="117" spans="1:11" ht="14.25">
      <c r="A117" s="260"/>
      <c r="B117" s="668" t="s">
        <v>308</v>
      </c>
      <c r="C117" s="10"/>
      <c r="D117" s="1917" t="s">
        <v>1210</v>
      </c>
      <c r="E117" s="1917"/>
      <c r="F117" s="1917"/>
    </row>
    <row r="118" spans="1:11">
      <c r="C118" s="10"/>
      <c r="D118" s="1917"/>
      <c r="E118" s="1917"/>
      <c r="F118" s="1917"/>
    </row>
    <row r="119" spans="1:11">
      <c r="C119" s="10"/>
      <c r="D119" s="1917"/>
      <c r="E119" s="1917"/>
      <c r="F119" s="1917"/>
    </row>
    <row r="120" spans="1:11">
      <c r="C120" s="10"/>
      <c r="D120" s="1917"/>
      <c r="E120" s="1917"/>
      <c r="F120" s="1917"/>
    </row>
    <row r="121" spans="1:11">
      <c r="C121" s="10"/>
      <c r="D121" s="1917"/>
      <c r="E121" s="1917"/>
      <c r="F121" s="1917"/>
    </row>
    <row r="122" spans="1:11">
      <c r="C122" s="10"/>
      <c r="D122" s="149"/>
      <c r="E122" s="149"/>
      <c r="F122" s="149"/>
    </row>
    <row r="123" spans="1:11" customFormat="1" ht="14.25">
      <c r="A123" s="260"/>
      <c r="B123" s="668" t="s">
        <v>308</v>
      </c>
      <c r="C123" s="10"/>
      <c r="D123" s="1920" t="s">
        <v>1211</v>
      </c>
      <c r="E123" s="1920"/>
      <c r="F123" s="1920"/>
      <c r="G123" s="149"/>
    </row>
    <row r="124" spans="1:11" s="295" customFormat="1" ht="13.7" customHeight="1">
      <c r="A124" s="292"/>
      <c r="B124" s="292"/>
      <c r="C124" s="293"/>
      <c r="D124" s="1920"/>
      <c r="E124" s="1920"/>
      <c r="F124" s="1920"/>
      <c r="G124" s="294"/>
    </row>
    <row r="125" spans="1:11" customFormat="1" ht="13.7" customHeight="1">
      <c r="A125" s="132"/>
      <c r="B125" s="665"/>
      <c r="C125" s="10"/>
      <c r="D125" s="1920"/>
      <c r="E125" s="1920"/>
      <c r="F125" s="1920"/>
      <c r="G125" s="149"/>
    </row>
    <row r="126" spans="1:11" customFormat="1" ht="13.7" customHeight="1">
      <c r="A126" s="132"/>
      <c r="B126" s="665"/>
      <c r="C126" s="10"/>
      <c r="D126" s="1920"/>
      <c r="E126" s="1920"/>
      <c r="F126" s="1920"/>
      <c r="G126" s="149"/>
    </row>
    <row r="127" spans="1:11" customFormat="1" ht="13.7" customHeight="1">
      <c r="A127" s="132"/>
      <c r="B127" s="665"/>
      <c r="C127" s="10"/>
      <c r="D127" s="1920"/>
      <c r="E127" s="1920"/>
      <c r="F127" s="1920"/>
      <c r="G127" s="149"/>
    </row>
    <row r="128" spans="1:11" customFormat="1" ht="13.7" customHeight="1">
      <c r="A128" s="373"/>
      <c r="B128" s="373"/>
      <c r="C128" s="10"/>
      <c r="D128" s="1920"/>
      <c r="E128" s="1920"/>
      <c r="F128" s="1920"/>
      <c r="G128" s="149"/>
    </row>
    <row r="129" spans="1:7" s="2" customFormat="1" ht="13.7" customHeight="1">
      <c r="A129" s="272"/>
      <c r="B129" s="272"/>
      <c r="C129" s="437"/>
      <c r="D129" s="1920"/>
      <c r="E129" s="1920"/>
      <c r="F129" s="1920"/>
      <c r="G129" s="182"/>
    </row>
    <row r="130" spans="1:7" s="2" customFormat="1" ht="13.7" customHeight="1">
      <c r="A130" s="272"/>
      <c r="B130" s="272"/>
      <c r="C130" s="437"/>
      <c r="D130" s="1920"/>
      <c r="E130" s="1920"/>
      <c r="F130" s="1920"/>
      <c r="G130" s="182"/>
    </row>
    <row r="131" spans="1:7" customFormat="1" ht="13.7" customHeight="1">
      <c r="A131" s="132"/>
      <c r="B131" s="665"/>
      <c r="C131" s="10"/>
      <c r="D131" s="1920"/>
      <c r="E131" s="1920"/>
      <c r="F131" s="1920"/>
      <c r="G131" s="149"/>
    </row>
    <row r="132" spans="1:7" customFormat="1" ht="13.7" customHeight="1">
      <c r="A132" s="132"/>
      <c r="B132" s="665"/>
      <c r="C132" s="10"/>
      <c r="D132" s="1920"/>
      <c r="E132" s="1920"/>
      <c r="F132" s="1920"/>
      <c r="G132" s="149"/>
    </row>
    <row r="133" spans="1:7" customFormat="1" ht="13.7" customHeight="1">
      <c r="A133" s="132"/>
      <c r="B133" s="665"/>
      <c r="C133" s="10"/>
      <c r="D133" s="1920"/>
      <c r="E133" s="1920"/>
      <c r="F133" s="1920"/>
      <c r="G133" s="149"/>
    </row>
    <row r="134" spans="1:7" customFormat="1" ht="13.7" customHeight="1">
      <c r="A134" s="132"/>
      <c r="B134" s="665"/>
      <c r="C134" s="10"/>
      <c r="D134" s="1920"/>
      <c r="E134" s="1920"/>
      <c r="F134" s="1920"/>
      <c r="G134" s="149"/>
    </row>
    <row r="135" spans="1:7" customFormat="1" ht="13.7" customHeight="1">
      <c r="A135" s="132"/>
      <c r="B135" s="665"/>
      <c r="C135" s="10"/>
      <c r="D135" s="326"/>
      <c r="E135" s="151"/>
      <c r="F135" s="151"/>
      <c r="G135" s="149"/>
    </row>
    <row r="136" spans="1:7" s="706" customFormat="1" ht="13.7" customHeight="1">
      <c r="A136" s="694"/>
      <c r="B136" s="707" t="s">
        <v>308</v>
      </c>
      <c r="C136" s="10"/>
      <c r="D136" s="1917" t="s">
        <v>1319</v>
      </c>
      <c r="E136" s="1917"/>
      <c r="F136" s="1917"/>
      <c r="G136" s="149"/>
    </row>
    <row r="137" spans="1:7" s="706" customFormat="1" ht="13.7" customHeight="1">
      <c r="A137" s="694"/>
      <c r="B137" s="694"/>
      <c r="C137" s="10"/>
      <c r="D137" s="1917"/>
      <c r="E137" s="1917"/>
      <c r="F137" s="1917"/>
      <c r="G137" s="149"/>
    </row>
    <row r="138" spans="1:7" s="706" customFormat="1" ht="13.7" customHeight="1">
      <c r="A138" s="694"/>
      <c r="B138" s="694"/>
      <c r="C138" s="10"/>
      <c r="D138" s="1917"/>
      <c r="E138" s="1917"/>
      <c r="F138" s="1917"/>
      <c r="G138" s="149"/>
    </row>
    <row r="139" spans="1:7" s="706" customFormat="1" ht="13.7" customHeight="1">
      <c r="A139" s="694"/>
      <c r="B139" s="694"/>
      <c r="C139" s="10"/>
      <c r="D139" s="1917"/>
      <c r="E139" s="1917"/>
      <c r="F139" s="1917"/>
      <c r="G139" s="149"/>
    </row>
    <row r="140" spans="1:7" s="706" customFormat="1" ht="13.7" customHeight="1">
      <c r="A140" s="694"/>
      <c r="B140" s="694"/>
      <c r="C140" s="10"/>
      <c r="D140" s="1917"/>
      <c r="E140" s="1917"/>
      <c r="F140" s="1917"/>
      <c r="G140" s="149"/>
    </row>
    <row r="141" spans="1:7" s="706" customFormat="1" ht="13.7" customHeight="1">
      <c r="A141" s="694"/>
      <c r="B141" s="694"/>
      <c r="C141" s="10"/>
      <c r="D141" s="1917"/>
      <c r="E141" s="1917"/>
      <c r="F141" s="1917"/>
      <c r="G141" s="149"/>
    </row>
    <row r="142" spans="1:7" s="706" customFormat="1" ht="13.7" customHeight="1">
      <c r="A142" s="694"/>
      <c r="B142" s="694"/>
      <c r="C142" s="10"/>
      <c r="D142" s="1917"/>
      <c r="E142" s="1917"/>
      <c r="F142" s="1917"/>
      <c r="G142" s="149"/>
    </row>
    <row r="143" spans="1:7" s="706" customFormat="1" ht="13.7" customHeight="1">
      <c r="A143" s="694"/>
      <c r="B143" s="694"/>
      <c r="C143" s="10"/>
      <c r="D143" s="1917"/>
      <c r="E143" s="1917"/>
      <c r="F143" s="1917"/>
      <c r="G143" s="149"/>
    </row>
    <row r="144" spans="1:7" s="706" customFormat="1" ht="13.7" customHeight="1">
      <c r="A144" s="694"/>
      <c r="B144" s="694"/>
      <c r="C144" s="10"/>
      <c r="D144" s="1917"/>
      <c r="E144" s="1917"/>
      <c r="F144" s="1917"/>
      <c r="G144" s="149"/>
    </row>
    <row r="145" spans="1:7" s="706" customFormat="1" ht="13.7" customHeight="1">
      <c r="A145" s="694"/>
      <c r="B145" s="694"/>
      <c r="C145" s="10"/>
      <c r="D145" s="1917"/>
      <c r="E145" s="1917"/>
      <c r="F145" s="1917"/>
      <c r="G145" s="149"/>
    </row>
    <row r="146" spans="1:7" s="706" customFormat="1" ht="13.7" customHeight="1">
      <c r="A146" s="736"/>
      <c r="B146" s="736"/>
      <c r="C146" s="10"/>
      <c r="D146" s="1917"/>
      <c r="E146" s="1917"/>
      <c r="F146" s="1917"/>
      <c r="G146" s="149"/>
    </row>
    <row r="147" spans="1:7" s="706" customFormat="1" ht="13.7" customHeight="1">
      <c r="A147" s="736"/>
      <c r="B147" s="736"/>
      <c r="C147" s="10"/>
      <c r="D147" s="1917"/>
      <c r="E147" s="1917"/>
      <c r="F147" s="1917"/>
      <c r="G147" s="149"/>
    </row>
    <row r="148" spans="1:7" s="706" customFormat="1" ht="13.7" customHeight="1">
      <c r="A148" s="694"/>
      <c r="B148" s="694"/>
      <c r="C148" s="10"/>
      <c r="D148" s="1917"/>
      <c r="E148" s="1917"/>
      <c r="F148" s="1917"/>
      <c r="G148" s="149"/>
    </row>
    <row r="149" spans="1:7" s="706" customFormat="1" ht="13.7" customHeight="1">
      <c r="A149" s="694"/>
      <c r="B149" s="694"/>
      <c r="C149" s="10"/>
      <c r="D149" s="1917"/>
      <c r="E149" s="1917"/>
      <c r="F149" s="1917"/>
      <c r="G149" s="149"/>
    </row>
    <row r="150" spans="1:7" s="706" customFormat="1" ht="13.7" customHeight="1">
      <c r="A150" s="694"/>
      <c r="B150" s="694"/>
      <c r="C150" s="10"/>
      <c r="D150" s="1917"/>
      <c r="E150" s="1917"/>
      <c r="F150" s="1917"/>
      <c r="G150" s="149"/>
    </row>
    <row r="151" spans="1:7" s="706" customFormat="1" ht="13.7" customHeight="1">
      <c r="A151" s="694"/>
      <c r="B151" s="694"/>
      <c r="C151" s="10"/>
      <c r="D151" s="1917"/>
      <c r="E151" s="1917"/>
      <c r="F151" s="1917"/>
      <c r="G151" s="149"/>
    </row>
    <row r="152" spans="1:7" s="706" customFormat="1" ht="13.7" customHeight="1">
      <c r="A152" s="694"/>
      <c r="B152" s="694"/>
      <c r="C152" s="10"/>
      <c r="D152" s="1917"/>
      <c r="E152" s="1917"/>
      <c r="F152" s="1917"/>
      <c r="G152" s="149"/>
    </row>
    <row r="153" spans="1:7" s="706" customFormat="1" ht="13.7" customHeight="1">
      <c r="A153" s="694"/>
      <c r="B153" s="694"/>
      <c r="C153" s="10"/>
      <c r="D153" s="1917"/>
      <c r="E153" s="1917"/>
      <c r="F153" s="1917"/>
      <c r="G153" s="149"/>
    </row>
    <row r="154" spans="1:7" s="706" customFormat="1" ht="13.7" customHeight="1">
      <c r="A154" s="694"/>
      <c r="B154" s="694"/>
      <c r="C154" s="10"/>
      <c r="D154" s="1917"/>
      <c r="E154" s="1917"/>
      <c r="F154" s="1917"/>
      <c r="G154" s="149"/>
    </row>
    <row r="155" spans="1:7" s="706" customFormat="1" ht="13.7" customHeight="1">
      <c r="A155" s="694"/>
      <c r="B155" s="694"/>
      <c r="C155" s="10"/>
      <c r="D155" s="326"/>
      <c r="E155" s="151"/>
      <c r="F155" s="151"/>
      <c r="G155" s="149"/>
    </row>
    <row r="156" spans="1:7" customFormat="1" ht="13.7" customHeight="1">
      <c r="A156" s="373"/>
      <c r="B156" s="668" t="s">
        <v>308</v>
      </c>
      <c r="C156" s="324"/>
      <c r="D156" s="1978" t="s">
        <v>1212</v>
      </c>
      <c r="E156" s="1978"/>
      <c r="F156" s="1978"/>
      <c r="G156" s="439"/>
    </row>
    <row r="157" spans="1:7" customFormat="1" ht="13.7" customHeight="1">
      <c r="A157" s="373"/>
      <c r="B157" s="373"/>
      <c r="C157" s="324"/>
      <c r="D157" s="1978"/>
      <c r="E157" s="1978"/>
      <c r="F157" s="1978"/>
      <c r="G157" s="439"/>
    </row>
    <row r="158" spans="1:7" customFormat="1" ht="13.7" customHeight="1">
      <c r="A158" s="373"/>
      <c r="B158" s="373"/>
      <c r="C158" s="324"/>
      <c r="D158" s="326"/>
      <c r="E158" s="324"/>
      <c r="F158" s="324"/>
      <c r="G158" s="439"/>
    </row>
    <row r="159" spans="1:7" customFormat="1" ht="13.7" customHeight="1">
      <c r="A159" s="373"/>
      <c r="B159" s="668" t="s">
        <v>308</v>
      </c>
      <c r="C159" s="324"/>
      <c r="D159" s="1921" t="s">
        <v>1213</v>
      </c>
      <c r="E159" s="1921"/>
      <c r="F159" s="1921"/>
      <c r="G159" s="439"/>
    </row>
    <row r="160" spans="1:7" customFormat="1" ht="13.7" customHeight="1">
      <c r="A160" s="373"/>
      <c r="B160" s="373"/>
      <c r="C160" s="324"/>
      <c r="D160" s="1921"/>
      <c r="E160" s="1921"/>
      <c r="F160" s="1921"/>
      <c r="G160" s="439"/>
    </row>
    <row r="161" spans="1:7" customFormat="1" ht="13.7" customHeight="1">
      <c r="A161" s="373"/>
      <c r="B161" s="373"/>
      <c r="C161" s="324"/>
      <c r="D161" s="1921"/>
      <c r="E161" s="1921"/>
      <c r="F161" s="1921"/>
      <c r="G161" s="439"/>
    </row>
    <row r="162" spans="1:7" customFormat="1" ht="13.7" customHeight="1">
      <c r="A162" s="373"/>
      <c r="B162" s="373"/>
      <c r="C162" s="324"/>
      <c r="D162" s="1921"/>
      <c r="E162" s="1921"/>
      <c r="F162" s="1921"/>
      <c r="G162" s="439"/>
    </row>
    <row r="163" spans="1:7" customFormat="1" ht="13.7" customHeight="1">
      <c r="A163" s="132"/>
      <c r="B163" s="665"/>
      <c r="C163" s="10"/>
      <c r="D163" s="151"/>
      <c r="E163" s="151"/>
      <c r="F163" s="151"/>
      <c r="G163" s="149"/>
    </row>
    <row r="164" spans="1:7" customFormat="1" ht="13.7" customHeight="1">
      <c r="A164" s="132"/>
      <c r="B164" s="668" t="s">
        <v>308</v>
      </c>
      <c r="C164" s="10"/>
      <c r="D164" s="1966" t="s">
        <v>1214</v>
      </c>
      <c r="E164" s="1966"/>
      <c r="F164" s="1966"/>
      <c r="G164" s="149"/>
    </row>
    <row r="165" spans="1:7" customFormat="1" ht="13.7" customHeight="1">
      <c r="A165" s="132"/>
      <c r="B165" s="665"/>
      <c r="C165" s="10"/>
      <c r="D165" s="1966"/>
      <c r="E165" s="1966"/>
      <c r="F165" s="1966"/>
      <c r="G165" s="149"/>
    </row>
    <row r="166" spans="1:7" customFormat="1" ht="13.7" customHeight="1">
      <c r="A166" s="132"/>
      <c r="B166" s="665"/>
      <c r="C166" s="10"/>
      <c r="D166" s="1966"/>
      <c r="E166" s="1966"/>
      <c r="F166" s="1966"/>
      <c r="G166" s="149"/>
    </row>
    <row r="167" spans="1:7" customFormat="1" ht="13.7" customHeight="1">
      <c r="A167" s="23"/>
      <c r="B167" s="664"/>
      <c r="C167" s="10"/>
      <c r="D167" s="7"/>
      <c r="E167" s="151"/>
      <c r="F167" s="151"/>
      <c r="G167" s="149"/>
    </row>
    <row r="168" spans="1:7">
      <c r="A168" s="1944" t="s">
        <v>1108</v>
      </c>
      <c r="B168" s="1944"/>
      <c r="C168" s="1944"/>
      <c r="D168" s="1944"/>
      <c r="E168" s="1944"/>
      <c r="F168" s="1944"/>
      <c r="G168" s="1944"/>
    </row>
    <row r="169" spans="1:7" ht="12" customHeight="1">
      <c r="D169" s="135"/>
      <c r="E169" s="135"/>
      <c r="F169" s="135"/>
    </row>
    <row r="170" spans="1:7">
      <c r="B170" s="1940" t="s">
        <v>449</v>
      </c>
      <c r="C170" s="1940"/>
      <c r="D170" s="1940"/>
      <c r="E170" s="1940"/>
      <c r="F170" s="1940"/>
    </row>
    <row r="171" spans="1:7" ht="12" customHeight="1">
      <c r="A171" s="254"/>
      <c r="B171" s="662"/>
      <c r="C171" s="254"/>
    </row>
    <row r="172" spans="1:7">
      <c r="A172" s="1944" t="s">
        <v>1109</v>
      </c>
      <c r="B172" s="1944"/>
      <c r="C172" s="1944"/>
      <c r="D172" s="1944"/>
      <c r="E172" s="1944"/>
      <c r="F172" s="1944"/>
      <c r="G172" s="1944"/>
    </row>
    <row r="173" spans="1:7" ht="12" customHeight="1">
      <c r="A173" s="263"/>
      <c r="B173" s="263"/>
      <c r="C173" s="264"/>
      <c r="D173" s="57"/>
      <c r="E173" s="49"/>
      <c r="F173" s="57"/>
      <c r="G173" s="57"/>
    </row>
    <row r="174" spans="1:7" ht="13.15" customHeight="1">
      <c r="A174" s="263"/>
      <c r="B174" s="263"/>
      <c r="C174" s="264"/>
      <c r="D174" s="1980" t="s">
        <v>1217</v>
      </c>
      <c r="E174" s="1980"/>
      <c r="F174" s="1980"/>
      <c r="G174" s="57"/>
    </row>
    <row r="175" spans="1:7">
      <c r="A175" s="263"/>
      <c r="B175" s="263"/>
      <c r="C175" s="264"/>
      <c r="D175" s="1980"/>
      <c r="E175" s="1980"/>
      <c r="F175" s="1980"/>
      <c r="G175" s="57"/>
    </row>
    <row r="176" spans="1:7" s="708" customFormat="1">
      <c r="A176" s="710"/>
      <c r="B176" s="710"/>
      <c r="C176" s="264"/>
      <c r="D176" s="1981" t="s">
        <v>1218</v>
      </c>
      <c r="E176" s="1981"/>
      <c r="F176" s="1981"/>
      <c r="G176" s="57"/>
    </row>
    <row r="177" spans="1:7" ht="12" customHeight="1">
      <c r="A177" s="263"/>
      <c r="B177" s="263"/>
      <c r="C177" s="264"/>
      <c r="D177" s="57"/>
      <c r="E177" s="49"/>
      <c r="F177" s="57"/>
      <c r="G177" s="57"/>
    </row>
    <row r="178" spans="1:7" ht="14.25">
      <c r="A178" s="260"/>
      <c r="B178" s="668" t="s">
        <v>308</v>
      </c>
      <c r="C178" s="264"/>
      <c r="D178" s="1979" t="s">
        <v>1216</v>
      </c>
      <c r="E178" s="1979"/>
      <c r="F178" s="1979"/>
      <c r="G178" s="57"/>
    </row>
    <row r="179" spans="1:7" ht="14.25">
      <c r="A179" s="260"/>
      <c r="B179" s="260"/>
      <c r="C179" s="264"/>
      <c r="D179" s="1979"/>
      <c r="E179" s="1979"/>
      <c r="F179" s="1979"/>
      <c r="G179" s="57"/>
    </row>
    <row r="180" spans="1:7" ht="14.25">
      <c r="A180" s="260"/>
      <c r="B180" s="260"/>
      <c r="C180" s="264"/>
      <c r="D180" s="1979"/>
      <c r="E180" s="1979"/>
      <c r="F180" s="1979"/>
      <c r="G180" s="57"/>
    </row>
    <row r="181" spans="1:7">
      <c r="A181" s="264"/>
      <c r="B181" s="264"/>
      <c r="C181" s="264"/>
      <c r="D181" s="1979"/>
      <c r="E181" s="1979"/>
      <c r="F181" s="1979"/>
    </row>
    <row r="182" spans="1:7">
      <c r="A182" s="264"/>
      <c r="B182" s="264"/>
      <c r="C182" s="264"/>
      <c r="D182" s="399"/>
      <c r="E182" s="57"/>
      <c r="F182" s="57"/>
    </row>
    <row r="183" spans="1:7">
      <c r="A183" s="264"/>
      <c r="B183" s="264"/>
      <c r="C183" s="264"/>
      <c r="D183" s="1983" t="s">
        <v>1125</v>
      </c>
      <c r="E183" s="1983"/>
      <c r="F183" s="1983"/>
    </row>
    <row r="184" spans="1:7">
      <c r="A184" s="264"/>
      <c r="B184" s="264"/>
      <c r="C184" s="264"/>
      <c r="D184" s="1983"/>
      <c r="E184" s="1983"/>
      <c r="F184" s="1983"/>
    </row>
    <row r="185" spans="1:7" s="671" customFormat="1">
      <c r="A185" s="264"/>
      <c r="B185" s="264"/>
      <c r="C185" s="264"/>
      <c r="D185" s="685"/>
      <c r="E185" s="685"/>
      <c r="F185" s="685"/>
      <c r="G185" s="7"/>
    </row>
    <row r="186" spans="1:7" s="666" customFormat="1" ht="14.25">
      <c r="A186" s="260"/>
      <c r="B186" s="668" t="s">
        <v>308</v>
      </c>
      <c r="C186" s="548"/>
      <c r="D186" s="1917" t="s">
        <v>1215</v>
      </c>
      <c r="E186" s="1917"/>
      <c r="F186" s="1917"/>
      <c r="G186" s="667"/>
    </row>
    <row r="187" spans="1:7" s="666" customFormat="1" ht="14.45" customHeight="1">
      <c r="A187" s="260"/>
      <c r="C187" s="548"/>
      <c r="D187" s="1917"/>
      <c r="E187" s="1917"/>
      <c r="F187" s="1917"/>
      <c r="G187" s="667"/>
    </row>
    <row r="188" spans="1:7" s="666" customFormat="1" ht="14.25">
      <c r="A188" s="260"/>
      <c r="B188" s="686"/>
      <c r="C188" s="548"/>
      <c r="D188" s="1917"/>
      <c r="E188" s="1917"/>
      <c r="F188" s="1917"/>
      <c r="G188" s="667"/>
    </row>
    <row r="189" spans="1:7" s="666" customFormat="1" ht="14.25">
      <c r="A189" s="260"/>
      <c r="B189" s="686"/>
      <c r="C189" s="548"/>
      <c r="D189" s="1917"/>
      <c r="E189" s="1917"/>
      <c r="F189" s="1917"/>
      <c r="G189" s="667"/>
    </row>
    <row r="190" spans="1:7" s="671" customFormat="1">
      <c r="A190" s="264"/>
      <c r="B190" s="264"/>
      <c r="C190" s="264"/>
      <c r="D190" s="685"/>
      <c r="E190" s="685"/>
      <c r="F190" s="685"/>
      <c r="G190" s="7"/>
    </row>
    <row r="191" spans="1:7">
      <c r="A191" s="1944" t="s">
        <v>1110</v>
      </c>
      <c r="B191" s="1944"/>
      <c r="C191" s="1944"/>
      <c r="D191" s="1944"/>
      <c r="E191" s="1944"/>
      <c r="F191" s="1944"/>
      <c r="G191" s="1944"/>
    </row>
    <row r="192" spans="1:7" ht="12" customHeight="1">
      <c r="D192" s="135"/>
      <c r="E192" s="135"/>
      <c r="F192" s="135"/>
    </row>
    <row r="193" spans="1:6">
      <c r="C193" s="261"/>
      <c r="D193" s="1982" t="s">
        <v>209</v>
      </c>
      <c r="E193" s="1982"/>
      <c r="F193" s="1982"/>
    </row>
    <row r="194" spans="1:6">
      <c r="A194" s="254"/>
      <c r="B194" s="662"/>
      <c r="C194" s="254"/>
      <c r="D194" s="1950" t="s">
        <v>1239</v>
      </c>
      <c r="E194" s="1951"/>
      <c r="F194" s="1951"/>
    </row>
    <row r="195" spans="1:6" ht="12" customHeight="1">
      <c r="A195" s="23"/>
      <c r="B195" s="664"/>
      <c r="C195" s="23"/>
    </row>
    <row r="196" spans="1:6" ht="13.15" customHeight="1">
      <c r="A196" s="23"/>
      <c r="C196" s="23"/>
      <c r="D196" s="1942" t="s">
        <v>555</v>
      </c>
      <c r="E196" s="1942"/>
      <c r="F196" s="1942"/>
    </row>
    <row r="197" spans="1:6" ht="14.25">
      <c r="A197" s="260"/>
      <c r="B197" s="668" t="s">
        <v>308</v>
      </c>
      <c r="D197" s="1917" t="s">
        <v>1233</v>
      </c>
      <c r="E197" s="1917"/>
      <c r="F197" s="1917"/>
    </row>
    <row r="198" spans="1:6" ht="14.25">
      <c r="A198" s="260"/>
      <c r="B198" s="260"/>
      <c r="D198" s="1917"/>
      <c r="E198" s="1917"/>
      <c r="F198" s="1917"/>
    </row>
    <row r="199" spans="1:6"/>
    <row r="200" spans="1:6" ht="14.25">
      <c r="A200" s="260"/>
      <c r="B200" s="668" t="s">
        <v>308</v>
      </c>
      <c r="D200" s="1917" t="s">
        <v>1234</v>
      </c>
      <c r="E200" s="1917"/>
      <c r="F200" s="1917"/>
    </row>
    <row r="201" spans="1:6" ht="14.25">
      <c r="A201" s="260"/>
      <c r="B201" s="260"/>
      <c r="D201" s="1917"/>
      <c r="E201" s="1917"/>
      <c r="F201" s="1917"/>
    </row>
    <row r="202" spans="1:6" ht="14.25">
      <c r="A202" s="260"/>
      <c r="B202" s="260"/>
      <c r="D202" s="1917"/>
      <c r="E202" s="1917"/>
      <c r="F202" s="1917"/>
    </row>
    <row r="203" spans="1:6" ht="5.0999999999999996" customHeight="1">
      <c r="A203" s="260"/>
      <c r="B203" s="260"/>
      <c r="D203" s="151"/>
      <c r="E203" s="135"/>
      <c r="F203" s="135"/>
    </row>
    <row r="204" spans="1:6" ht="14.25">
      <c r="A204" s="260"/>
      <c r="B204" s="260"/>
      <c r="D204" s="1917" t="s">
        <v>1235</v>
      </c>
      <c r="E204" s="1917"/>
      <c r="F204" s="1917"/>
    </row>
    <row r="205" spans="1:6" ht="14.25">
      <c r="A205" s="260"/>
      <c r="B205" s="260"/>
      <c r="D205" s="1917"/>
      <c r="E205" s="1917"/>
      <c r="F205" s="1917"/>
    </row>
    <row r="206" spans="1:6" ht="14.25">
      <c r="A206" s="260"/>
      <c r="B206" s="260"/>
      <c r="D206" s="1917"/>
      <c r="E206" s="1917"/>
      <c r="F206" s="1917"/>
    </row>
    <row r="207" spans="1:6" ht="14.25">
      <c r="A207" s="260"/>
      <c r="B207" s="260"/>
      <c r="D207" s="1917"/>
      <c r="E207" s="1917"/>
      <c r="F207" s="1917"/>
    </row>
    <row r="208" spans="1:6" ht="14.25">
      <c r="A208" s="260"/>
      <c r="B208" s="260"/>
      <c r="D208" s="1917"/>
      <c r="E208" s="1917"/>
      <c r="F208" s="1917"/>
    </row>
    <row r="209" spans="1:7" ht="14.25">
      <c r="A209" s="260"/>
      <c r="B209" s="260"/>
      <c r="D209" s="135"/>
      <c r="E209" s="135"/>
      <c r="F209" s="135"/>
    </row>
    <row r="210" spans="1:7" ht="14.25">
      <c r="A210" s="260"/>
      <c r="B210" s="668" t="s">
        <v>308</v>
      </c>
      <c r="D210" s="1939" t="s">
        <v>1236</v>
      </c>
      <c r="E210" s="1939"/>
      <c r="F210" s="1939"/>
    </row>
    <row r="211" spans="1:7" ht="14.25">
      <c r="A211" s="260"/>
      <c r="B211" s="260"/>
      <c r="D211" s="1939"/>
      <c r="E211" s="1939"/>
      <c r="F211" s="1939"/>
    </row>
    <row r="212" spans="1:7" ht="14.25">
      <c r="A212" s="260"/>
      <c r="B212" s="260"/>
      <c r="D212" s="1940" t="s">
        <v>927</v>
      </c>
      <c r="E212" s="1940"/>
      <c r="F212" s="1940"/>
    </row>
    <row r="213" spans="1:7" ht="14.25">
      <c r="A213" s="260"/>
      <c r="B213" s="260"/>
      <c r="D213" s="135"/>
      <c r="E213" s="135"/>
      <c r="F213" s="135"/>
    </row>
    <row r="214" spans="1:7" ht="14.45" customHeight="1">
      <c r="A214" s="260"/>
      <c r="B214" s="668" t="s">
        <v>308</v>
      </c>
      <c r="D214" s="1939" t="s">
        <v>1238</v>
      </c>
      <c r="E214" s="1939"/>
      <c r="F214" s="1939"/>
    </row>
    <row r="215" spans="1:7" ht="14.25">
      <c r="A215" s="260"/>
      <c r="B215" s="260"/>
      <c r="D215" s="1939"/>
      <c r="E215" s="1939"/>
      <c r="F215" s="1939"/>
    </row>
    <row r="216" spans="1:7" ht="14.25">
      <c r="A216" s="260"/>
      <c r="B216" s="260"/>
      <c r="D216" s="1939"/>
      <c r="E216" s="1939"/>
      <c r="F216" s="1939"/>
    </row>
    <row r="217" spans="1:7" ht="14.25">
      <c r="A217" s="260"/>
      <c r="B217" s="260"/>
      <c r="D217" s="1939"/>
      <c r="E217" s="1939"/>
      <c r="F217" s="1939"/>
    </row>
    <row r="218" spans="1:7" ht="14.25">
      <c r="A218" s="260"/>
      <c r="B218" s="260"/>
      <c r="D218" s="1939"/>
      <c r="E218" s="1939"/>
      <c r="F218" s="1939"/>
    </row>
    <row r="219" spans="1:7">
      <c r="D219" s="135"/>
      <c r="E219" s="135"/>
      <c r="F219" s="135"/>
    </row>
    <row r="220" spans="1:7" ht="14.25">
      <c r="A220" s="260"/>
      <c r="B220" s="668" t="s">
        <v>308</v>
      </c>
      <c r="D220" s="1917" t="s">
        <v>1237</v>
      </c>
      <c r="E220" s="1917"/>
      <c r="F220" s="1917"/>
    </row>
    <row r="221" spans="1:7" ht="14.25">
      <c r="A221" s="260"/>
      <c r="B221" s="260"/>
      <c r="D221" s="1917"/>
      <c r="E221" s="1917"/>
      <c r="F221" s="1917"/>
    </row>
    <row r="222" spans="1:7">
      <c r="D222" s="29"/>
    </row>
    <row r="223" spans="1:7">
      <c r="A223" s="1944" t="s">
        <v>1111</v>
      </c>
      <c r="B223" s="1944"/>
      <c r="C223" s="1944"/>
      <c r="D223" s="1944"/>
      <c r="E223" s="1944"/>
      <c r="F223" s="1944"/>
      <c r="G223" s="1944"/>
    </row>
    <row r="224" spans="1:7">
      <c r="D224" s="29"/>
    </row>
    <row r="225" spans="1:6">
      <c r="C225" s="261"/>
      <c r="D225" s="1942" t="s">
        <v>1240</v>
      </c>
      <c r="E225" s="1942"/>
      <c r="F225" s="1942"/>
    </row>
    <row r="226" spans="1:6">
      <c r="A226" s="254"/>
      <c r="B226" s="662"/>
      <c r="C226" s="254"/>
      <c r="D226" s="135"/>
      <c r="E226" s="135"/>
      <c r="F226" s="135"/>
    </row>
    <row r="227" spans="1:6">
      <c r="A227" s="259"/>
      <c r="B227" s="259"/>
      <c r="C227" s="259"/>
      <c r="D227" s="1942" t="s">
        <v>270</v>
      </c>
      <c r="E227" s="1942"/>
      <c r="F227" s="1942"/>
    </row>
    <row r="228" spans="1:6" ht="14.25">
      <c r="A228" s="260"/>
      <c r="B228" s="668" t="s">
        <v>308</v>
      </c>
      <c r="D228" s="1992" t="s">
        <v>1241</v>
      </c>
      <c r="E228" s="1992"/>
      <c r="F228" s="1992"/>
    </row>
    <row r="229" spans="1:6" ht="14.25">
      <c r="A229" s="260"/>
      <c r="B229" s="260"/>
      <c r="D229" s="1992"/>
      <c r="E229" s="1992"/>
      <c r="F229" s="1992"/>
    </row>
    <row r="230" spans="1:6">
      <c r="D230" s="135"/>
      <c r="E230" s="135"/>
      <c r="F230" s="135"/>
    </row>
    <row r="231" spans="1:6" ht="14.45" customHeight="1">
      <c r="A231" s="260"/>
      <c r="B231" s="668" t="s">
        <v>308</v>
      </c>
      <c r="D231" s="1939" t="s">
        <v>1242</v>
      </c>
      <c r="E231" s="1939"/>
      <c r="F231" s="1939"/>
    </row>
    <row r="232" spans="1:6">
      <c r="D232" s="1939"/>
      <c r="E232" s="1939"/>
      <c r="F232" s="1939"/>
    </row>
    <row r="233" spans="1:6">
      <c r="D233" s="1951" t="s">
        <v>918</v>
      </c>
      <c r="E233" s="1951"/>
      <c r="F233" s="1951"/>
    </row>
    <row r="234" spans="1:6">
      <c r="D234" s="135"/>
      <c r="E234" s="135"/>
      <c r="F234" s="135"/>
    </row>
    <row r="235" spans="1:6" ht="14.45" customHeight="1">
      <c r="A235" s="260"/>
      <c r="B235" s="668" t="s">
        <v>308</v>
      </c>
      <c r="D235" s="1939" t="s">
        <v>1244</v>
      </c>
      <c r="E235" s="1939"/>
      <c r="F235" s="1939"/>
    </row>
    <row r="236" spans="1:6">
      <c r="D236" s="1939"/>
      <c r="E236" s="1939"/>
      <c r="F236" s="1939"/>
    </row>
    <row r="237" spans="1:6">
      <c r="D237" s="1939"/>
      <c r="E237" s="1939"/>
      <c r="F237" s="1939"/>
    </row>
    <row r="238" spans="1:6">
      <c r="D238" s="1939"/>
      <c r="E238" s="1939"/>
      <c r="F238" s="1939"/>
    </row>
    <row r="239" spans="1:6">
      <c r="D239" s="1939"/>
      <c r="E239" s="1939"/>
      <c r="F239" s="1939"/>
    </row>
    <row r="240" spans="1:6">
      <c r="D240" s="135"/>
      <c r="E240" s="135"/>
      <c r="F240" s="135"/>
    </row>
    <row r="241" spans="1:7" ht="14.25">
      <c r="A241" s="260"/>
      <c r="B241" s="668" t="s">
        <v>308</v>
      </c>
      <c r="D241" s="1917" t="s">
        <v>1243</v>
      </c>
      <c r="E241" s="1917"/>
      <c r="F241" s="1917"/>
    </row>
    <row r="242" spans="1:7">
      <c r="D242" s="1917"/>
      <c r="E242" s="1917"/>
      <c r="F242" s="1917"/>
    </row>
    <row r="243" spans="1:7">
      <c r="D243" s="1917"/>
      <c r="E243" s="1917"/>
      <c r="F243" s="1917"/>
    </row>
    <row r="244" spans="1:7">
      <c r="D244" s="262"/>
      <c r="E244" s="135"/>
      <c r="F244" s="135"/>
    </row>
    <row r="245" spans="1:7">
      <c r="A245" s="1944" t="s">
        <v>1112</v>
      </c>
      <c r="B245" s="1944"/>
      <c r="C245" s="1944"/>
      <c r="D245" s="1944"/>
      <c r="E245" s="1944"/>
      <c r="F245" s="1944"/>
      <c r="G245" s="1944"/>
    </row>
    <row r="246" spans="1:7">
      <c r="D246" s="262"/>
      <c r="E246" s="135"/>
      <c r="F246" s="135"/>
    </row>
    <row r="247" spans="1:7">
      <c r="C247" s="254"/>
      <c r="D247" s="1960" t="s">
        <v>1245</v>
      </c>
      <c r="E247" s="1960"/>
      <c r="F247" s="1960"/>
    </row>
    <row r="248" spans="1:7">
      <c r="C248" s="254"/>
      <c r="D248" s="1960"/>
      <c r="E248" s="1960"/>
      <c r="F248" s="1960"/>
    </row>
    <row r="249" spans="1:7">
      <c r="A249" s="259"/>
      <c r="B249" s="259"/>
      <c r="C249" s="259"/>
      <c r="D249" s="5"/>
      <c r="E249" s="6"/>
      <c r="F249" s="6"/>
    </row>
    <row r="250" spans="1:7">
      <c r="C250" s="259"/>
      <c r="D250" s="1942" t="s">
        <v>210</v>
      </c>
      <c r="E250" s="1942"/>
      <c r="F250" s="1942"/>
    </row>
    <row r="251" spans="1:7" ht="15.75" customHeight="1">
      <c r="A251" s="260"/>
      <c r="B251" s="260"/>
      <c r="D251" s="1948" t="s">
        <v>1246</v>
      </c>
      <c r="E251" s="1948"/>
      <c r="F251" s="1948"/>
    </row>
    <row r="252" spans="1:7">
      <c r="E252" s="135"/>
      <c r="F252" s="135"/>
    </row>
    <row r="253" spans="1:7" ht="14.25">
      <c r="A253" s="260"/>
      <c r="B253" s="668" t="s">
        <v>308</v>
      </c>
      <c r="D253" s="1917" t="s">
        <v>1247</v>
      </c>
      <c r="E253" s="1917"/>
      <c r="F253" s="1917"/>
    </row>
    <row r="254" spans="1:7" ht="14.25">
      <c r="A254" s="260"/>
      <c r="B254" s="260"/>
      <c r="D254" s="1917"/>
      <c r="E254" s="1917"/>
      <c r="F254" s="1917"/>
    </row>
    <row r="255" spans="1:7">
      <c r="D255" s="135"/>
      <c r="E255" s="135"/>
      <c r="F255" s="135"/>
    </row>
    <row r="256" spans="1:7" ht="14.25">
      <c r="A256" s="260"/>
      <c r="B256" s="668" t="s">
        <v>308</v>
      </c>
      <c r="D256" s="1939" t="s">
        <v>1248</v>
      </c>
      <c r="E256" s="1939"/>
      <c r="F256" s="1939"/>
    </row>
    <row r="257" spans="1:7" ht="14.25">
      <c r="A257" s="260"/>
      <c r="B257" s="260"/>
      <c r="D257" s="1939"/>
      <c r="E257" s="1939"/>
      <c r="F257" s="1939"/>
    </row>
    <row r="258" spans="1:7" ht="14.25">
      <c r="A258" s="260"/>
      <c r="B258" s="260"/>
      <c r="D258" s="1939"/>
      <c r="E258" s="1939"/>
      <c r="F258" s="1939"/>
    </row>
    <row r="259" spans="1:7">
      <c r="D259" s="135"/>
      <c r="E259" s="135"/>
      <c r="F259" s="135"/>
    </row>
    <row r="260" spans="1:7" ht="14.25">
      <c r="A260" s="260"/>
      <c r="B260" s="668" t="s">
        <v>308</v>
      </c>
      <c r="D260" s="1917" t="s">
        <v>1249</v>
      </c>
      <c r="E260" s="1917"/>
      <c r="F260" s="1917"/>
    </row>
    <row r="261" spans="1:7" ht="14.25">
      <c r="A261" s="260"/>
      <c r="B261" s="260"/>
      <c r="D261" s="1917"/>
      <c r="E261" s="1917"/>
      <c r="F261" s="1917"/>
    </row>
    <row r="262" spans="1:7">
      <c r="A262" s="23"/>
      <c r="B262" s="664"/>
      <c r="E262" s="135"/>
      <c r="F262" s="135"/>
    </row>
    <row r="263" spans="1:7">
      <c r="A263" s="1944" t="s">
        <v>1113</v>
      </c>
      <c r="B263" s="1944"/>
      <c r="C263" s="1944"/>
      <c r="D263" s="1944"/>
      <c r="E263" s="1944"/>
      <c r="F263" s="1944"/>
      <c r="G263" s="1944"/>
    </row>
    <row r="264" spans="1:7">
      <c r="A264" s="23"/>
      <c r="B264" s="664"/>
      <c r="D264" s="135"/>
      <c r="E264" s="135"/>
      <c r="F264" s="135"/>
    </row>
    <row r="265" spans="1:7">
      <c r="C265" s="23"/>
      <c r="D265" s="1942" t="s">
        <v>691</v>
      </c>
      <c r="E265" s="1942"/>
      <c r="F265" s="1942"/>
    </row>
    <row r="266" spans="1:7">
      <c r="C266" s="23"/>
      <c r="D266" s="1943" t="s">
        <v>1250</v>
      </c>
      <c r="E266" s="1943"/>
      <c r="F266" s="1943"/>
    </row>
    <row r="267" spans="1:7">
      <c r="C267" s="23"/>
      <c r="D267" s="258"/>
    </row>
    <row r="268" spans="1:7">
      <c r="A268" s="272"/>
      <c r="B268" s="668" t="s">
        <v>308</v>
      </c>
      <c r="D268" s="1943" t="s">
        <v>1251</v>
      </c>
      <c r="E268" s="1943"/>
      <c r="F268" s="1943"/>
    </row>
    <row r="269" spans="1:7" s="39" customFormat="1" ht="14.25">
      <c r="A269" s="398"/>
      <c r="B269" s="398"/>
      <c r="C269" s="272"/>
      <c r="D269" s="488"/>
      <c r="E269" s="489"/>
      <c r="F269" s="489"/>
      <c r="G269" s="130"/>
    </row>
    <row r="270" spans="1:7" s="39" customFormat="1" ht="13.15" customHeight="1">
      <c r="A270" s="272"/>
      <c r="B270" s="668" t="s">
        <v>308</v>
      </c>
      <c r="C270" s="272"/>
      <c r="D270" s="1993" t="s">
        <v>1252</v>
      </c>
      <c r="E270" s="1993"/>
      <c r="F270" s="1993"/>
      <c r="G270" s="130"/>
    </row>
    <row r="271" spans="1:7" s="39" customFormat="1" ht="14.25">
      <c r="A271" s="398"/>
      <c r="B271" s="398"/>
      <c r="C271" s="272"/>
      <c r="D271" s="1993"/>
      <c r="E271" s="1993"/>
      <c r="F271" s="1993"/>
      <c r="G271" s="130"/>
    </row>
    <row r="272" spans="1:7" s="39" customFormat="1" ht="14.25">
      <c r="A272" s="398"/>
      <c r="B272" s="398"/>
      <c r="C272" s="272"/>
      <c r="D272" s="1993"/>
      <c r="E272" s="1993"/>
      <c r="F272" s="1993"/>
      <c r="G272" s="130"/>
    </row>
    <row r="273" spans="1:7" s="39" customFormat="1" ht="14.25">
      <c r="A273" s="398"/>
      <c r="B273" s="398"/>
      <c r="C273" s="272"/>
      <c r="D273" s="1993"/>
      <c r="E273" s="1993"/>
      <c r="F273" s="1993"/>
      <c r="G273" s="130"/>
    </row>
    <row r="274" spans="1:7" s="39" customFormat="1" ht="14.25">
      <c r="A274" s="398"/>
      <c r="B274" s="398"/>
      <c r="C274" s="272"/>
      <c r="D274" s="1993"/>
      <c r="E274" s="1993"/>
      <c r="F274" s="1993"/>
      <c r="G274" s="130"/>
    </row>
    <row r="275" spans="1:7" s="39" customFormat="1" ht="14.25">
      <c r="A275" s="398"/>
      <c r="B275" s="398"/>
      <c r="C275" s="272"/>
      <c r="D275" s="488"/>
      <c r="E275" s="489"/>
      <c r="F275" s="489"/>
      <c r="G275" s="130"/>
    </row>
    <row r="276" spans="1:7" s="39" customFormat="1" ht="13.15" customHeight="1">
      <c r="A276" s="272"/>
      <c r="B276" s="668" t="s">
        <v>308</v>
      </c>
      <c r="C276" s="272"/>
      <c r="D276" s="1993" t="s">
        <v>1253</v>
      </c>
      <c r="E276" s="1993"/>
      <c r="F276" s="1993"/>
      <c r="G276" s="130"/>
    </row>
    <row r="277" spans="1:7" s="39" customFormat="1">
      <c r="A277" s="272"/>
      <c r="B277" s="272"/>
      <c r="C277" s="272"/>
      <c r="D277" s="1993"/>
      <c r="E277" s="1993"/>
      <c r="F277" s="1993"/>
      <c r="G277" s="130"/>
    </row>
    <row r="278" spans="1:7" s="39" customFormat="1" ht="14.25">
      <c r="A278" s="398"/>
      <c r="B278" s="398"/>
      <c r="C278" s="272"/>
      <c r="D278" s="488"/>
      <c r="E278" s="489"/>
      <c r="F278" s="489"/>
      <c r="G278" s="130"/>
    </row>
    <row r="279" spans="1:7">
      <c r="A279" s="272"/>
      <c r="B279" s="668" t="s">
        <v>308</v>
      </c>
      <c r="D279" s="1943" t="s">
        <v>1254</v>
      </c>
      <c r="E279" s="1943"/>
      <c r="F279" s="1943"/>
    </row>
    <row r="280" spans="1:7">
      <c r="E280" s="135"/>
      <c r="F280" s="135"/>
    </row>
    <row r="281" spans="1:7" ht="14.25">
      <c r="A281" s="260"/>
      <c r="B281" s="668" t="s">
        <v>308</v>
      </c>
      <c r="D281" s="1939" t="s">
        <v>1255</v>
      </c>
      <c r="E281" s="1939"/>
      <c r="F281" s="1939"/>
    </row>
    <row r="282" spans="1:7" ht="14.25">
      <c r="A282" s="260"/>
      <c r="B282" s="260"/>
      <c r="D282" s="1939"/>
      <c r="E282" s="1939"/>
      <c r="F282" s="1939"/>
    </row>
    <row r="283" spans="1:7" s="708" customFormat="1" ht="14.25">
      <c r="A283" s="703"/>
      <c r="B283" s="703"/>
      <c r="C283" s="720"/>
      <c r="D283" s="1939"/>
      <c r="E283" s="1939"/>
      <c r="F283" s="1939"/>
      <c r="G283" s="7"/>
    </row>
    <row r="284" spans="1:7" s="708" customFormat="1" ht="14.25">
      <c r="A284" s="703"/>
      <c r="B284" s="703"/>
      <c r="C284" s="720"/>
      <c r="D284" s="1939"/>
      <c r="E284" s="1939"/>
      <c r="F284" s="1939"/>
      <c r="G284" s="7"/>
    </row>
    <row r="285" spans="1:7" s="708" customFormat="1" ht="14.25">
      <c r="A285" s="703"/>
      <c r="B285" s="703"/>
      <c r="C285" s="720"/>
      <c r="D285" s="1939"/>
      <c r="E285" s="1939"/>
      <c r="F285" s="1939"/>
      <c r="G285" s="7"/>
    </row>
    <row r="286" spans="1:7" s="708" customFormat="1" ht="14.25">
      <c r="A286" s="703"/>
      <c r="B286" s="703"/>
      <c r="C286" s="720"/>
      <c r="D286" s="1939"/>
      <c r="E286" s="1939"/>
      <c r="F286" s="1939"/>
      <c r="G286" s="7"/>
    </row>
    <row r="287" spans="1:7" s="708" customFormat="1" ht="14.25">
      <c r="A287" s="703"/>
      <c r="B287" s="703"/>
      <c r="C287" s="720"/>
      <c r="D287" s="1939"/>
      <c r="E287" s="1939"/>
      <c r="F287" s="1939"/>
      <c r="G287" s="7"/>
    </row>
    <row r="288" spans="1:7" s="708" customFormat="1" ht="14.25">
      <c r="A288" s="703"/>
      <c r="B288" s="703"/>
      <c r="C288" s="720"/>
      <c r="D288" s="1939"/>
      <c r="E288" s="1939"/>
      <c r="F288" s="1939"/>
      <c r="G288" s="7"/>
    </row>
    <row r="289" spans="1:7" s="708" customFormat="1" ht="14.25">
      <c r="A289" s="703"/>
      <c r="B289" s="703"/>
      <c r="C289" s="720"/>
      <c r="D289" s="1939"/>
      <c r="E289" s="1939"/>
      <c r="F289" s="1939"/>
      <c r="G289" s="7"/>
    </row>
    <row r="290" spans="1:7" s="708" customFormat="1" ht="14.25">
      <c r="A290" s="703"/>
      <c r="B290" s="703"/>
      <c r="C290" s="720"/>
      <c r="D290" s="1939"/>
      <c r="E290" s="1939"/>
      <c r="F290" s="1939"/>
      <c r="G290" s="7"/>
    </row>
    <row r="291" spans="1:7" s="708" customFormat="1" ht="14.25">
      <c r="A291" s="703"/>
      <c r="B291" s="703"/>
      <c r="C291" s="720"/>
      <c r="D291" s="1939"/>
      <c r="E291" s="1939"/>
      <c r="F291" s="1939"/>
      <c r="G291" s="7"/>
    </row>
    <row r="292" spans="1:7" s="708" customFormat="1" ht="14.25">
      <c r="A292" s="703"/>
      <c r="B292" s="703"/>
      <c r="C292" s="720"/>
      <c r="D292" s="1939"/>
      <c r="E292" s="1939"/>
      <c r="F292" s="1939"/>
      <c r="G292" s="7"/>
    </row>
    <row r="293" spans="1:7" ht="14.25">
      <c r="A293" s="260"/>
      <c r="B293" s="260"/>
      <c r="D293" s="1939"/>
      <c r="E293" s="1939"/>
      <c r="F293" s="1939"/>
    </row>
    <row r="294" spans="1:7" ht="14.25">
      <c r="A294" s="260"/>
      <c r="B294" s="260"/>
      <c r="D294" s="1939"/>
      <c r="E294" s="1939"/>
      <c r="F294" s="1939"/>
    </row>
    <row r="295" spans="1:7" ht="14.25">
      <c r="A295" s="260"/>
      <c r="B295" s="260"/>
      <c r="D295" s="1939"/>
      <c r="E295" s="1939"/>
      <c r="F295" s="1939"/>
    </row>
    <row r="296" spans="1:7">
      <c r="D296" s="135"/>
      <c r="E296" s="135"/>
      <c r="F296" s="135"/>
    </row>
    <row r="297" spans="1:7" ht="14.25">
      <c r="A297" s="260"/>
      <c r="B297" s="668" t="s">
        <v>308</v>
      </c>
      <c r="D297" s="1939" t="s">
        <v>1256</v>
      </c>
      <c r="E297" s="1939"/>
      <c r="F297" s="1939"/>
    </row>
    <row r="298" spans="1:7">
      <c r="D298" s="1939"/>
      <c r="E298" s="1939"/>
      <c r="F298" s="1939"/>
    </row>
    <row r="299" spans="1:7">
      <c r="D299" s="1939"/>
      <c r="E299" s="1939"/>
      <c r="F299" s="1939"/>
    </row>
    <row r="300" spans="1:7">
      <c r="D300" s="1939"/>
      <c r="E300" s="1939"/>
      <c r="F300" s="1939"/>
    </row>
    <row r="301" spans="1:7">
      <c r="D301" s="1939"/>
      <c r="E301" s="1939"/>
      <c r="F301" s="1939"/>
    </row>
    <row r="302" spans="1:7">
      <c r="D302" s="1939"/>
      <c r="E302" s="1939"/>
      <c r="F302" s="1939"/>
    </row>
    <row r="303" spans="1:7">
      <c r="D303" s="1939"/>
      <c r="E303" s="1939"/>
      <c r="F303" s="1939"/>
    </row>
    <row r="304" spans="1:7">
      <c r="D304" s="1939"/>
      <c r="E304" s="1939"/>
      <c r="F304" s="1939"/>
    </row>
    <row r="305" spans="1:7">
      <c r="D305" s="1939"/>
      <c r="E305" s="1939"/>
      <c r="F305" s="1939"/>
    </row>
    <row r="306" spans="1:7">
      <c r="D306" s="135"/>
      <c r="E306" s="135"/>
      <c r="F306" s="135"/>
    </row>
    <row r="307" spans="1:7" ht="14.25">
      <c r="A307" s="260"/>
      <c r="B307" s="668" t="s">
        <v>308</v>
      </c>
      <c r="D307" s="1917" t="s">
        <v>1257</v>
      </c>
      <c r="E307" s="1917"/>
      <c r="F307" s="1917"/>
    </row>
    <row r="308" spans="1:7">
      <c r="D308" s="1917"/>
      <c r="E308" s="1917"/>
      <c r="F308" s="1917"/>
      <c r="G308" s="12"/>
    </row>
    <row r="309" spans="1:7">
      <c r="D309" s="1917"/>
      <c r="E309" s="1917"/>
      <c r="F309" s="1917"/>
      <c r="G309" s="12"/>
    </row>
    <row r="310" spans="1:7">
      <c r="D310" s="1917"/>
      <c r="E310" s="1917"/>
      <c r="F310" s="1917"/>
      <c r="G310" s="12"/>
    </row>
    <row r="311" spans="1:7">
      <c r="D311" s="1917"/>
      <c r="E311" s="1917"/>
      <c r="F311" s="1917"/>
      <c r="G311" s="12"/>
    </row>
    <row r="312" spans="1:7">
      <c r="D312" s="1917"/>
      <c r="E312" s="1917"/>
      <c r="F312" s="1917"/>
      <c r="G312" s="12"/>
    </row>
    <row r="313" spans="1:7" s="708" customFormat="1">
      <c r="A313" s="720"/>
      <c r="B313" s="720"/>
      <c r="C313" s="720"/>
      <c r="D313" s="717"/>
      <c r="E313" s="717"/>
      <c r="F313" s="717"/>
    </row>
    <row r="314" spans="1:7" ht="13.5" thickBot="1">
      <c r="D314" s="1989" t="s">
        <v>1018</v>
      </c>
      <c r="E314" s="1989"/>
      <c r="F314" s="1989"/>
      <c r="G314" s="12"/>
    </row>
    <row r="315" spans="1:7" s="708" customFormat="1" ht="13.5" thickTop="1">
      <c r="A315" s="720"/>
      <c r="B315" s="720"/>
      <c r="C315" s="720"/>
      <c r="D315" s="1990" t="s">
        <v>1258</v>
      </c>
      <c r="E315" s="1990"/>
      <c r="F315" s="1990"/>
    </row>
    <row r="316" spans="1:7">
      <c r="A316" s="324"/>
      <c r="B316" s="324"/>
      <c r="C316" s="324"/>
      <c r="D316" s="462"/>
      <c r="E316" s="462"/>
      <c r="F316" s="135"/>
      <c r="G316" s="12"/>
    </row>
    <row r="317" spans="1:7" ht="14.25">
      <c r="A317" s="260"/>
      <c r="B317" s="668" t="s">
        <v>308</v>
      </c>
      <c r="C317" s="324"/>
      <c r="D317" s="1991" t="s">
        <v>1259</v>
      </c>
      <c r="E317" s="1991"/>
      <c r="F317" s="1991"/>
      <c r="G317" s="12"/>
    </row>
    <row r="318" spans="1:7">
      <c r="A318" s="324"/>
      <c r="B318" s="324"/>
      <c r="C318" s="324"/>
      <c r="D318" s="462"/>
      <c r="E318" s="462"/>
      <c r="F318" s="135"/>
      <c r="G318" s="12"/>
    </row>
    <row r="319" spans="1:7">
      <c r="A319" s="324"/>
      <c r="B319" s="668" t="s">
        <v>308</v>
      </c>
      <c r="C319" s="324"/>
      <c r="D319" s="1975" t="s">
        <v>1260</v>
      </c>
      <c r="E319" s="1975"/>
      <c r="F319" s="1975"/>
      <c r="G319" s="12"/>
    </row>
    <row r="320" spans="1:7">
      <c r="A320" s="324"/>
      <c r="B320" s="324"/>
      <c r="C320" s="324"/>
      <c r="D320" s="1975"/>
      <c r="E320" s="1975"/>
      <c r="F320" s="1975"/>
      <c r="G320" s="12"/>
    </row>
    <row r="321" spans="1:7">
      <c r="A321" s="324"/>
      <c r="B321" s="324"/>
      <c r="C321" s="324"/>
      <c r="D321" s="1975"/>
      <c r="E321" s="1975"/>
      <c r="F321" s="1975"/>
      <c r="G321" s="12"/>
    </row>
    <row r="322" spans="1:7">
      <c r="A322" s="324"/>
      <c r="B322" s="324"/>
      <c r="C322" s="324"/>
      <c r="D322" s="1975"/>
      <c r="E322" s="1975"/>
      <c r="F322" s="1975"/>
      <c r="G322" s="12"/>
    </row>
    <row r="323" spans="1:7" s="708" customFormat="1">
      <c r="A323" s="324"/>
      <c r="B323" s="324"/>
      <c r="C323" s="324"/>
      <c r="D323" s="1975"/>
      <c r="E323" s="1975"/>
      <c r="F323" s="1975"/>
    </row>
    <row r="324" spans="1:7" s="708" customFormat="1">
      <c r="A324" s="324"/>
      <c r="B324" s="324"/>
      <c r="C324" s="324"/>
      <c r="D324" s="1975"/>
      <c r="E324" s="1975"/>
      <c r="F324" s="1975"/>
    </row>
    <row r="325" spans="1:7" s="708" customFormat="1">
      <c r="A325" s="324"/>
      <c r="B325" s="324"/>
      <c r="C325" s="324"/>
      <c r="D325" s="1975"/>
      <c r="E325" s="1975"/>
      <c r="F325" s="1975"/>
    </row>
    <row r="326" spans="1:7" s="708" customFormat="1">
      <c r="A326" s="324"/>
      <c r="B326" s="324"/>
      <c r="C326" s="324"/>
      <c r="D326" s="1975"/>
      <c r="E326" s="1975"/>
      <c r="F326" s="1975"/>
    </row>
    <row r="327" spans="1:7">
      <c r="A327" s="324"/>
      <c r="B327" s="324"/>
      <c r="C327" s="324"/>
      <c r="D327" s="1975"/>
      <c r="E327" s="1975"/>
      <c r="F327" s="1975"/>
      <c r="G327" s="12"/>
    </row>
    <row r="328" spans="1:7">
      <c r="A328" s="324"/>
      <c r="B328" s="324"/>
      <c r="C328" s="324"/>
      <c r="D328" s="1975"/>
      <c r="E328" s="1975"/>
      <c r="F328" s="1975"/>
      <c r="G328" s="12"/>
    </row>
    <row r="329" spans="1:7">
      <c r="A329" s="324"/>
      <c r="B329" s="324"/>
      <c r="C329" s="324"/>
      <c r="D329" s="1975"/>
      <c r="E329" s="1975"/>
      <c r="F329" s="1975"/>
      <c r="G329" s="12"/>
    </row>
    <row r="330" spans="1:7">
      <c r="A330" s="324"/>
      <c r="B330" s="324"/>
      <c r="C330" s="324"/>
      <c r="D330" s="12"/>
      <c r="E330" s="462"/>
      <c r="F330" s="135"/>
      <c r="G330" s="12"/>
    </row>
    <row r="331" spans="1:7" ht="14.25">
      <c r="A331" s="260"/>
      <c r="B331" s="668" t="s">
        <v>308</v>
      </c>
      <c r="C331" s="324"/>
      <c r="D331" s="1994" t="s">
        <v>1261</v>
      </c>
      <c r="E331" s="1994"/>
      <c r="F331" s="1994"/>
      <c r="G331" s="12"/>
    </row>
    <row r="332" spans="1:7">
      <c r="A332" s="324"/>
      <c r="B332" s="324"/>
      <c r="C332" s="324"/>
      <c r="D332" s="1994"/>
      <c r="E332" s="1994"/>
      <c r="F332" s="1994"/>
      <c r="G332" s="12"/>
    </row>
    <row r="333" spans="1:7">
      <c r="A333" s="324"/>
      <c r="B333" s="324"/>
      <c r="C333" s="324"/>
      <c r="D333" s="1994"/>
      <c r="E333" s="1994"/>
      <c r="F333" s="1994"/>
      <c r="G333" s="12"/>
    </row>
    <row r="334" spans="1:7">
      <c r="A334" s="324"/>
      <c r="B334" s="324"/>
      <c r="C334" s="324"/>
      <c r="D334" s="1994"/>
      <c r="E334" s="1994"/>
      <c r="F334" s="1994"/>
      <c r="G334" s="12"/>
    </row>
    <row r="335" spans="1:7">
      <c r="A335" s="324"/>
      <c r="B335" s="324"/>
      <c r="C335" s="324"/>
      <c r="D335" s="496"/>
      <c r="E335" s="462"/>
      <c r="F335" s="135"/>
      <c r="G335" s="12"/>
    </row>
    <row r="336" spans="1:7">
      <c r="A336" s="324"/>
      <c r="B336" s="324"/>
      <c r="C336" s="324"/>
      <c r="D336" s="1994" t="s">
        <v>1262</v>
      </c>
      <c r="E336" s="1994"/>
      <c r="F336" s="1994"/>
      <c r="G336" s="12"/>
    </row>
    <row r="337" spans="1:7">
      <c r="A337" s="324"/>
      <c r="B337" s="324"/>
      <c r="C337" s="324"/>
      <c r="D337" s="1994"/>
      <c r="E337" s="1994"/>
      <c r="F337" s="1994"/>
      <c r="G337" s="12"/>
    </row>
    <row r="338" spans="1:7">
      <c r="A338" s="324"/>
      <c r="B338" s="324"/>
      <c r="C338" s="324"/>
      <c r="D338" s="1994"/>
      <c r="E338" s="1994"/>
      <c r="F338" s="1994"/>
      <c r="G338" s="12"/>
    </row>
    <row r="339" spans="1:7">
      <c r="A339" s="324"/>
      <c r="B339" s="324"/>
      <c r="C339" s="324"/>
      <c r="D339" s="1994"/>
      <c r="E339" s="1994"/>
      <c r="F339" s="1994"/>
      <c r="G339" s="12"/>
    </row>
    <row r="340" spans="1:7" ht="18" customHeight="1">
      <c r="A340" s="324"/>
      <c r="B340" s="324"/>
      <c r="C340" s="324"/>
      <c r="D340" s="1994"/>
      <c r="E340" s="1994"/>
      <c r="F340" s="1994"/>
      <c r="G340" s="12"/>
    </row>
    <row r="341" spans="1:7">
      <c r="A341" s="324"/>
      <c r="B341" s="324"/>
      <c r="C341" s="324"/>
      <c r="D341" s="1994"/>
      <c r="E341" s="1994"/>
      <c r="F341" s="1994"/>
      <c r="G341" s="12"/>
    </row>
    <row r="342" spans="1:7">
      <c r="A342" s="324"/>
      <c r="B342" s="324"/>
      <c r="C342" s="324"/>
      <c r="D342" s="1994"/>
      <c r="E342" s="1994"/>
      <c r="F342" s="1994"/>
      <c r="G342" s="12"/>
    </row>
    <row r="343" spans="1:7">
      <c r="A343" s="324"/>
      <c r="B343" s="324"/>
      <c r="C343" s="324"/>
      <c r="D343" s="1994"/>
      <c r="E343" s="1994"/>
      <c r="F343" s="1994"/>
      <c r="G343" s="12"/>
    </row>
    <row r="344" spans="1:7" ht="8.25" customHeight="1">
      <c r="A344" s="324"/>
      <c r="B344" s="324"/>
      <c r="C344" s="324"/>
      <c r="D344" s="1994"/>
      <c r="E344" s="1994"/>
      <c r="F344" s="1994"/>
      <c r="G344" s="12"/>
    </row>
    <row r="345" spans="1:7" ht="13.15" customHeight="1">
      <c r="A345" s="324"/>
      <c r="B345" s="324"/>
      <c r="C345" s="324"/>
      <c r="D345" s="1987" t="s">
        <v>1263</v>
      </c>
      <c r="E345" s="1987"/>
      <c r="F345" s="1987"/>
      <c r="G345" s="12"/>
    </row>
    <row r="346" spans="1:7">
      <c r="A346" s="324"/>
      <c r="B346" s="324"/>
      <c r="C346" s="324"/>
      <c r="D346" s="1987"/>
      <c r="E346" s="1987"/>
      <c r="F346" s="1987"/>
      <c r="G346" s="12"/>
    </row>
    <row r="347" spans="1:7">
      <c r="A347" s="324"/>
      <c r="B347" s="324"/>
      <c r="C347" s="324"/>
      <c r="D347" s="1987"/>
      <c r="E347" s="1987"/>
      <c r="F347" s="1987"/>
      <c r="G347" s="12"/>
    </row>
    <row r="348" spans="1:7" s="708" customFormat="1">
      <c r="A348" s="324"/>
      <c r="B348" s="324"/>
      <c r="C348" s="324"/>
      <c r="D348" s="1987"/>
      <c r="E348" s="1987"/>
      <c r="F348" s="1987"/>
    </row>
    <row r="349" spans="1:7" s="708" customFormat="1">
      <c r="A349" s="324"/>
      <c r="B349" s="324"/>
      <c r="C349" s="324"/>
      <c r="D349" s="1987"/>
      <c r="E349" s="1987"/>
      <c r="F349" s="1987"/>
    </row>
    <row r="350" spans="1:7" s="708" customFormat="1">
      <c r="A350" s="324"/>
      <c r="B350" s="324"/>
      <c r="C350" s="324"/>
      <c r="D350" s="1987"/>
      <c r="E350" s="1987"/>
      <c r="F350" s="1987"/>
    </row>
    <row r="351" spans="1:7" s="708" customFormat="1">
      <c r="A351" s="324"/>
      <c r="B351" s="324"/>
      <c r="C351" s="324"/>
      <c r="D351" s="1987"/>
      <c r="E351" s="1987"/>
      <c r="F351" s="1987"/>
    </row>
    <row r="352" spans="1:7" s="708" customFormat="1">
      <c r="A352" s="324"/>
      <c r="B352" s="324"/>
      <c r="C352" s="324"/>
      <c r="D352" s="1987"/>
      <c r="E352" s="1987"/>
      <c r="F352" s="1987"/>
    </row>
    <row r="353" spans="1:7">
      <c r="A353" s="324"/>
      <c r="B353" s="324"/>
      <c r="C353" s="324"/>
      <c r="D353" s="1987"/>
      <c r="E353" s="1987"/>
      <c r="F353" s="1987"/>
      <c r="G353" s="12"/>
    </row>
    <row r="354" spans="1:7">
      <c r="A354" s="324"/>
      <c r="B354" s="324"/>
      <c r="C354" s="324"/>
      <c r="D354" s="1987"/>
      <c r="E354" s="1987"/>
      <c r="F354" s="1987"/>
      <c r="G354" s="12"/>
    </row>
    <row r="355" spans="1:7">
      <c r="A355" s="324"/>
      <c r="B355" s="324"/>
      <c r="C355" s="324"/>
      <c r="D355" s="1987"/>
      <c r="E355" s="1987"/>
      <c r="F355" s="1987"/>
      <c r="G355" s="12"/>
    </row>
    <row r="356" spans="1:7">
      <c r="A356" s="324"/>
      <c r="B356" s="324"/>
      <c r="C356" s="324"/>
      <c r="D356" s="1987"/>
      <c r="E356" s="1987"/>
      <c r="F356" s="1987"/>
      <c r="G356" s="12"/>
    </row>
    <row r="357" spans="1:7">
      <c r="A357" s="324"/>
      <c r="B357" s="324"/>
      <c r="C357" s="498"/>
      <c r="D357" s="1987"/>
      <c r="E357" s="1987"/>
      <c r="F357" s="1987"/>
      <c r="G357" s="12"/>
    </row>
    <row r="358" spans="1:7">
      <c r="A358" s="324"/>
      <c r="B358" s="324"/>
      <c r="C358" s="498"/>
      <c r="D358" s="1987"/>
      <c r="E358" s="1987"/>
      <c r="F358" s="1987"/>
      <c r="G358" s="12"/>
    </row>
    <row r="359" spans="1:7">
      <c r="A359" s="324"/>
      <c r="B359" s="324"/>
      <c r="C359" s="324"/>
      <c r="D359" s="1987"/>
      <c r="E359" s="1987"/>
      <c r="F359" s="1987"/>
      <c r="G359" s="12"/>
    </row>
    <row r="360" spans="1:7">
      <c r="A360" s="324"/>
      <c r="B360" s="324"/>
      <c r="C360" s="498"/>
      <c r="D360" s="1987"/>
      <c r="E360" s="1987"/>
      <c r="F360" s="1987"/>
      <c r="G360" s="12"/>
    </row>
    <row r="361" spans="1:7">
      <c r="A361" s="324"/>
      <c r="B361" s="324"/>
      <c r="C361" s="498"/>
      <c r="D361" s="1987"/>
      <c r="E361" s="1987"/>
      <c r="F361" s="1987"/>
      <c r="G361" s="12"/>
    </row>
    <row r="362" spans="1:7">
      <c r="A362" s="324"/>
      <c r="B362" s="324"/>
      <c r="C362" s="498"/>
      <c r="D362" s="1987"/>
      <c r="E362" s="1987"/>
      <c r="F362" s="1987"/>
      <c r="G362" s="12"/>
    </row>
    <row r="363" spans="1:7">
      <c r="A363" s="324"/>
      <c r="B363" s="324"/>
      <c r="C363" s="324"/>
      <c r="D363" s="496"/>
      <c r="E363" s="462"/>
      <c r="F363" s="135"/>
      <c r="G363" s="12"/>
    </row>
    <row r="364" spans="1:7">
      <c r="A364" s="324"/>
      <c r="B364" s="668" t="s">
        <v>308</v>
      </c>
      <c r="C364" s="324"/>
      <c r="D364" s="1987" t="s">
        <v>1264</v>
      </c>
      <c r="E364" s="1987"/>
      <c r="F364" s="1987"/>
      <c r="G364" s="12"/>
    </row>
    <row r="365" spans="1:7">
      <c r="A365" s="324"/>
      <c r="B365" s="324"/>
      <c r="C365" s="324"/>
      <c r="D365" s="1987"/>
      <c r="E365" s="1987"/>
      <c r="F365" s="1987"/>
      <c r="G365" s="12"/>
    </row>
    <row r="366" spans="1:7">
      <c r="A366" s="324"/>
      <c r="B366" s="324"/>
      <c r="C366" s="324"/>
      <c r="D366" s="462"/>
      <c r="E366" s="462"/>
      <c r="F366" s="135"/>
      <c r="G366" s="12"/>
    </row>
    <row r="367" spans="1:7" ht="14.25">
      <c r="A367" s="260"/>
      <c r="B367" s="668" t="s">
        <v>308</v>
      </c>
      <c r="C367" s="324"/>
      <c r="D367" s="1975" t="s">
        <v>1265</v>
      </c>
      <c r="E367" s="1975"/>
      <c r="F367" s="1975"/>
      <c r="G367" s="12"/>
    </row>
    <row r="368" spans="1:7" ht="14.25">
      <c r="A368" s="497"/>
      <c r="B368" s="497"/>
      <c r="C368" s="324"/>
      <c r="D368" s="1975"/>
      <c r="E368" s="1975"/>
      <c r="F368" s="1975"/>
      <c r="G368" s="12"/>
    </row>
    <row r="369" spans="1:7" ht="14.25">
      <c r="A369" s="497"/>
      <c r="B369" s="497"/>
      <c r="C369" s="324"/>
      <c r="D369" s="1975"/>
      <c r="E369" s="1975"/>
      <c r="F369" s="1975"/>
      <c r="G369" s="12"/>
    </row>
    <row r="370" spans="1:7" ht="14.25">
      <c r="A370" s="497"/>
      <c r="B370" s="497"/>
      <c r="C370" s="324"/>
      <c r="D370" s="1975"/>
      <c r="E370" s="1975"/>
      <c r="F370" s="1975"/>
      <c r="G370" s="12"/>
    </row>
    <row r="371" spans="1:7" ht="14.25">
      <c r="A371" s="497"/>
      <c r="B371" s="497"/>
      <c r="C371" s="324"/>
      <c r="D371" s="1975"/>
      <c r="E371" s="1975"/>
      <c r="F371" s="1975"/>
      <c r="G371" s="12"/>
    </row>
    <row r="372" spans="1:7">
      <c r="D372" s="135"/>
      <c r="E372" s="135"/>
      <c r="F372" s="135"/>
      <c r="G372" s="12"/>
    </row>
    <row r="373" spans="1:7" ht="14.25">
      <c r="A373" s="260"/>
      <c r="B373" s="668" t="s">
        <v>308</v>
      </c>
      <c r="C373" s="265"/>
      <c r="D373" s="1917" t="s">
        <v>1266</v>
      </c>
      <c r="E373" s="1917"/>
      <c r="F373" s="1917"/>
      <c r="G373" s="12"/>
    </row>
    <row r="374" spans="1:7" ht="14.25">
      <c r="A374" s="260"/>
      <c r="B374" s="260"/>
      <c r="D374" s="1917"/>
      <c r="E374" s="1917"/>
      <c r="F374" s="1917"/>
      <c r="G374" s="12"/>
    </row>
    <row r="375" spans="1:7">
      <c r="D375" s="1917"/>
      <c r="E375" s="1917"/>
      <c r="F375" s="1917"/>
      <c r="G375" s="12"/>
    </row>
    <row r="376" spans="1:7">
      <c r="D376" s="1917"/>
      <c r="E376" s="1917"/>
      <c r="F376" s="1917"/>
      <c r="G376" s="12"/>
    </row>
    <row r="377" spans="1:7">
      <c r="D377" s="1917"/>
      <c r="E377" s="1917"/>
      <c r="F377" s="1917"/>
      <c r="G377" s="12"/>
    </row>
    <row r="378" spans="1:7">
      <c r="D378" s="1917"/>
      <c r="E378" s="1917"/>
      <c r="F378" s="1917"/>
      <c r="G378" s="12"/>
    </row>
    <row r="379" spans="1:7">
      <c r="D379" s="1917"/>
      <c r="E379" s="1917"/>
      <c r="F379" s="1917"/>
      <c r="G379" s="12"/>
    </row>
    <row r="380" spans="1:7">
      <c r="D380" s="1917"/>
      <c r="E380" s="1917"/>
      <c r="F380" s="1917"/>
      <c r="G380" s="12"/>
    </row>
    <row r="381" spans="1:7">
      <c r="D381" s="1917"/>
      <c r="E381" s="1917"/>
      <c r="F381" s="1917"/>
      <c r="G381" s="12"/>
    </row>
    <row r="382" spans="1:7">
      <c r="D382" s="1917"/>
      <c r="E382" s="1917"/>
      <c r="F382" s="1917"/>
      <c r="G382" s="12"/>
    </row>
    <row r="383" spans="1:7">
      <c r="D383" s="1917"/>
      <c r="E383" s="1917"/>
      <c r="F383" s="1917"/>
      <c r="G383" s="12"/>
    </row>
    <row r="384" spans="1:7">
      <c r="D384" s="1917"/>
      <c r="E384" s="1917"/>
      <c r="F384" s="1917"/>
      <c r="G384" s="12"/>
    </row>
    <row r="385" spans="1:7">
      <c r="D385" s="1917"/>
      <c r="E385" s="1917"/>
      <c r="F385" s="1917"/>
      <c r="G385" s="12"/>
    </row>
    <row r="386" spans="1:7">
      <c r="A386" s="12"/>
      <c r="B386" s="12"/>
      <c r="C386" s="12"/>
      <c r="D386" s="1917"/>
      <c r="E386" s="1917"/>
      <c r="F386" s="1917"/>
      <c r="G386" s="12"/>
    </row>
    <row r="387" spans="1:7">
      <c r="A387" s="12"/>
      <c r="B387" s="12"/>
      <c r="C387" s="12"/>
      <c r="D387" s="1917"/>
      <c r="E387" s="1917"/>
      <c r="F387" s="1917"/>
      <c r="G387" s="12"/>
    </row>
    <row r="388" spans="1:7">
      <c r="A388" s="12"/>
      <c r="B388" s="12"/>
      <c r="C388" s="12"/>
      <c r="D388" s="1917"/>
      <c r="E388" s="1917"/>
      <c r="F388" s="1917"/>
      <c r="G388" s="12"/>
    </row>
    <row r="389" spans="1:7">
      <c r="A389" s="12"/>
      <c r="B389" s="12"/>
      <c r="C389" s="12"/>
      <c r="D389" s="1917"/>
      <c r="E389" s="1917"/>
      <c r="F389" s="1917"/>
      <c r="G389" s="12"/>
    </row>
    <row r="390" spans="1:7">
      <c r="A390" s="12"/>
      <c r="B390" s="12"/>
      <c r="C390" s="12"/>
      <c r="D390" s="1917"/>
      <c r="E390" s="1917"/>
      <c r="F390" s="1917"/>
      <c r="G390" s="12"/>
    </row>
    <row r="391" spans="1:7">
      <c r="A391" s="12"/>
      <c r="B391" s="12"/>
      <c r="C391" s="12"/>
      <c r="D391" s="1917"/>
      <c r="E391" s="1917"/>
      <c r="F391" s="1917"/>
      <c r="G391" s="12"/>
    </row>
    <row r="392" spans="1:7">
      <c r="A392" s="12"/>
      <c r="B392" s="12"/>
      <c r="C392" s="12"/>
      <c r="D392" s="1917"/>
      <c r="E392" s="1917"/>
      <c r="F392" s="1917"/>
      <c r="G392" s="12"/>
    </row>
    <row r="393" spans="1:7">
      <c r="A393" s="12"/>
      <c r="B393" s="12"/>
      <c r="C393" s="12"/>
      <c r="D393" s="1917"/>
      <c r="E393" s="1917"/>
      <c r="F393" s="1917"/>
      <c r="G393" s="12"/>
    </row>
    <row r="394" spans="1:7">
      <c r="A394" s="12"/>
      <c r="B394" s="12"/>
      <c r="C394" s="12"/>
      <c r="D394" s="1917"/>
      <c r="E394" s="1917"/>
      <c r="F394" s="1917"/>
      <c r="G394" s="12"/>
    </row>
    <row r="395" spans="1:7">
      <c r="A395" s="12"/>
      <c r="B395" s="12"/>
      <c r="C395" s="12"/>
      <c r="D395" s="1917"/>
      <c r="E395" s="1917"/>
      <c r="F395" s="1917"/>
      <c r="G395" s="12"/>
    </row>
    <row r="396" spans="1:7">
      <c r="A396" s="12"/>
      <c r="B396" s="12"/>
      <c r="C396" s="12"/>
      <c r="D396" s="1917"/>
      <c r="E396" s="1917"/>
      <c r="F396" s="1917"/>
      <c r="G396" s="12"/>
    </row>
    <row r="397" spans="1:7">
      <c r="A397" s="12"/>
      <c r="B397" s="12"/>
      <c r="C397" s="12"/>
      <c r="D397" s="1917"/>
      <c r="E397" s="1917"/>
      <c r="F397" s="1917"/>
      <c r="G397" s="12"/>
    </row>
    <row r="398" spans="1:7">
      <c r="A398" s="12"/>
      <c r="B398" s="12"/>
      <c r="C398" s="12"/>
      <c r="D398" s="1917"/>
      <c r="E398" s="1917"/>
      <c r="F398" s="1917"/>
      <c r="G398" s="12"/>
    </row>
    <row r="399" spans="1:7">
      <c r="A399" s="12"/>
      <c r="B399" s="12"/>
      <c r="C399" s="12"/>
      <c r="D399" s="1917"/>
      <c r="E399" s="1917"/>
      <c r="F399" s="1917"/>
      <c r="G399" s="12"/>
    </row>
    <row r="400" spans="1:7">
      <c r="A400" s="12"/>
      <c r="B400" s="12"/>
      <c r="C400" s="12"/>
      <c r="D400" s="1917"/>
      <c r="E400" s="1917"/>
      <c r="F400" s="1917"/>
      <c r="G400" s="12"/>
    </row>
    <row r="401" spans="1:7">
      <c r="A401" s="12"/>
      <c r="B401" s="12"/>
      <c r="C401" s="12"/>
      <c r="D401" s="1917"/>
      <c r="E401" s="1917"/>
      <c r="F401" s="1917"/>
      <c r="G401" s="12"/>
    </row>
    <row r="402" spans="1:7" s="32" customFormat="1">
      <c r="A402" s="132"/>
      <c r="B402" s="665"/>
      <c r="C402" s="132"/>
      <c r="D402" s="1917"/>
      <c r="E402" s="1917"/>
      <c r="F402" s="1917"/>
      <c r="G402" s="30"/>
    </row>
    <row r="403" spans="1:7" s="32" customFormat="1" ht="40.700000000000003" customHeight="1">
      <c r="A403" s="132"/>
      <c r="B403" s="665"/>
      <c r="C403" s="132"/>
      <c r="D403" s="1917"/>
      <c r="E403" s="1917"/>
      <c r="F403" s="1917"/>
      <c r="G403" s="30"/>
    </row>
    <row r="404" spans="1:7" s="32" customFormat="1">
      <c r="A404" s="132"/>
      <c r="B404" s="665"/>
      <c r="C404" s="132"/>
      <c r="D404" s="135"/>
      <c r="E404" s="135"/>
      <c r="F404" s="135"/>
      <c r="G404" s="30"/>
    </row>
    <row r="405" spans="1:7" ht="14.25">
      <c r="A405" s="260"/>
      <c r="B405" s="668" t="s">
        <v>308</v>
      </c>
      <c r="C405" s="265"/>
      <c r="D405" s="1943" t="s">
        <v>1267</v>
      </c>
      <c r="E405" s="1943"/>
      <c r="F405" s="1943"/>
    </row>
    <row r="406" spans="1:7">
      <c r="D406" s="1988" t="s">
        <v>1038</v>
      </c>
      <c r="E406" s="1988"/>
      <c r="F406" s="1988"/>
    </row>
    <row r="407" spans="1:7">
      <c r="D407" s="1939" t="s">
        <v>1268</v>
      </c>
      <c r="E407" s="1939"/>
      <c r="F407" s="1939"/>
    </row>
    <row r="408" spans="1:7">
      <c r="D408" s="1939"/>
      <c r="E408" s="1939"/>
      <c r="F408" s="1939"/>
    </row>
    <row r="409" spans="1:7">
      <c r="D409" s="1939"/>
      <c r="E409" s="1939"/>
      <c r="F409" s="1939"/>
    </row>
    <row r="410" spans="1:7">
      <c r="D410" s="1939"/>
      <c r="E410" s="1939"/>
      <c r="F410" s="1939"/>
    </row>
    <row r="411" spans="1:7">
      <c r="D411" s="135"/>
      <c r="E411" s="135"/>
      <c r="F411" s="135"/>
      <c r="G411" s="12"/>
    </row>
    <row r="412" spans="1:7" ht="14.25">
      <c r="A412" s="260"/>
      <c r="B412" s="668" t="s">
        <v>308</v>
      </c>
      <c r="C412" s="265"/>
      <c r="D412" s="1917" t="s">
        <v>1269</v>
      </c>
      <c r="E412" s="1917"/>
      <c r="F412" s="1917"/>
      <c r="G412" s="12"/>
    </row>
    <row r="413" spans="1:7">
      <c r="D413" s="1917"/>
      <c r="E413" s="1917"/>
      <c r="F413" s="1917"/>
      <c r="G413" s="12"/>
    </row>
    <row r="414" spans="1:7">
      <c r="D414" s="1917"/>
      <c r="E414" s="1917"/>
      <c r="F414" s="1917"/>
      <c r="G414" s="12"/>
    </row>
    <row r="415" spans="1:7" s="708" customFormat="1">
      <c r="A415" s="720"/>
      <c r="B415" s="720"/>
      <c r="C415" s="720"/>
      <c r="D415" s="717"/>
      <c r="E415" s="717"/>
      <c r="F415" s="717"/>
    </row>
    <row r="416" spans="1:7" ht="14.25">
      <c r="B416" s="668" t="s">
        <v>308</v>
      </c>
      <c r="C416" s="260"/>
      <c r="D416" s="1939" t="s">
        <v>1270</v>
      </c>
      <c r="E416" s="1939"/>
      <c r="F416" s="1939"/>
      <c r="G416" s="12"/>
    </row>
    <row r="417" spans="1:7">
      <c r="D417" s="1939"/>
      <c r="E417" s="1939"/>
      <c r="F417" s="1939"/>
      <c r="G417" s="12"/>
    </row>
    <row r="418" spans="1:7">
      <c r="D418" s="135"/>
      <c r="E418" s="135"/>
      <c r="F418" s="135"/>
      <c r="G418" s="12"/>
    </row>
    <row r="419" spans="1:7" ht="14.25">
      <c r="B419" s="668" t="s">
        <v>308</v>
      </c>
      <c r="C419" s="260"/>
      <c r="D419" s="1939" t="s">
        <v>1271</v>
      </c>
      <c r="E419" s="1939"/>
      <c r="F419" s="1939"/>
      <c r="G419" s="12"/>
    </row>
    <row r="420" spans="1:7">
      <c r="D420" s="1939"/>
      <c r="E420" s="1939"/>
      <c r="F420" s="1939"/>
      <c r="G420" s="12"/>
    </row>
    <row r="421" spans="1:7">
      <c r="D421" s="1939"/>
      <c r="E421" s="1939"/>
      <c r="F421" s="1939"/>
      <c r="G421" s="12"/>
    </row>
    <row r="422" spans="1:7">
      <c r="D422" s="1939"/>
      <c r="E422" s="1939"/>
      <c r="F422" s="1939"/>
      <c r="G422" s="12"/>
    </row>
    <row r="423" spans="1:7">
      <c r="B423" s="668" t="s">
        <v>308</v>
      </c>
      <c r="D423" s="1939"/>
      <c r="E423" s="1939"/>
      <c r="F423" s="1939"/>
      <c r="G423" s="12"/>
    </row>
    <row r="424" spans="1:7">
      <c r="A424" s="12"/>
      <c r="B424" s="12"/>
      <c r="C424" s="12"/>
      <c r="D424" s="1939"/>
      <c r="E424" s="1939"/>
      <c r="F424" s="1939"/>
      <c r="G424" s="12"/>
    </row>
    <row r="425" spans="1:7">
      <c r="A425" s="12"/>
      <c r="C425" s="12"/>
      <c r="D425" s="1939"/>
      <c r="E425" s="1939"/>
      <c r="F425" s="1939"/>
      <c r="G425" s="12"/>
    </row>
    <row r="426" spans="1:7">
      <c r="A426" s="12"/>
      <c r="B426" s="668" t="s">
        <v>308</v>
      </c>
      <c r="C426" s="12"/>
      <c r="D426" s="1939"/>
      <c r="E426" s="1939"/>
      <c r="F426" s="1939"/>
      <c r="G426" s="12"/>
    </row>
    <row r="427" spans="1:7">
      <c r="A427" s="12"/>
      <c r="B427" s="12"/>
      <c r="C427" s="12"/>
      <c r="D427" s="1939"/>
      <c r="E427" s="1939"/>
      <c r="F427" s="1939"/>
      <c r="G427" s="12"/>
    </row>
    <row r="428" spans="1:7">
      <c r="A428" s="12"/>
      <c r="C428" s="12"/>
      <c r="D428" s="1939"/>
      <c r="E428" s="1939"/>
      <c r="F428" s="1939"/>
      <c r="G428" s="12"/>
    </row>
    <row r="429" spans="1:7">
      <c r="A429" s="12"/>
      <c r="C429" s="12"/>
      <c r="D429" s="1939"/>
      <c r="E429" s="1939"/>
      <c r="F429" s="1939"/>
      <c r="G429" s="12"/>
    </row>
    <row r="430" spans="1:7">
      <c r="A430" s="12"/>
      <c r="B430" s="668" t="s">
        <v>308</v>
      </c>
      <c r="C430" s="12"/>
      <c r="D430" s="1939"/>
      <c r="E430" s="1939"/>
      <c r="F430" s="1939"/>
      <c r="G430" s="12"/>
    </row>
    <row r="431" spans="1:7">
      <c r="A431" s="12"/>
      <c r="B431" s="12"/>
      <c r="C431" s="12"/>
      <c r="D431" s="1939"/>
      <c r="E431" s="1939"/>
      <c r="F431" s="1939"/>
      <c r="G431" s="12"/>
    </row>
    <row r="432" spans="1:7">
      <c r="A432" s="12"/>
      <c r="B432" s="668" t="s">
        <v>308</v>
      </c>
      <c r="C432" s="12"/>
      <c r="D432" s="1939"/>
      <c r="E432" s="1939"/>
      <c r="F432" s="1939"/>
      <c r="G432" s="12"/>
    </row>
    <row r="433" spans="1:7" s="708" customFormat="1">
      <c r="D433" s="718"/>
      <c r="E433" s="718"/>
      <c r="F433" s="718"/>
    </row>
    <row r="434" spans="1:7">
      <c r="A434" s="12"/>
      <c r="B434" s="707" t="s">
        <v>308</v>
      </c>
      <c r="C434" s="12"/>
      <c r="D434" s="1939" t="s">
        <v>1272</v>
      </c>
      <c r="E434" s="1939"/>
      <c r="F434" s="1939"/>
      <c r="G434" s="12"/>
    </row>
    <row r="435" spans="1:7">
      <c r="A435" s="12"/>
      <c r="B435" s="12"/>
      <c r="C435" s="12"/>
      <c r="D435" s="1939"/>
      <c r="E435" s="1939"/>
      <c r="F435" s="1939"/>
      <c r="G435" s="12"/>
    </row>
    <row r="436" spans="1:7">
      <c r="A436" s="12"/>
      <c r="B436" s="12"/>
      <c r="C436" s="12"/>
      <c r="D436" s="1939"/>
      <c r="E436" s="1939"/>
      <c r="F436" s="1939"/>
      <c r="G436" s="12"/>
    </row>
    <row r="437" spans="1:7">
      <c r="A437" s="12"/>
      <c r="B437" s="12"/>
      <c r="C437" s="12"/>
      <c r="D437" s="1939"/>
      <c r="E437" s="1939"/>
      <c r="F437" s="1939"/>
      <c r="G437" s="12"/>
    </row>
    <row r="438" spans="1:7">
      <c r="D438" s="1939"/>
      <c r="E438" s="1939"/>
      <c r="F438" s="1939"/>
    </row>
    <row r="439" spans="1:7">
      <c r="D439" s="135"/>
      <c r="E439" s="135"/>
      <c r="F439" s="135"/>
    </row>
    <row r="440" spans="1:7">
      <c r="B440" s="668" t="s">
        <v>308</v>
      </c>
      <c r="D440" s="1950" t="s">
        <v>1273</v>
      </c>
      <c r="E440" s="1950"/>
      <c r="F440" s="1950"/>
    </row>
    <row r="441" spans="1:7">
      <c r="A441" s="135"/>
      <c r="B441" s="135"/>
    </row>
    <row r="442" spans="1:7">
      <c r="A442" s="1944" t="s">
        <v>1114</v>
      </c>
      <c r="B442" s="1944"/>
      <c r="C442" s="1944"/>
      <c r="D442" s="1944"/>
      <c r="E442" s="1944"/>
      <c r="F442" s="1944"/>
      <c r="G442" s="1944"/>
    </row>
    <row r="443" spans="1:7">
      <c r="A443" s="135"/>
      <c r="B443" s="135"/>
    </row>
    <row r="444" spans="1:7">
      <c r="D444" s="1995" t="s">
        <v>912</v>
      </c>
      <c r="E444" s="1995"/>
      <c r="F444" s="1995"/>
    </row>
    <row r="445" spans="1:7" s="39" customFormat="1" ht="14.25">
      <c r="A445" s="398"/>
      <c r="B445" s="398"/>
      <c r="C445" s="272"/>
      <c r="D445" s="1996" t="s">
        <v>1274</v>
      </c>
      <c r="E445" s="1996"/>
      <c r="F445" s="1996"/>
      <c r="G445" s="130"/>
    </row>
    <row r="446" spans="1:7" s="39" customFormat="1" ht="14.25">
      <c r="A446" s="398"/>
      <c r="B446" s="398"/>
      <c r="C446" s="272"/>
      <c r="D446" s="721"/>
      <c r="E446" s="6"/>
      <c r="F446" s="6"/>
      <c r="G446" s="130"/>
    </row>
    <row r="447" spans="1:7" s="39" customFormat="1" ht="14.25">
      <c r="A447" s="260"/>
      <c r="B447" s="668" t="s">
        <v>308</v>
      </c>
      <c r="C447" s="272"/>
      <c r="D447" s="1997" t="s">
        <v>1275</v>
      </c>
      <c r="E447" s="1997"/>
      <c r="F447" s="1997"/>
      <c r="G447" s="130"/>
    </row>
    <row r="448" spans="1:7" s="39" customFormat="1" ht="14.25">
      <c r="A448" s="260"/>
      <c r="B448" s="260"/>
      <c r="C448" s="272"/>
      <c r="D448" s="1997"/>
      <c r="E448" s="1997"/>
      <c r="F448" s="1997"/>
      <c r="G448" s="130"/>
    </row>
    <row r="449" spans="1:7" s="39" customFormat="1" ht="14.25">
      <c r="A449" s="260"/>
      <c r="B449" s="260"/>
      <c r="C449" s="272"/>
      <c r="D449" s="719"/>
      <c r="E449" s="6"/>
      <c r="F449" s="6"/>
      <c r="G449" s="130"/>
    </row>
    <row r="450" spans="1:7">
      <c r="B450" s="668" t="s">
        <v>308</v>
      </c>
      <c r="D450" s="1967" t="s">
        <v>1276</v>
      </c>
      <c r="E450" s="1967"/>
      <c r="F450" s="1967"/>
    </row>
    <row r="451" spans="1:7" ht="14.25">
      <c r="A451" s="260"/>
      <c r="D451" s="1967"/>
      <c r="E451" s="1967"/>
      <c r="F451" s="1967"/>
    </row>
    <row r="452" spans="1:7" ht="14.25">
      <c r="A452" s="260"/>
      <c r="B452" s="260"/>
      <c r="D452" s="1967"/>
      <c r="E452" s="1967"/>
      <c r="F452" s="1967"/>
    </row>
    <row r="453" spans="1:7" ht="14.25">
      <c r="A453" s="260"/>
      <c r="B453" s="260"/>
      <c r="D453" s="1967"/>
      <c r="E453" s="1967"/>
      <c r="F453" s="1967"/>
    </row>
    <row r="454" spans="1:7">
      <c r="D454" s="667"/>
      <c r="E454" s="667"/>
      <c r="F454" s="667"/>
      <c r="G454" s="12"/>
    </row>
    <row r="455" spans="1:7" ht="14.25">
      <c r="A455" s="260"/>
      <c r="B455" s="668" t="s">
        <v>308</v>
      </c>
      <c r="D455" s="1920" t="s">
        <v>1277</v>
      </c>
      <c r="E455" s="1920"/>
      <c r="F455" s="1920"/>
      <c r="G455" s="12"/>
    </row>
    <row r="456" spans="1:7" ht="14.25">
      <c r="A456" s="260"/>
      <c r="B456" s="260"/>
      <c r="D456" s="1920"/>
      <c r="E456" s="1920"/>
      <c r="F456" s="1920"/>
      <c r="G456" s="12"/>
    </row>
    <row r="457" spans="1:7" ht="14.25">
      <c r="A457" s="260"/>
      <c r="D457" s="1920"/>
      <c r="E457" s="1920"/>
      <c r="F457" s="1920"/>
      <c r="G457" s="12"/>
    </row>
    <row r="458" spans="1:7" ht="14.25">
      <c r="A458" s="260"/>
      <c r="B458" s="260"/>
      <c r="D458" s="667"/>
      <c r="E458" s="667"/>
      <c r="F458" s="667"/>
      <c r="G458" s="12"/>
    </row>
    <row r="459" spans="1:7" ht="14.25">
      <c r="A459" s="260"/>
      <c r="B459" s="707" t="s">
        <v>308</v>
      </c>
      <c r="D459" s="1943" t="s">
        <v>1278</v>
      </c>
      <c r="E459" s="1943"/>
      <c r="F459" s="1943"/>
      <c r="G459" s="12"/>
    </row>
    <row r="460" spans="1:7" ht="14.25">
      <c r="A460" s="260"/>
      <c r="B460" s="260"/>
      <c r="D460" s="719"/>
      <c r="E460" s="6"/>
      <c r="F460" s="6"/>
      <c r="G460" s="12"/>
    </row>
    <row r="461" spans="1:7" ht="14.25">
      <c r="A461" s="260"/>
      <c r="B461" s="668" t="s">
        <v>308</v>
      </c>
      <c r="D461" s="1917" t="s">
        <v>1279</v>
      </c>
      <c r="E461" s="1917"/>
      <c r="F461" s="1917"/>
      <c r="G461" s="12"/>
    </row>
    <row r="462" spans="1:7" ht="14.25">
      <c r="A462" s="260"/>
      <c r="D462" s="1917"/>
      <c r="E462" s="1917"/>
      <c r="F462" s="1917"/>
      <c r="G462" s="12"/>
    </row>
    <row r="463" spans="1:7">
      <c r="A463" s="23"/>
      <c r="B463" s="664"/>
      <c r="D463" s="722"/>
      <c r="E463" s="6"/>
      <c r="F463" s="6"/>
      <c r="G463" s="12"/>
    </row>
    <row r="464" spans="1:7">
      <c r="A464" s="23"/>
      <c r="B464" s="707" t="s">
        <v>308</v>
      </c>
      <c r="D464" s="1943" t="s">
        <v>1280</v>
      </c>
      <c r="E464" s="1943"/>
      <c r="F464" s="1943"/>
      <c r="G464" s="12"/>
    </row>
    <row r="465" spans="1:7" ht="14.25">
      <c r="A465" s="260"/>
      <c r="B465" s="260"/>
      <c r="D465" s="135"/>
    </row>
    <row r="466" spans="1:7">
      <c r="A466" s="1944" t="s">
        <v>1115</v>
      </c>
      <c r="B466" s="1944"/>
      <c r="C466" s="1944"/>
      <c r="D466" s="1944"/>
      <c r="E466" s="1944"/>
      <c r="F466" s="1944"/>
      <c r="G466" s="1944"/>
    </row>
    <row r="467" spans="1:7" customFormat="1" ht="12" customHeight="1">
      <c r="A467" s="260"/>
      <c r="B467" s="260"/>
      <c r="C467" s="10"/>
      <c r="D467" s="151"/>
      <c r="E467" s="149"/>
      <c r="F467" s="149"/>
      <c r="G467" s="149"/>
    </row>
    <row r="468" spans="1:7" customFormat="1">
      <c r="A468" s="272"/>
      <c r="B468" s="272"/>
      <c r="C468" s="311"/>
      <c r="D468" s="1998" t="s">
        <v>817</v>
      </c>
      <c r="E468" s="1998"/>
      <c r="F468" s="1998"/>
      <c r="G468" s="182"/>
    </row>
    <row r="469" spans="1:7" customFormat="1" ht="13.15" customHeight="1">
      <c r="A469" s="259"/>
      <c r="B469" s="259"/>
      <c r="C469" s="312"/>
      <c r="D469" s="1999" t="s">
        <v>1158</v>
      </c>
      <c r="E469" s="1999"/>
      <c r="F469" s="1999"/>
      <c r="G469" s="149"/>
    </row>
    <row r="470" spans="1:7" customFormat="1">
      <c r="A470" s="259"/>
      <c r="B470" s="259"/>
      <c r="C470" s="312"/>
      <c r="D470" s="1999"/>
      <c r="E470" s="1999"/>
      <c r="F470" s="1999"/>
      <c r="G470" s="149"/>
    </row>
    <row r="471" spans="1:7" customFormat="1">
      <c r="A471" s="259"/>
      <c r="B471" s="259"/>
      <c r="C471" s="312"/>
      <c r="D471" s="1999"/>
      <c r="E471" s="1999"/>
      <c r="F471" s="1999"/>
      <c r="G471" s="149"/>
    </row>
    <row r="472" spans="1:7" customFormat="1">
      <c r="A472" s="259"/>
      <c r="B472" s="259"/>
      <c r="C472" s="312"/>
      <c r="D472" s="1999"/>
      <c r="E472" s="1999"/>
      <c r="F472" s="1999"/>
      <c r="G472" s="149"/>
    </row>
    <row r="473" spans="1:7" customFormat="1">
      <c r="A473" s="259"/>
      <c r="B473" s="259"/>
      <c r="C473" s="312"/>
      <c r="D473" s="1999"/>
      <c r="E473" s="1999"/>
      <c r="F473" s="1999"/>
      <c r="G473" s="149"/>
    </row>
    <row r="474" spans="1:7" customFormat="1">
      <c r="A474" s="259"/>
      <c r="B474" s="259"/>
      <c r="C474" s="312"/>
      <c r="D474" s="466"/>
      <c r="E474" s="149"/>
      <c r="F474" s="151"/>
      <c r="G474" s="149"/>
    </row>
    <row r="475" spans="1:7" customFormat="1" ht="14.45" customHeight="1">
      <c r="A475" s="260"/>
      <c r="B475" s="668" t="s">
        <v>308</v>
      </c>
      <c r="C475" s="312"/>
      <c r="D475" s="1965" t="s">
        <v>1149</v>
      </c>
      <c r="E475" s="1965"/>
      <c r="F475" s="1965"/>
      <c r="G475" s="149"/>
    </row>
    <row r="476" spans="1:7" customFormat="1">
      <c r="A476" s="259"/>
      <c r="B476" s="259"/>
      <c r="C476" s="312"/>
      <c r="D476" s="1965"/>
      <c r="E476" s="1965"/>
      <c r="F476" s="1965"/>
      <c r="G476" s="149"/>
    </row>
    <row r="477" spans="1:7" s="669" customFormat="1">
      <c r="A477" s="259"/>
      <c r="B477" s="259"/>
      <c r="C477" s="312"/>
      <c r="D477" s="1965"/>
      <c r="E477" s="1965"/>
      <c r="F477" s="1965"/>
      <c r="G477" s="149"/>
    </row>
    <row r="478" spans="1:7" s="669" customFormat="1">
      <c r="A478" s="259"/>
      <c r="B478" s="259"/>
      <c r="C478" s="312"/>
      <c r="D478" s="1965"/>
      <c r="E478" s="1965"/>
      <c r="F478" s="1965"/>
      <c r="G478" s="149"/>
    </row>
    <row r="479" spans="1:7" customFormat="1">
      <c r="A479" s="259"/>
      <c r="B479" s="259"/>
      <c r="C479" s="312"/>
      <c r="D479" s="1965"/>
      <c r="E479" s="1965"/>
      <c r="F479" s="1965"/>
      <c r="G479" s="149"/>
    </row>
    <row r="480" spans="1:7" customFormat="1">
      <c r="A480" s="259"/>
      <c r="B480" s="259"/>
      <c r="C480" s="312"/>
      <c r="D480" s="438"/>
      <c r="E480" s="149"/>
      <c r="F480" s="151"/>
      <c r="G480" s="149"/>
    </row>
    <row r="481" spans="1:7" customFormat="1" ht="14.45" customHeight="1">
      <c r="A481" s="260"/>
      <c r="B481" s="668" t="s">
        <v>308</v>
      </c>
      <c r="C481" s="312"/>
      <c r="D481" s="1965" t="s">
        <v>1152</v>
      </c>
      <c r="E481" s="1965"/>
      <c r="F481" s="1965"/>
      <c r="G481" s="149"/>
    </row>
    <row r="482" spans="1:7" customFormat="1">
      <c r="A482" s="259"/>
      <c r="B482" s="259"/>
      <c r="C482" s="312"/>
      <c r="D482" s="1965"/>
      <c r="E482" s="1965"/>
      <c r="F482" s="1965"/>
      <c r="G482" s="149"/>
    </row>
    <row r="483" spans="1:7" s="669" customFormat="1">
      <c r="A483" s="259"/>
      <c r="B483" s="259"/>
      <c r="C483" s="312"/>
      <c r="D483" s="1965"/>
      <c r="E483" s="1965"/>
      <c r="F483" s="1965"/>
      <c r="G483" s="149"/>
    </row>
    <row r="484" spans="1:7" customFormat="1">
      <c r="A484" s="259"/>
      <c r="B484" s="259"/>
      <c r="C484" s="312"/>
      <c r="D484" s="1965"/>
      <c r="E484" s="1965"/>
      <c r="F484" s="1965"/>
      <c r="G484" s="149"/>
    </row>
    <row r="485" spans="1:7" customFormat="1" ht="9.9499999999999993" customHeight="1">
      <c r="A485" s="259"/>
      <c r="B485" s="259"/>
      <c r="C485" s="312"/>
      <c r="D485" s="438"/>
      <c r="E485" s="149"/>
      <c r="F485" s="151"/>
      <c r="G485" s="149"/>
    </row>
    <row r="486" spans="1:7" customFormat="1" ht="14.45" customHeight="1">
      <c r="A486" s="260"/>
      <c r="B486" s="668" t="s">
        <v>308</v>
      </c>
      <c r="C486" s="312"/>
      <c r="D486" s="1965" t="s">
        <v>1150</v>
      </c>
      <c r="E486" s="1965"/>
      <c r="F486" s="1965"/>
      <c r="G486" s="149"/>
    </row>
    <row r="487" spans="1:7" customFormat="1">
      <c r="A487" s="259"/>
      <c r="B487" s="259"/>
      <c r="C487" s="312"/>
      <c r="D487" s="1965"/>
      <c r="E487" s="1965"/>
      <c r="F487" s="1965"/>
      <c r="G487" s="149"/>
    </row>
    <row r="488" spans="1:7" customFormat="1">
      <c r="A488" s="259"/>
      <c r="B488" s="259"/>
      <c r="C488" s="312"/>
      <c r="D488" s="1965"/>
      <c r="E488" s="1965"/>
      <c r="F488" s="1965"/>
      <c r="G488" s="149"/>
    </row>
    <row r="489" spans="1:7" s="669" customFormat="1">
      <c r="A489" s="259"/>
      <c r="B489" s="259"/>
      <c r="C489" s="312"/>
      <c r="D489" s="689"/>
      <c r="E489" s="689"/>
      <c r="F489" s="689"/>
      <c r="G489" s="149"/>
    </row>
    <row r="490" spans="1:7" customFormat="1" ht="14.45" customHeight="1">
      <c r="A490" s="260"/>
      <c r="B490" s="668" t="s">
        <v>308</v>
      </c>
      <c r="C490" s="312"/>
      <c r="D490" s="1965" t="s">
        <v>1151</v>
      </c>
      <c r="E490" s="1965"/>
      <c r="F490" s="1965"/>
      <c r="G490" s="149"/>
    </row>
    <row r="491" spans="1:7" customFormat="1">
      <c r="A491" s="259"/>
      <c r="B491" s="259"/>
      <c r="C491" s="312"/>
      <c r="D491" s="1965"/>
      <c r="E491" s="1965"/>
      <c r="F491" s="1965"/>
      <c r="G491" s="149"/>
    </row>
    <row r="492" spans="1:7" customFormat="1">
      <c r="A492" s="259"/>
      <c r="B492" s="259"/>
      <c r="C492" s="312"/>
      <c r="D492" s="1965"/>
      <c r="E492" s="1965"/>
      <c r="F492" s="1965"/>
      <c r="G492" s="149"/>
    </row>
    <row r="493" spans="1:7" customFormat="1">
      <c r="A493" s="259"/>
      <c r="B493" s="259"/>
      <c r="C493" s="312"/>
      <c r="D493" s="1965"/>
      <c r="E493" s="1965"/>
      <c r="F493" s="1965"/>
      <c r="G493" s="149"/>
    </row>
    <row r="494" spans="1:7" customFormat="1">
      <c r="A494" s="259"/>
      <c r="B494" s="259"/>
      <c r="C494" s="312"/>
      <c r="D494" s="1965"/>
      <c r="E494" s="1965"/>
      <c r="F494" s="1965"/>
      <c r="G494" s="149"/>
    </row>
    <row r="495" spans="1:7" customFormat="1">
      <c r="A495" s="259"/>
      <c r="B495" s="259"/>
      <c r="C495" s="312"/>
      <c r="D495" s="1965"/>
      <c r="E495" s="1965"/>
      <c r="F495" s="1965"/>
      <c r="G495" s="149"/>
    </row>
    <row r="496" spans="1:7" customFormat="1">
      <c r="A496" s="259"/>
      <c r="B496" s="259"/>
      <c r="C496" s="312"/>
      <c r="D496" s="1965"/>
      <c r="E496" s="1965"/>
      <c r="F496" s="1965"/>
      <c r="G496" s="149"/>
    </row>
    <row r="497" spans="1:7" customFormat="1">
      <c r="A497" s="480"/>
      <c r="B497" s="480"/>
      <c r="C497" s="479"/>
      <c r="D497" s="1965"/>
      <c r="E497" s="1965"/>
      <c r="F497" s="1965"/>
      <c r="G497" s="149"/>
    </row>
    <row r="498" spans="1:7" customFormat="1">
      <c r="A498" s="480"/>
      <c r="B498" s="480"/>
      <c r="C498" s="479"/>
      <c r="D498" s="1965"/>
      <c r="E498" s="1965"/>
      <c r="F498" s="1965"/>
      <c r="G498" s="149"/>
    </row>
    <row r="499" spans="1:7" customFormat="1">
      <c r="A499" s="480"/>
      <c r="B499" s="480"/>
      <c r="C499" s="479"/>
      <c r="D499" s="438"/>
      <c r="E499" s="149"/>
      <c r="F499" s="151"/>
      <c r="G499" s="149"/>
    </row>
    <row r="500" spans="1:7" customFormat="1" ht="13.15" customHeight="1">
      <c r="A500" s="480"/>
      <c r="B500" s="668" t="s">
        <v>308</v>
      </c>
      <c r="C500" s="479"/>
      <c r="D500" s="1978" t="s">
        <v>1295</v>
      </c>
      <c r="E500" s="1978"/>
      <c r="F500" s="1978"/>
      <c r="G500" s="149"/>
    </row>
    <row r="501" spans="1:7" customFormat="1">
      <c r="A501" s="480"/>
      <c r="B501" s="480"/>
      <c r="C501" s="479"/>
      <c r="D501" s="1978"/>
      <c r="E501" s="1978"/>
      <c r="F501" s="1978"/>
      <c r="G501" s="149"/>
    </row>
    <row r="502" spans="1:7" customFormat="1">
      <c r="A502" s="480"/>
      <c r="B502" s="480"/>
      <c r="C502" s="479"/>
      <c r="D502" s="1978"/>
      <c r="E502" s="1978"/>
      <c r="F502" s="1978"/>
      <c r="G502" s="149"/>
    </row>
    <row r="503" spans="1:7" customFormat="1">
      <c r="A503" s="480"/>
      <c r="B503" s="480"/>
      <c r="C503" s="479"/>
      <c r="D503" s="1978"/>
      <c r="E503" s="1978"/>
      <c r="F503" s="1978"/>
      <c r="G503" s="149"/>
    </row>
    <row r="504" spans="1:7" customFormat="1">
      <c r="A504" s="259"/>
      <c r="B504" s="259"/>
      <c r="C504" s="312"/>
      <c r="D504" s="1978"/>
      <c r="E504" s="1978"/>
      <c r="F504" s="1978"/>
      <c r="G504" s="149"/>
    </row>
    <row r="505" spans="1:7" s="706" customFormat="1">
      <c r="A505" s="709"/>
      <c r="B505" s="709"/>
      <c r="C505" s="312"/>
      <c r="D505" s="730"/>
      <c r="E505" s="730"/>
      <c r="F505" s="730"/>
      <c r="G505" s="149"/>
    </row>
    <row r="506" spans="1:7" customFormat="1" ht="14.45" customHeight="1">
      <c r="A506" s="260"/>
      <c r="B506" s="668" t="s">
        <v>308</v>
      </c>
      <c r="C506" s="10"/>
      <c r="D506" s="1965" t="s">
        <v>1153</v>
      </c>
      <c r="E506" s="1965"/>
      <c r="F506" s="1965"/>
      <c r="G506" s="149"/>
    </row>
    <row r="507" spans="1:7" customFormat="1">
      <c r="A507" s="132"/>
      <c r="B507" s="665"/>
      <c r="C507" s="10"/>
      <c r="D507" s="1965"/>
      <c r="E507" s="1965"/>
      <c r="F507" s="1965"/>
      <c r="G507" s="149"/>
    </row>
    <row r="508" spans="1:7" customFormat="1">
      <c r="A508" s="132"/>
      <c r="B508" s="665"/>
      <c r="C508" s="10"/>
      <c r="D508" s="1965"/>
      <c r="E508" s="1965"/>
      <c r="F508" s="1965"/>
      <c r="G508" s="149"/>
    </row>
    <row r="509" spans="1:7" customFormat="1" ht="12" customHeight="1">
      <c r="A509" s="135"/>
      <c r="B509" s="135"/>
      <c r="C509" s="314"/>
      <c r="D509" s="135"/>
      <c r="E509" s="149"/>
      <c r="F509" s="313"/>
      <c r="G509" s="149"/>
    </row>
    <row r="510" spans="1:7">
      <c r="A510" s="1944" t="s">
        <v>1116</v>
      </c>
      <c r="B510" s="1944"/>
      <c r="C510" s="1944"/>
      <c r="D510" s="1944"/>
      <c r="E510" s="1944"/>
      <c r="F510" s="1944"/>
      <c r="G510" s="1944"/>
    </row>
    <row r="511" spans="1:7">
      <c r="A511" s="135"/>
      <c r="B511" s="135"/>
      <c r="C511" s="265"/>
      <c r="F511" s="134"/>
    </row>
    <row r="512" spans="1:7">
      <c r="B512" s="1940" t="s">
        <v>449</v>
      </c>
      <c r="C512" s="1940"/>
      <c r="D512" s="1940"/>
      <c r="E512" s="1940"/>
      <c r="F512" s="1940"/>
    </row>
    <row r="513" spans="1:7">
      <c r="A513" s="135"/>
      <c r="B513" s="135"/>
      <c r="C513" s="265"/>
      <c r="D513" s="135"/>
      <c r="F513" s="135"/>
    </row>
    <row r="514" spans="1:7">
      <c r="A514" s="1945" t="s">
        <v>1117</v>
      </c>
      <c r="B514" s="1945"/>
      <c r="C514" s="1945"/>
      <c r="D514" s="1945"/>
      <c r="E514" s="1945"/>
      <c r="F514" s="1945"/>
      <c r="G514" s="1945"/>
    </row>
    <row r="515" spans="1:7">
      <c r="A515" s="135"/>
      <c r="B515" s="135"/>
      <c r="C515" s="265"/>
      <c r="D515" s="135"/>
      <c r="F515" s="135"/>
    </row>
    <row r="516" spans="1:7">
      <c r="C516" s="265"/>
      <c r="D516" s="1942" t="s">
        <v>692</v>
      </c>
      <c r="E516" s="1942"/>
      <c r="F516" s="1942"/>
    </row>
    <row r="517" spans="1:7" s="671" customFormat="1">
      <c r="A517" s="688"/>
      <c r="B517" s="688"/>
      <c r="C517" s="265"/>
      <c r="D517" s="1943" t="s">
        <v>1174</v>
      </c>
      <c r="E517" s="1943"/>
      <c r="F517" s="1943"/>
      <c r="G517" s="7"/>
    </row>
    <row r="518" spans="1:7" s="671" customFormat="1">
      <c r="A518" s="688"/>
      <c r="B518" s="688"/>
      <c r="C518" s="265"/>
      <c r="D518" s="693"/>
      <c r="E518" s="693"/>
      <c r="F518" s="693"/>
      <c r="G518" s="7"/>
    </row>
    <row r="519" spans="1:7" ht="13.15" customHeight="1">
      <c r="A519" s="260"/>
      <c r="B519" s="668" t="s">
        <v>308</v>
      </c>
      <c r="C519" s="265"/>
      <c r="D519" s="1943" t="s">
        <v>913</v>
      </c>
      <c r="E519" s="1943"/>
      <c r="F519" s="1943"/>
      <c r="G519" s="12"/>
    </row>
    <row r="520" spans="1:7" ht="13.15" customHeight="1">
      <c r="A520" s="265"/>
      <c r="B520" s="265"/>
      <c r="C520" s="265"/>
      <c r="D520" s="693"/>
      <c r="E520" s="666"/>
      <c r="F520" s="666"/>
      <c r="G520" s="12"/>
    </row>
    <row r="521" spans="1:7" ht="14.25">
      <c r="A521" s="260"/>
      <c r="B521" s="668" t="s">
        <v>308</v>
      </c>
      <c r="C521" s="265"/>
      <c r="D521" s="1917" t="s">
        <v>1175</v>
      </c>
      <c r="E521" s="1917"/>
      <c r="F521" s="1917"/>
      <c r="G521" s="12"/>
    </row>
    <row r="522" spans="1:7">
      <c r="A522" s="265"/>
      <c r="B522" s="265"/>
      <c r="C522" s="265"/>
      <c r="D522" s="1917"/>
      <c r="E522" s="1917"/>
      <c r="F522" s="1917"/>
      <c r="G522" s="12"/>
    </row>
    <row r="523" spans="1:7">
      <c r="A523" s="265"/>
      <c r="B523" s="265"/>
      <c r="C523" s="265"/>
      <c r="D523" s="135"/>
      <c r="E523" s="135"/>
      <c r="F523" s="135"/>
      <c r="G523" s="12"/>
    </row>
    <row r="524" spans="1:7" ht="14.25">
      <c r="A524" s="260"/>
      <c r="B524" s="668" t="s">
        <v>308</v>
      </c>
      <c r="C524" s="265"/>
      <c r="D524" s="1917" t="s">
        <v>1176</v>
      </c>
      <c r="E524" s="1917"/>
      <c r="F524" s="1917"/>
      <c r="G524" s="12"/>
    </row>
    <row r="525" spans="1:7">
      <c r="A525" s="265"/>
      <c r="B525" s="265"/>
      <c r="C525" s="265"/>
      <c r="D525" s="1917"/>
      <c r="E525" s="1917"/>
      <c r="F525" s="1917"/>
      <c r="G525" s="12"/>
    </row>
    <row r="526" spans="1:7">
      <c r="A526" s="265"/>
      <c r="B526" s="265"/>
      <c r="C526" s="265"/>
      <c r="D526" s="135"/>
      <c r="E526" s="135"/>
      <c r="F526" s="135"/>
      <c r="G526" s="12"/>
    </row>
    <row r="527" spans="1:7" ht="14.25">
      <c r="A527" s="260"/>
      <c r="B527" s="668" t="s">
        <v>308</v>
      </c>
      <c r="C527" s="265"/>
      <c r="D527" s="1917" t="s">
        <v>1177</v>
      </c>
      <c r="E527" s="1917"/>
      <c r="F527" s="1917"/>
      <c r="G527" s="12"/>
    </row>
    <row r="528" spans="1:7">
      <c r="A528" s="265"/>
      <c r="B528" s="265"/>
      <c r="C528" s="265"/>
      <c r="D528" s="1917"/>
      <c r="E528" s="1917"/>
      <c r="F528" s="1917"/>
      <c r="G528" s="12"/>
    </row>
    <row r="529" spans="1:7">
      <c r="A529" s="265"/>
      <c r="B529" s="265"/>
      <c r="C529" s="265"/>
      <c r="D529" s="135"/>
      <c r="E529" s="135"/>
      <c r="F529" s="135"/>
      <c r="G529" s="12"/>
    </row>
    <row r="530" spans="1:7" ht="14.25">
      <c r="A530" s="260"/>
      <c r="B530" s="668" t="s">
        <v>308</v>
      </c>
      <c r="C530" s="265"/>
      <c r="D530" s="1917" t="s">
        <v>1178</v>
      </c>
      <c r="E530" s="1917"/>
      <c r="F530" s="1917"/>
      <c r="G530" s="12"/>
    </row>
    <row r="531" spans="1:7">
      <c r="A531" s="265"/>
      <c r="B531" s="265"/>
      <c r="C531" s="265"/>
      <c r="D531" s="1917"/>
      <c r="E531" s="1917"/>
      <c r="F531" s="1917"/>
      <c r="G531" s="12"/>
    </row>
    <row r="532" spans="1:7">
      <c r="A532" s="265"/>
      <c r="B532" s="265"/>
      <c r="C532" s="265"/>
      <c r="D532" s="1917"/>
      <c r="E532" s="1917"/>
      <c r="F532" s="1917"/>
      <c r="G532" s="12"/>
    </row>
    <row r="533" spans="1:7">
      <c r="A533" s="265"/>
      <c r="B533" s="265"/>
      <c r="C533" s="265"/>
      <c r="D533" s="135"/>
      <c r="E533" s="135"/>
      <c r="F533" s="135"/>
    </row>
    <row r="534" spans="1:7" ht="14.25">
      <c r="A534" s="260"/>
      <c r="B534" s="668" t="s">
        <v>308</v>
      </c>
      <c r="C534" s="265"/>
      <c r="D534" s="1941" t="s">
        <v>1296</v>
      </c>
      <c r="E534" s="1941"/>
      <c r="F534" s="1941"/>
    </row>
    <row r="535" spans="1:7">
      <c r="A535" s="265"/>
      <c r="B535" s="265"/>
      <c r="C535" s="265"/>
      <c r="D535" s="1941"/>
      <c r="E535" s="1941"/>
      <c r="F535" s="1941"/>
    </row>
    <row r="536" spans="1:7">
      <c r="A536" s="265"/>
      <c r="B536" s="265"/>
      <c r="C536" s="265"/>
      <c r="D536" s="135"/>
      <c r="E536" s="135"/>
      <c r="F536" s="135"/>
    </row>
    <row r="537" spans="1:7" ht="14.25">
      <c r="A537" s="260"/>
      <c r="B537" s="668" t="s">
        <v>308</v>
      </c>
      <c r="C537" s="265"/>
      <c r="D537" s="1941" t="s">
        <v>1179</v>
      </c>
      <c r="E537" s="1941"/>
      <c r="F537" s="1941"/>
    </row>
    <row r="538" spans="1:7">
      <c r="A538" s="265"/>
      <c r="B538" s="265"/>
      <c r="C538" s="265"/>
      <c r="D538" s="1941"/>
      <c r="E538" s="1941"/>
      <c r="F538" s="1941"/>
    </row>
    <row r="539" spans="1:7">
      <c r="A539" s="265"/>
      <c r="B539" s="265"/>
      <c r="C539" s="265"/>
      <c r="D539" s="135"/>
      <c r="E539" s="135"/>
      <c r="F539" s="135"/>
    </row>
    <row r="540" spans="1:7" ht="14.25">
      <c r="A540" s="260"/>
      <c r="B540" s="668" t="s">
        <v>308</v>
      </c>
      <c r="C540" s="265"/>
      <c r="D540" s="1917" t="s">
        <v>1180</v>
      </c>
      <c r="E540" s="1917"/>
      <c r="F540" s="1917"/>
    </row>
    <row r="541" spans="1:7">
      <c r="A541" s="265"/>
      <c r="B541" s="265"/>
      <c r="C541" s="265"/>
      <c r="D541" s="1917"/>
      <c r="E541" s="1917"/>
      <c r="F541" s="1917"/>
      <c r="G541" s="57"/>
    </row>
    <row r="542" spans="1:7">
      <c r="A542" s="265"/>
      <c r="B542" s="265"/>
      <c r="C542" s="265"/>
      <c r="D542" s="135"/>
      <c r="E542" s="135"/>
      <c r="F542" s="135"/>
      <c r="G542" s="57"/>
    </row>
    <row r="543" spans="1:7" ht="14.25">
      <c r="A543" s="260"/>
      <c r="B543" s="668" t="s">
        <v>308</v>
      </c>
      <c r="C543" s="265"/>
      <c r="D543" s="1943" t="s">
        <v>1181</v>
      </c>
      <c r="E543" s="1943"/>
      <c r="F543" s="1943"/>
      <c r="G543" s="57"/>
    </row>
    <row r="544" spans="1:7">
      <c r="A544" s="23"/>
      <c r="B544" s="664"/>
      <c r="C544" s="265"/>
      <c r="D544" s="1943" t="s">
        <v>846</v>
      </c>
      <c r="E544" s="1943"/>
      <c r="F544" s="1943"/>
      <c r="G544" s="57"/>
    </row>
    <row r="545" spans="1:7">
      <c r="A545" s="23"/>
      <c r="B545" s="664"/>
      <c r="C545" s="265"/>
      <c r="D545" s="6"/>
      <c r="E545" s="1948" t="s">
        <v>1182</v>
      </c>
      <c r="F545" s="1948"/>
      <c r="G545" s="57"/>
    </row>
    <row r="546" spans="1:7" ht="14.25">
      <c r="A546" s="260"/>
      <c r="B546" s="260"/>
      <c r="C546" s="265"/>
      <c r="E546" s="135"/>
      <c r="F546" s="135"/>
      <c r="G546" s="57"/>
    </row>
    <row r="547" spans="1:7" ht="14.25">
      <c r="A547" s="260"/>
      <c r="B547" s="668" t="s">
        <v>308</v>
      </c>
      <c r="C547" s="265"/>
      <c r="D547" s="1949" t="s">
        <v>1183</v>
      </c>
      <c r="E547" s="1949"/>
      <c r="F547" s="1949"/>
      <c r="G547" s="57"/>
    </row>
    <row r="548" spans="1:7">
      <c r="C548" s="265"/>
      <c r="D548" s="1917" t="s">
        <v>1184</v>
      </c>
      <c r="E548" s="1917"/>
      <c r="F548" s="1917"/>
      <c r="G548" s="57"/>
    </row>
    <row r="549" spans="1:7">
      <c r="A549" s="265"/>
      <c r="B549" s="265"/>
      <c r="C549" s="265"/>
      <c r="D549" s="1917"/>
      <c r="E549" s="1917"/>
      <c r="F549" s="1917"/>
      <c r="G549" s="57"/>
    </row>
    <row r="550" spans="1:7">
      <c r="A550" s="265"/>
      <c r="B550" s="265"/>
      <c r="C550" s="265"/>
      <c r="D550" s="1917"/>
      <c r="E550" s="1917"/>
      <c r="F550" s="1917"/>
      <c r="G550" s="57"/>
    </row>
    <row r="551" spans="1:7">
      <c r="A551" s="265"/>
      <c r="B551" s="265"/>
      <c r="C551" s="265"/>
      <c r="D551" s="135"/>
      <c r="E551" s="135"/>
      <c r="F551" s="135"/>
      <c r="G551" s="57"/>
    </row>
    <row r="552" spans="1:7" ht="14.25">
      <c r="A552" s="260"/>
      <c r="B552" s="668" t="s">
        <v>308</v>
      </c>
      <c r="C552" s="265"/>
      <c r="D552" s="1917" t="s">
        <v>1185</v>
      </c>
      <c r="E552" s="1917"/>
      <c r="F552" s="1917"/>
      <c r="G552" s="57"/>
    </row>
    <row r="553" spans="1:7" ht="14.25">
      <c r="A553" s="260"/>
      <c r="B553" s="260"/>
      <c r="C553" s="265"/>
      <c r="D553" s="1917"/>
      <c r="E553" s="1917"/>
      <c r="F553" s="1917"/>
      <c r="G553" s="57"/>
    </row>
    <row r="554" spans="1:7" ht="14.25">
      <c r="A554" s="260"/>
      <c r="B554" s="260"/>
      <c r="C554" s="265"/>
      <c r="D554" s="1917"/>
      <c r="E554" s="1917"/>
      <c r="F554" s="1917"/>
      <c r="G554" s="57"/>
    </row>
    <row r="555" spans="1:7" ht="14.25">
      <c r="A555" s="260"/>
      <c r="B555" s="260"/>
      <c r="C555" s="265"/>
      <c r="D555" s="1917"/>
      <c r="E555" s="1917"/>
      <c r="F555" s="1917"/>
      <c r="G555" s="57"/>
    </row>
    <row r="556" spans="1:7" ht="14.25">
      <c r="A556" s="260"/>
      <c r="B556" s="260"/>
      <c r="C556" s="265"/>
      <c r="D556" s="135"/>
      <c r="E556" s="135"/>
      <c r="F556" s="135"/>
      <c r="G556" s="57"/>
    </row>
    <row r="557" spans="1:7">
      <c r="A557" s="1944" t="s">
        <v>1118</v>
      </c>
      <c r="B557" s="1944"/>
      <c r="C557" s="1944"/>
      <c r="D557" s="1944"/>
      <c r="E557" s="1944"/>
      <c r="F557" s="1944"/>
      <c r="G557" s="1944"/>
    </row>
    <row r="558" spans="1:7">
      <c r="A558" s="265"/>
      <c r="B558" s="265"/>
      <c r="C558" s="265"/>
      <c r="E558" s="135"/>
      <c r="F558" s="135"/>
      <c r="G558" s="57"/>
    </row>
    <row r="559" spans="1:7" ht="12.75" customHeight="1">
      <c r="C559" s="254"/>
      <c r="D559" s="1960" t="s">
        <v>211</v>
      </c>
      <c r="E559" s="1960"/>
      <c r="F559" s="1960"/>
      <c r="G559" s="57"/>
    </row>
    <row r="560" spans="1:7">
      <c r="A560" s="259"/>
      <c r="B560" s="259"/>
      <c r="C560" s="259"/>
      <c r="D560" s="1966" t="s">
        <v>1134</v>
      </c>
      <c r="E560" s="1966"/>
      <c r="F560" s="1966"/>
      <c r="G560" s="57"/>
    </row>
    <row r="561" spans="1:7">
      <c r="A561" s="12"/>
      <c r="B561" s="12"/>
      <c r="C561" s="259"/>
      <c r="D561" s="372"/>
      <c r="G561" s="57"/>
    </row>
    <row r="562" spans="1:7">
      <c r="A562" s="259"/>
      <c r="B562" s="668" t="s">
        <v>308</v>
      </c>
      <c r="D562" s="1966" t="s">
        <v>919</v>
      </c>
      <c r="E562" s="1966"/>
      <c r="F562" s="1966"/>
      <c r="G562" s="57"/>
    </row>
    <row r="563" spans="1:7">
      <c r="A563" s="23"/>
      <c r="B563" s="664"/>
      <c r="D563" s="324"/>
    </row>
    <row r="564" spans="1:7">
      <c r="A564" s="23"/>
      <c r="B564" s="668" t="s">
        <v>308</v>
      </c>
      <c r="D564" s="1967" t="s">
        <v>1135</v>
      </c>
      <c r="E564" s="1967"/>
      <c r="F564" s="1967"/>
    </row>
    <row r="565" spans="1:7">
      <c r="A565" s="23"/>
      <c r="B565" s="664"/>
      <c r="D565" s="1967"/>
      <c r="E565" s="1967"/>
      <c r="F565" s="1967"/>
    </row>
    <row r="566" spans="1:7">
      <c r="A566" s="23"/>
      <c r="B566" s="677"/>
      <c r="D566" s="1967"/>
      <c r="E566" s="1967"/>
      <c r="F566" s="1967"/>
    </row>
    <row r="567" spans="1:7">
      <c r="A567" s="23"/>
      <c r="B567" s="664"/>
      <c r="D567" s="471"/>
    </row>
    <row r="568" spans="1:7" s="671" customFormat="1">
      <c r="A568" s="677"/>
      <c r="B568" s="668" t="s">
        <v>308</v>
      </c>
      <c r="C568" s="678"/>
      <c r="D568" s="1967" t="s">
        <v>1136</v>
      </c>
      <c r="E568" s="1967"/>
      <c r="F568" s="1967"/>
      <c r="G568" s="7"/>
    </row>
    <row r="569" spans="1:7" s="671" customFormat="1">
      <c r="A569" s="677"/>
      <c r="B569" s="677"/>
      <c r="C569" s="678"/>
      <c r="D569" s="1967"/>
      <c r="E569" s="1967"/>
      <c r="F569" s="1967"/>
      <c r="G569" s="7"/>
    </row>
    <row r="570" spans="1:7" s="671" customFormat="1">
      <c r="A570" s="677"/>
      <c r="B570" s="677"/>
      <c r="C570" s="678"/>
      <c r="D570" s="1967"/>
      <c r="E570" s="1967"/>
      <c r="F570" s="1967"/>
      <c r="G570" s="7"/>
    </row>
    <row r="571" spans="1:7" s="671" customFormat="1">
      <c r="A571" s="677"/>
      <c r="B571" s="677"/>
      <c r="C571" s="678"/>
      <c r="D571" s="1967"/>
      <c r="E571" s="1967"/>
      <c r="F571" s="1967"/>
      <c r="G571" s="7"/>
    </row>
    <row r="572" spans="1:7" s="671" customFormat="1">
      <c r="A572" s="677"/>
      <c r="B572" s="677"/>
      <c r="C572" s="678"/>
      <c r="D572" s="683"/>
      <c r="E572" s="683"/>
      <c r="F572" s="683"/>
      <c r="G572" s="7"/>
    </row>
    <row r="573" spans="1:7">
      <c r="A573" s="23"/>
      <c r="B573" s="668" t="s">
        <v>308</v>
      </c>
      <c r="D573" s="1967" t="s">
        <v>1137</v>
      </c>
      <c r="E573" s="1967"/>
      <c r="F573" s="1967"/>
    </row>
    <row r="574" spans="1:7">
      <c r="A574" s="23"/>
      <c r="B574" s="664"/>
      <c r="D574" s="1967"/>
      <c r="E574" s="1967"/>
      <c r="F574" s="1967"/>
    </row>
    <row r="575" spans="1:7">
      <c r="A575" s="23"/>
      <c r="B575" s="664"/>
      <c r="D575" s="372"/>
    </row>
    <row r="576" spans="1:7" s="671" customFormat="1">
      <c r="A576" s="677"/>
      <c r="B576" s="668" t="s">
        <v>308</v>
      </c>
      <c r="C576" s="678"/>
      <c r="D576" s="1966" t="s">
        <v>1138</v>
      </c>
      <c r="E576" s="1966"/>
      <c r="F576" s="1966"/>
      <c r="G576" s="7"/>
    </row>
    <row r="577" spans="1:7" s="671" customFormat="1">
      <c r="A577" s="677"/>
      <c r="B577" s="677"/>
      <c r="C577" s="678"/>
      <c r="D577" s="1966"/>
      <c r="E577" s="1966"/>
      <c r="F577" s="1966"/>
      <c r="G577" s="7"/>
    </row>
    <row r="578" spans="1:7" s="671" customFormat="1">
      <c r="A578" s="677"/>
      <c r="B578" s="677"/>
      <c r="C578" s="678"/>
      <c r="D578" s="372"/>
      <c r="E578" s="7"/>
      <c r="F578" s="7"/>
      <c r="G578" s="7"/>
    </row>
    <row r="579" spans="1:7" ht="14.25">
      <c r="A579" s="260"/>
      <c r="B579" s="668" t="s">
        <v>308</v>
      </c>
      <c r="D579" s="1966" t="s">
        <v>914</v>
      </c>
      <c r="E579" s="1966"/>
      <c r="F579" s="1966"/>
    </row>
    <row r="580" spans="1:7" ht="14.25">
      <c r="A580" s="260"/>
      <c r="B580" s="260"/>
      <c r="D580" s="372"/>
    </row>
    <row r="581" spans="1:7" ht="14.25">
      <c r="A581" s="260"/>
      <c r="B581" s="668" t="s">
        <v>308</v>
      </c>
      <c r="D581" s="1966" t="s">
        <v>1139</v>
      </c>
      <c r="E581" s="1966"/>
      <c r="F581" s="1966"/>
    </row>
    <row r="582" spans="1:7" ht="14.25">
      <c r="A582" s="260"/>
      <c r="B582" s="260"/>
      <c r="D582" s="1966"/>
      <c r="E582" s="1966"/>
      <c r="F582" s="1966"/>
    </row>
    <row r="583" spans="1:7">
      <c r="D583" s="1966"/>
      <c r="E583" s="1966"/>
      <c r="F583" s="1966"/>
    </row>
    <row r="584" spans="1:7">
      <c r="D584" s="1966"/>
      <c r="E584" s="1966"/>
      <c r="F584" s="1966"/>
    </row>
    <row r="585" spans="1:7" s="671" customFormat="1">
      <c r="A585" s="678"/>
      <c r="B585" s="678"/>
      <c r="C585" s="678"/>
      <c r="D585" s="1966"/>
      <c r="E585" s="1966"/>
      <c r="F585" s="1966"/>
      <c r="G585" s="7"/>
    </row>
    <row r="586" spans="1:7" s="671" customFormat="1">
      <c r="A586" s="678"/>
      <c r="B586" s="678"/>
      <c r="C586" s="678"/>
      <c r="D586" s="1966"/>
      <c r="E586" s="1966"/>
      <c r="F586" s="1966"/>
      <c r="G586" s="7"/>
    </row>
    <row r="587" spans="1:7"/>
    <row r="588" spans="1:7">
      <c r="A588" s="1944" t="s">
        <v>1119</v>
      </c>
      <c r="B588" s="1944"/>
      <c r="C588" s="1944"/>
      <c r="D588" s="1944"/>
      <c r="E588" s="1944"/>
      <c r="F588" s="1944"/>
      <c r="G588" s="1944"/>
    </row>
    <row r="589" spans="1:7"/>
    <row r="590" spans="1:7">
      <c r="D590" s="1934" t="s">
        <v>1219</v>
      </c>
      <c r="E590" s="1934"/>
      <c r="F590" s="1934"/>
    </row>
    <row r="591" spans="1:7">
      <c r="D591" s="1935" t="s">
        <v>1220</v>
      </c>
      <c r="E591" s="1935"/>
      <c r="F591" s="1935"/>
    </row>
    <row r="592" spans="1:7" s="708" customFormat="1">
      <c r="A592" s="694"/>
      <c r="B592" s="694"/>
      <c r="C592" s="694"/>
      <c r="D592" s="712"/>
      <c r="E592" s="711"/>
      <c r="F592" s="711"/>
      <c r="G592" s="7"/>
    </row>
    <row r="593" spans="1:7" s="39" customFormat="1" ht="14.25">
      <c r="A593" s="398"/>
      <c r="B593" s="668" t="s">
        <v>308</v>
      </c>
      <c r="C593" s="272"/>
      <c r="D593" s="1936" t="s">
        <v>1221</v>
      </c>
      <c r="E593" s="1936"/>
      <c r="F593" s="1936"/>
      <c r="G593" s="130"/>
    </row>
    <row r="594" spans="1:7">
      <c r="D594" s="1936"/>
      <c r="E594" s="1936"/>
      <c r="F594" s="1936"/>
    </row>
    <row r="595" spans="1:7">
      <c r="D595" s="1936"/>
      <c r="E595" s="1936"/>
      <c r="F595" s="1936"/>
    </row>
    <row r="596" spans="1:7"/>
    <row r="597" spans="1:7">
      <c r="A597" s="1944" t="s">
        <v>1120</v>
      </c>
      <c r="B597" s="1944"/>
      <c r="C597" s="1944"/>
      <c r="D597" s="1944"/>
      <c r="E597" s="1944"/>
      <c r="F597" s="1944"/>
      <c r="G597" s="1944"/>
    </row>
    <row r="598" spans="1:7">
      <c r="A598" s="135"/>
      <c r="B598" s="135"/>
      <c r="G598" s="57"/>
    </row>
    <row r="599" spans="1:7">
      <c r="A599" s="256"/>
      <c r="B599" s="663"/>
      <c r="C599" s="254"/>
      <c r="D599" s="1937" t="s">
        <v>1222</v>
      </c>
      <c r="E599" s="1937"/>
      <c r="F599" s="1937"/>
      <c r="G599" s="57"/>
    </row>
    <row r="600" spans="1:7">
      <c r="A600" s="256"/>
      <c r="B600" s="663"/>
      <c r="C600" s="254"/>
      <c r="D600" s="1937"/>
      <c r="E600" s="1937"/>
      <c r="F600" s="1937"/>
      <c r="G600" s="57"/>
    </row>
    <row r="601" spans="1:7">
      <c r="C601" s="259"/>
      <c r="D601" s="1935" t="s">
        <v>1223</v>
      </c>
      <c r="E601" s="1935"/>
      <c r="F601" s="1935"/>
      <c r="G601" s="57"/>
    </row>
    <row r="602" spans="1:7" s="708" customFormat="1">
      <c r="A602" s="694"/>
      <c r="B602" s="694"/>
      <c r="C602" s="709"/>
      <c r="D602" s="713"/>
      <c r="E602" s="713"/>
      <c r="F602" s="713"/>
      <c r="G602" s="57"/>
    </row>
    <row r="603" spans="1:7">
      <c r="A603" s="23"/>
      <c r="B603" s="668" t="s">
        <v>308</v>
      </c>
      <c r="D603" s="1935" t="s">
        <v>433</v>
      </c>
      <c r="E603" s="1935"/>
      <c r="F603" s="1935"/>
      <c r="G603" s="57"/>
    </row>
    <row r="604" spans="1:7">
      <c r="C604" s="267"/>
      <c r="E604" s="12"/>
      <c r="G604" s="57"/>
    </row>
    <row r="605" spans="1:7">
      <c r="A605" s="23"/>
      <c r="B605" s="668" t="s">
        <v>308</v>
      </c>
      <c r="D605" s="1938" t="s">
        <v>1224</v>
      </c>
      <c r="E605" s="1938"/>
      <c r="F605" s="1938"/>
      <c r="G605" s="57"/>
    </row>
    <row r="606" spans="1:7">
      <c r="D606" s="1938"/>
      <c r="E606" s="1938"/>
      <c r="F606" s="1938"/>
      <c r="G606" s="57"/>
    </row>
    <row r="607" spans="1:7">
      <c r="D607" s="12"/>
      <c r="G607" s="57"/>
    </row>
    <row r="608" spans="1:7">
      <c r="B608" s="668" t="s">
        <v>308</v>
      </c>
      <c r="D608" s="1938" t="s">
        <v>1225</v>
      </c>
      <c r="E608" s="1938"/>
      <c r="F608" s="1938"/>
      <c r="G608" s="57"/>
    </row>
    <row r="609" spans="1:7">
      <c r="C609" s="267"/>
      <c r="D609" s="1938"/>
      <c r="E609" s="1938"/>
      <c r="F609" s="1938"/>
      <c r="G609" s="57"/>
    </row>
    <row r="610" spans="1:7">
      <c r="C610" s="267"/>
      <c r="G610" s="57"/>
    </row>
    <row r="611" spans="1:7">
      <c r="B611" s="668" t="s">
        <v>308</v>
      </c>
      <c r="C611" s="267"/>
      <c r="D611" s="1938" t="s">
        <v>1226</v>
      </c>
      <c r="E611" s="1938"/>
      <c r="F611" s="1938"/>
      <c r="G611" s="57"/>
    </row>
    <row r="612" spans="1:7">
      <c r="C612" s="267"/>
      <c r="D612" s="1938"/>
      <c r="E612" s="1938"/>
      <c r="F612" s="1938"/>
      <c r="G612" s="57"/>
    </row>
    <row r="613" spans="1:7">
      <c r="C613" s="267"/>
      <c r="G613" s="57"/>
    </row>
    <row r="614" spans="1:7">
      <c r="A614" s="1944" t="s">
        <v>1121</v>
      </c>
      <c r="B614" s="1944"/>
      <c r="C614" s="1944"/>
      <c r="D614" s="1944"/>
      <c r="E614" s="1944"/>
      <c r="F614" s="1944"/>
      <c r="G614" s="1944"/>
    </row>
    <row r="615" spans="1:7">
      <c r="A615" s="266"/>
      <c r="B615" s="266"/>
      <c r="C615" s="266"/>
      <c r="G615" s="57"/>
    </row>
    <row r="616" spans="1:7">
      <c r="C616" s="23"/>
      <c r="D616" s="1934" t="s">
        <v>1227</v>
      </c>
      <c r="E616" s="1934"/>
      <c r="F616" s="1934"/>
      <c r="G616" s="57"/>
    </row>
    <row r="617" spans="1:7">
      <c r="A617" s="23"/>
      <c r="B617" s="664"/>
      <c r="C617" s="264"/>
      <c r="D617" s="50"/>
      <c r="G617" s="57"/>
    </row>
    <row r="618" spans="1:7" ht="14.25">
      <c r="A618" s="260"/>
      <c r="B618" s="668" t="s">
        <v>308</v>
      </c>
      <c r="C618" s="264"/>
      <c r="D618" s="1979" t="s">
        <v>1228</v>
      </c>
      <c r="E618" s="1979"/>
      <c r="F618" s="1979"/>
      <c r="G618" s="57"/>
    </row>
    <row r="619" spans="1:7">
      <c r="C619" s="264"/>
      <c r="D619" s="1979"/>
      <c r="E619" s="1979"/>
      <c r="F619" s="1979"/>
      <c r="G619" s="57"/>
    </row>
    <row r="620" spans="1:7">
      <c r="C620" s="264"/>
      <c r="D620" s="1979"/>
      <c r="E620" s="1979"/>
      <c r="F620" s="1979"/>
      <c r="G620" s="57"/>
    </row>
    <row r="621" spans="1:7">
      <c r="C621" s="264"/>
      <c r="D621" s="1979"/>
      <c r="E621" s="1979"/>
      <c r="F621" s="1979"/>
      <c r="G621" s="57"/>
    </row>
    <row r="622" spans="1:7">
      <c r="C622" s="264"/>
      <c r="D622" s="1979"/>
      <c r="E622" s="1979"/>
      <c r="F622" s="1979"/>
      <c r="G622" s="57"/>
    </row>
    <row r="623" spans="1:7">
      <c r="C623" s="264"/>
      <c r="D623" s="1979"/>
      <c r="E623" s="1979"/>
      <c r="F623" s="1979"/>
      <c r="G623" s="57"/>
    </row>
    <row r="624" spans="1:7" s="708" customFormat="1">
      <c r="A624" s="694"/>
      <c r="B624" s="694"/>
      <c r="C624" s="264"/>
      <c r="D624" s="714"/>
      <c r="E624" s="714"/>
      <c r="F624" s="714"/>
      <c r="G624" s="57"/>
    </row>
    <row r="625" spans="1:7" ht="14.25">
      <c r="A625" s="260"/>
      <c r="B625" s="668" t="s">
        <v>308</v>
      </c>
      <c r="C625" s="264"/>
      <c r="D625" s="1979" t="s">
        <v>1229</v>
      </c>
      <c r="E625" s="1979"/>
      <c r="F625" s="1979"/>
      <c r="G625" s="57"/>
    </row>
    <row r="626" spans="1:7">
      <c r="A626" s="265"/>
      <c r="B626" s="265"/>
      <c r="C626" s="265"/>
      <c r="D626" s="1979"/>
      <c r="E626" s="1979"/>
      <c r="F626" s="1979"/>
      <c r="G626" s="57"/>
    </row>
    <row r="627" spans="1:7">
      <c r="A627" s="265"/>
      <c r="B627" s="265"/>
      <c r="C627" s="265"/>
      <c r="D627" s="151"/>
      <c r="E627" s="147"/>
      <c r="F627" s="147"/>
      <c r="G627" s="57"/>
    </row>
    <row r="628" spans="1:7" ht="14.25">
      <c r="A628" s="260"/>
      <c r="B628" s="668" t="s">
        <v>308</v>
      </c>
      <c r="C628" s="265"/>
      <c r="D628" s="1936" t="s">
        <v>1230</v>
      </c>
      <c r="E628" s="1936"/>
      <c r="F628" s="1936"/>
      <c r="G628" s="57"/>
    </row>
    <row r="629" spans="1:7" ht="14.25">
      <c r="A629" s="260"/>
      <c r="B629" s="260"/>
      <c r="C629" s="265"/>
      <c r="D629" s="1936"/>
      <c r="E629" s="1936"/>
      <c r="F629" s="1936"/>
      <c r="G629" s="57"/>
    </row>
    <row r="630" spans="1:7" ht="14.25">
      <c r="A630" s="260"/>
      <c r="B630" s="260"/>
      <c r="C630" s="265"/>
      <c r="D630" s="1936"/>
      <c r="E630" s="1936"/>
      <c r="F630" s="1936"/>
      <c r="G630" s="57"/>
    </row>
    <row r="631" spans="1:7">
      <c r="A631" s="265"/>
      <c r="B631" s="265"/>
      <c r="C631" s="265"/>
      <c r="D631" s="1936"/>
      <c r="E631" s="1936"/>
      <c r="F631" s="1936"/>
      <c r="G631" s="57"/>
    </row>
    <row r="632" spans="1:7" s="708" customFormat="1">
      <c r="A632" s="265"/>
      <c r="B632" s="265"/>
      <c r="C632" s="265"/>
      <c r="D632" s="715"/>
      <c r="E632" s="715"/>
      <c r="F632" s="715"/>
      <c r="G632" s="57"/>
    </row>
    <row r="633" spans="1:7">
      <c r="A633" s="265"/>
      <c r="B633" s="668" t="s">
        <v>308</v>
      </c>
      <c r="C633" s="265"/>
      <c r="D633" s="1984" t="s">
        <v>1231</v>
      </c>
      <c r="E633" s="1984"/>
      <c r="F633" s="1984"/>
      <c r="G633" s="57"/>
    </row>
    <row r="634" spans="1:7">
      <c r="A634" s="265"/>
      <c r="B634" s="265"/>
      <c r="C634" s="265"/>
      <c r="D634" s="716"/>
      <c r="E634" s="716"/>
      <c r="F634" s="716"/>
      <c r="G634" s="57"/>
    </row>
    <row r="635" spans="1:7">
      <c r="A635" s="1944" t="s">
        <v>1122</v>
      </c>
      <c r="B635" s="1944"/>
      <c r="C635" s="1944"/>
      <c r="D635" s="1944"/>
      <c r="E635" s="1944"/>
      <c r="F635" s="1944"/>
      <c r="G635" s="1944"/>
    </row>
    <row r="636" spans="1:7">
      <c r="A636" s="135"/>
      <c r="B636" s="135"/>
      <c r="C636" s="265"/>
      <c r="D636" s="147"/>
      <c r="E636" s="147"/>
      <c r="F636" s="147"/>
      <c r="G636" s="57"/>
    </row>
    <row r="637" spans="1:7">
      <c r="C637" s="266"/>
      <c r="D637" s="1985" t="s">
        <v>1281</v>
      </c>
      <c r="E637" s="1985"/>
      <c r="F637" s="1985"/>
      <c r="G637" s="57"/>
    </row>
    <row r="638" spans="1:7">
      <c r="A638" s="259"/>
      <c r="B638" s="259"/>
      <c r="C638" s="259"/>
      <c r="D638" s="1986" t="s">
        <v>1282</v>
      </c>
      <c r="E638" s="1986"/>
      <c r="F638" s="1986"/>
      <c r="G638" s="57"/>
    </row>
    <row r="639" spans="1:7" s="708" customFormat="1">
      <c r="A639" s="709"/>
      <c r="B639" s="709"/>
      <c r="C639" s="709"/>
      <c r="D639" s="723"/>
      <c r="E639" s="723"/>
      <c r="F639" s="723"/>
      <c r="G639" s="57"/>
    </row>
    <row r="640" spans="1:7" ht="14.45" customHeight="1">
      <c r="A640" s="260"/>
      <c r="B640" s="668" t="s">
        <v>308</v>
      </c>
      <c r="C640" s="265"/>
      <c r="D640" s="1932" t="s">
        <v>1283</v>
      </c>
      <c r="E640" s="1932"/>
      <c r="F640" s="1932"/>
      <c r="G640" s="57"/>
    </row>
    <row r="641" spans="1:11" ht="14.25">
      <c r="A641" s="260"/>
      <c r="B641" s="260"/>
      <c r="C641" s="265"/>
      <c r="D641" s="1932"/>
      <c r="E641" s="1932"/>
      <c r="F641" s="1932"/>
      <c r="G641" s="57"/>
    </row>
    <row r="642" spans="1:11" ht="14.25">
      <c r="A642" s="260"/>
      <c r="B642" s="260"/>
      <c r="C642" s="265"/>
      <c r="D642" s="1932"/>
      <c r="E642" s="1932"/>
      <c r="F642" s="1932"/>
      <c r="G642" s="57"/>
    </row>
    <row r="643" spans="1:11" ht="14.25">
      <c r="A643" s="260"/>
      <c r="B643" s="260"/>
      <c r="C643" s="265"/>
      <c r="D643" s="1932"/>
      <c r="E643" s="1932"/>
      <c r="F643" s="1932"/>
      <c r="G643" s="57"/>
    </row>
    <row r="644" spans="1:11" s="671" customFormat="1" ht="14.25">
      <c r="A644" s="260"/>
      <c r="B644" s="260"/>
      <c r="C644" s="265"/>
      <c r="D644" s="1932"/>
      <c r="E644" s="1932"/>
      <c r="F644" s="1932"/>
      <c r="G644" s="57"/>
    </row>
    <row r="645" spans="1:11" s="708" customFormat="1" ht="14.25">
      <c r="A645" s="703"/>
      <c r="B645" s="703"/>
      <c r="C645" s="265"/>
      <c r="D645" s="725"/>
      <c r="E645" s="725"/>
      <c r="F645" s="725"/>
      <c r="G645" s="57"/>
    </row>
    <row r="646" spans="1:11" s="671" customFormat="1" ht="14.25">
      <c r="A646" s="260"/>
      <c r="B646" s="668" t="s">
        <v>308</v>
      </c>
      <c r="C646" s="265"/>
      <c r="D646" s="1962" t="s">
        <v>1133</v>
      </c>
      <c r="E646" s="1962"/>
      <c r="F646" s="1962"/>
      <c r="G646" s="57"/>
    </row>
    <row r="647" spans="1:11" s="671" customFormat="1" ht="14.25">
      <c r="A647" s="260"/>
      <c r="B647" s="260"/>
      <c r="C647" s="265"/>
      <c r="D647" s="1963" t="s">
        <v>1284</v>
      </c>
      <c r="E647" s="1963"/>
      <c r="F647" s="1963"/>
      <c r="G647" s="57"/>
    </row>
    <row r="648" spans="1:11" s="671" customFormat="1" ht="14.25">
      <c r="A648" s="260"/>
      <c r="B648" s="260"/>
      <c r="C648" s="265"/>
      <c r="D648" s="1963"/>
      <c r="E648" s="1963"/>
      <c r="F648" s="1963"/>
      <c r="G648" s="57"/>
    </row>
    <row r="649" spans="1:11" s="671" customFormat="1" ht="14.25">
      <c r="A649" s="260"/>
      <c r="B649" s="260"/>
      <c r="C649" s="265"/>
      <c r="D649" s="1963"/>
      <c r="E649" s="1963"/>
      <c r="F649" s="1963"/>
      <c r="G649" s="57"/>
    </row>
    <row r="650" spans="1:11" s="671" customFormat="1" ht="14.25">
      <c r="A650" s="260"/>
      <c r="B650" s="260"/>
      <c r="C650" s="265"/>
      <c r="D650" s="1963"/>
      <c r="E650" s="1963"/>
      <c r="F650" s="1963"/>
      <c r="G650" s="57"/>
    </row>
    <row r="651" spans="1:11" s="671" customFormat="1" ht="14.25">
      <c r="A651" s="260"/>
      <c r="B651" s="260"/>
      <c r="C651" s="265"/>
      <c r="D651" s="1963"/>
      <c r="E651" s="1963"/>
      <c r="F651" s="1963"/>
      <c r="G651" s="57"/>
    </row>
    <row r="652" spans="1:11" s="671" customFormat="1" ht="14.25">
      <c r="A652" s="260"/>
      <c r="B652" s="260"/>
      <c r="C652" s="265"/>
      <c r="D652" s="1964" t="s">
        <v>1285</v>
      </c>
      <c r="E652" s="1964"/>
      <c r="F652" s="1964"/>
      <c r="G652" s="57"/>
    </row>
    <row r="653" spans="1:11">
      <c r="A653" s="265"/>
      <c r="B653" s="265"/>
      <c r="C653" s="265"/>
      <c r="D653" s="147"/>
      <c r="E653" s="147"/>
      <c r="F653" s="147"/>
      <c r="G653" s="57"/>
    </row>
    <row r="654" spans="1:11">
      <c r="A654" s="1944" t="s">
        <v>1123</v>
      </c>
      <c r="B654" s="1944"/>
      <c r="C654" s="1944"/>
      <c r="D654" s="1944"/>
      <c r="E654" s="1944"/>
      <c r="F654" s="1944"/>
      <c r="G654" s="1944"/>
      <c r="H654" s="268"/>
      <c r="I654" s="268"/>
      <c r="J654" s="268"/>
      <c r="K654" s="268"/>
    </row>
    <row r="655" spans="1:11" s="708" customFormat="1">
      <c r="A655" s="724"/>
      <c r="B655" s="724"/>
      <c r="C655" s="724"/>
      <c r="D655" s="724"/>
      <c r="E655" s="724"/>
      <c r="F655" s="724"/>
      <c r="G655" s="724"/>
      <c r="H655" s="268"/>
      <c r="I655" s="268"/>
      <c r="J655" s="268"/>
      <c r="K655" s="268"/>
    </row>
    <row r="656" spans="1:11">
      <c r="C656" s="266"/>
      <c r="D656" s="1942" t="s">
        <v>100</v>
      </c>
      <c r="E656" s="1942"/>
      <c r="F656" s="1942"/>
      <c r="G656" s="57"/>
      <c r="H656" s="268"/>
      <c r="I656" s="268"/>
      <c r="J656" s="268"/>
      <c r="K656" s="268"/>
    </row>
    <row r="657" spans="1:11">
      <c r="A657" s="266"/>
      <c r="B657" s="266"/>
      <c r="C657" s="266"/>
      <c r="D657" s="1942" t="s">
        <v>124</v>
      </c>
      <c r="E657" s="1942"/>
      <c r="F657" s="1942"/>
      <c r="G657" s="57"/>
      <c r="H657" s="268"/>
      <c r="I657" s="268"/>
      <c r="J657" s="268"/>
      <c r="K657" s="268"/>
    </row>
    <row r="658" spans="1:11">
      <c r="A658" s="259"/>
      <c r="B658" s="259"/>
      <c r="C658" s="259"/>
      <c r="D658" s="1943" t="s">
        <v>1159</v>
      </c>
      <c r="E658" s="1943"/>
      <c r="F658" s="1943"/>
      <c r="G658" s="57"/>
      <c r="H658" s="268"/>
      <c r="I658" s="268"/>
      <c r="J658" s="268"/>
      <c r="K658" s="268"/>
    </row>
    <row r="659" spans="1:11">
      <c r="A659" s="259"/>
      <c r="B659" s="259"/>
      <c r="C659" s="259"/>
      <c r="G659" s="57"/>
      <c r="H659" s="268"/>
      <c r="I659" s="268"/>
      <c r="J659" s="268"/>
      <c r="K659" s="268"/>
    </row>
    <row r="660" spans="1:11" ht="14.25">
      <c r="A660" s="260"/>
      <c r="B660" s="668" t="s">
        <v>308</v>
      </c>
      <c r="C660" s="259"/>
      <c r="D660" s="1943" t="s">
        <v>915</v>
      </c>
      <c r="E660" s="1943"/>
      <c r="F660" s="1943"/>
      <c r="G660" s="57"/>
      <c r="H660" s="268"/>
      <c r="I660" s="268"/>
      <c r="J660" s="268"/>
      <c r="K660" s="268"/>
    </row>
    <row r="661" spans="1:11">
      <c r="A661" s="259"/>
      <c r="B661" s="259"/>
      <c r="C661" s="259"/>
      <c r="D661" s="1943" t="s">
        <v>926</v>
      </c>
      <c r="E661" s="1943"/>
      <c r="F661" s="1943"/>
      <c r="G661" s="57"/>
      <c r="H661" s="268"/>
      <c r="I661" s="268"/>
      <c r="J661" s="268"/>
      <c r="K661" s="268"/>
    </row>
    <row r="662" spans="1:11">
      <c r="A662" s="259"/>
      <c r="B662" s="259"/>
      <c r="C662" s="259"/>
      <c r="D662" s="6"/>
      <c r="E662" s="1922" t="s">
        <v>1160</v>
      </c>
      <c r="F662" s="1922"/>
      <c r="G662" s="57"/>
      <c r="H662" s="268"/>
      <c r="I662" s="268"/>
      <c r="J662" s="268"/>
      <c r="K662" s="268"/>
    </row>
    <row r="663" spans="1:11">
      <c r="A663" s="259"/>
      <c r="B663" s="259"/>
      <c r="C663" s="259"/>
      <c r="D663" s="6"/>
      <c r="E663" s="1922"/>
      <c r="F663" s="1922"/>
      <c r="G663" s="57"/>
      <c r="H663" s="268"/>
      <c r="I663" s="268"/>
      <c r="J663" s="268"/>
      <c r="K663" s="268"/>
    </row>
    <row r="664" spans="1:11">
      <c r="A664" s="259"/>
      <c r="B664" s="259"/>
      <c r="C664" s="259"/>
      <c r="D664" s="269"/>
      <c r="E664" s="135"/>
      <c r="G664" s="57"/>
      <c r="H664" s="268"/>
      <c r="I664" s="268"/>
      <c r="J664" s="268"/>
      <c r="K664" s="268"/>
    </row>
    <row r="665" spans="1:11" ht="14.25">
      <c r="A665" s="260"/>
      <c r="B665" s="668" t="s">
        <v>308</v>
      </c>
      <c r="C665" s="259"/>
      <c r="D665" s="1917" t="s">
        <v>1161</v>
      </c>
      <c r="E665" s="1917"/>
      <c r="F665" s="1917"/>
      <c r="G665" s="57"/>
      <c r="H665" s="268"/>
      <c r="I665" s="268"/>
      <c r="J665" s="268"/>
      <c r="K665" s="268"/>
    </row>
    <row r="666" spans="1:11">
      <c r="A666" s="23"/>
      <c r="B666" s="664"/>
      <c r="C666" s="259"/>
      <c r="D666" s="1917"/>
      <c r="E666" s="1917"/>
      <c r="F666" s="1917"/>
      <c r="G666" s="57"/>
      <c r="H666" s="268"/>
      <c r="I666" s="268"/>
      <c r="J666" s="268"/>
      <c r="K666" s="268"/>
    </row>
    <row r="667" spans="1:11">
      <c r="A667" s="259"/>
      <c r="B667" s="259"/>
      <c r="C667" s="259"/>
      <c r="D667" s="1917"/>
      <c r="E667" s="1917"/>
      <c r="F667" s="1917"/>
      <c r="G667" s="57"/>
      <c r="H667" s="268"/>
      <c r="I667" s="268"/>
      <c r="J667" s="268"/>
      <c r="K667" s="268"/>
    </row>
    <row r="668" spans="1:11">
      <c r="A668" s="259"/>
      <c r="B668" s="259"/>
      <c r="C668" s="259"/>
      <c r="G668" s="57"/>
      <c r="H668" s="268"/>
      <c r="I668" s="268"/>
      <c r="J668" s="268"/>
      <c r="K668" s="268"/>
    </row>
    <row r="669" spans="1:11" ht="14.25">
      <c r="A669" s="260"/>
      <c r="B669" s="668" t="s">
        <v>308</v>
      </c>
      <c r="C669" s="259"/>
      <c r="D669" s="1943" t="s">
        <v>954</v>
      </c>
      <c r="E669" s="1943"/>
      <c r="F669" s="1943"/>
      <c r="G669" s="57"/>
      <c r="H669" s="268"/>
      <c r="I669" s="268"/>
      <c r="J669" s="268"/>
      <c r="K669" s="268"/>
    </row>
    <row r="670" spans="1:11" ht="14.25">
      <c r="A670" s="260"/>
      <c r="B670" s="260"/>
      <c r="C670" s="259"/>
      <c r="D670" s="1943" t="s">
        <v>926</v>
      </c>
      <c r="E670" s="1943"/>
      <c r="F670" s="1943"/>
      <c r="G670" s="57"/>
      <c r="H670" s="268"/>
      <c r="I670" s="268"/>
      <c r="J670" s="268"/>
      <c r="K670" s="268"/>
    </row>
    <row r="671" spans="1:11">
      <c r="A671" s="259"/>
      <c r="B671" s="259"/>
      <c r="C671" s="259"/>
      <c r="D671" s="6"/>
      <c r="E671" s="1948" t="s">
        <v>1162</v>
      </c>
      <c r="F671" s="1948"/>
      <c r="G671" s="57"/>
      <c r="H671" s="268"/>
      <c r="I671" s="268"/>
      <c r="J671" s="268"/>
      <c r="K671" s="268"/>
    </row>
    <row r="672" spans="1:11">
      <c r="A672" s="259"/>
      <c r="B672" s="259"/>
      <c r="C672" s="259"/>
      <c r="D672" s="50"/>
      <c r="G672" s="57"/>
      <c r="H672" s="268"/>
      <c r="I672" s="268"/>
      <c r="J672" s="268"/>
      <c r="K672" s="268"/>
    </row>
    <row r="673" spans="1:11" ht="14.25">
      <c r="A673" s="260"/>
      <c r="B673" s="668" t="s">
        <v>308</v>
      </c>
      <c r="C673" s="259"/>
      <c r="D673" s="1941" t="s">
        <v>1172</v>
      </c>
      <c r="E673" s="1941"/>
      <c r="F673" s="1941"/>
      <c r="G673" s="57"/>
      <c r="H673" s="268"/>
      <c r="I673" s="268"/>
      <c r="J673" s="268"/>
      <c r="K673" s="268"/>
    </row>
    <row r="674" spans="1:11">
      <c r="A674" s="259"/>
      <c r="B674" s="259"/>
      <c r="C674" s="259"/>
      <c r="D674" s="1941"/>
      <c r="E674" s="1941"/>
      <c r="F674" s="1941"/>
      <c r="G674" s="57"/>
      <c r="H674" s="268"/>
      <c r="I674" s="268"/>
      <c r="J674" s="268"/>
      <c r="K674" s="268"/>
    </row>
    <row r="675" spans="1:11">
      <c r="A675" s="259"/>
      <c r="B675" s="259"/>
      <c r="C675" s="259"/>
      <c r="D675" s="1941"/>
      <c r="E675" s="1941"/>
      <c r="F675" s="1941"/>
      <c r="G675" s="57"/>
      <c r="H675" s="268"/>
      <c r="I675" s="268"/>
      <c r="J675" s="268"/>
      <c r="K675" s="268"/>
    </row>
    <row r="676" spans="1:11">
      <c r="A676" s="259"/>
      <c r="B676" s="259"/>
      <c r="C676" s="259"/>
      <c r="D676" s="1941"/>
      <c r="E676" s="1941"/>
      <c r="F676" s="1941"/>
      <c r="G676" s="57"/>
      <c r="H676" s="268"/>
      <c r="I676" s="268"/>
      <c r="J676" s="268"/>
      <c r="K676" s="268"/>
    </row>
    <row r="677" spans="1:11">
      <c r="A677" s="259"/>
      <c r="B677" s="259"/>
      <c r="C677" s="259"/>
      <c r="D677" s="1941"/>
      <c r="E677" s="1941"/>
      <c r="F677" s="1941"/>
      <c r="G677" s="57"/>
      <c r="H677" s="268"/>
      <c r="I677" s="268"/>
      <c r="J677" s="268"/>
      <c r="K677" s="268"/>
    </row>
    <row r="678" spans="1:11" s="39" customFormat="1">
      <c r="A678" s="480"/>
      <c r="B678" s="480"/>
      <c r="C678" s="480"/>
      <c r="D678" s="1941"/>
      <c r="E678" s="1941"/>
      <c r="F678" s="1941"/>
      <c r="G678" s="60"/>
      <c r="H678" s="271"/>
      <c r="I678" s="271"/>
      <c r="J678" s="271"/>
      <c r="K678" s="271"/>
    </row>
    <row r="679" spans="1:11" s="39" customFormat="1">
      <c r="A679" s="480"/>
      <c r="B679" s="480"/>
      <c r="C679" s="480"/>
      <c r="D679" s="690"/>
      <c r="E679" s="690"/>
      <c r="F679" s="690"/>
      <c r="G679" s="60"/>
      <c r="H679" s="271"/>
      <c r="I679" s="271"/>
      <c r="J679" s="271"/>
      <c r="K679" s="271"/>
    </row>
    <row r="680" spans="1:11" ht="14.25">
      <c r="A680" s="260"/>
      <c r="B680" s="668" t="s">
        <v>308</v>
      </c>
      <c r="C680" s="259"/>
      <c r="D680" s="1941" t="s">
        <v>1163</v>
      </c>
      <c r="E680" s="1941"/>
      <c r="F680" s="1941"/>
      <c r="G680" s="57"/>
      <c r="H680" s="268"/>
      <c r="I680" s="268"/>
      <c r="J680" s="268"/>
      <c r="K680" s="268"/>
    </row>
    <row r="681" spans="1:11">
      <c r="A681" s="259"/>
      <c r="B681" s="259"/>
      <c r="C681" s="259"/>
      <c r="D681" s="1941"/>
      <c r="E681" s="1941"/>
      <c r="F681" s="1941"/>
      <c r="G681" s="57"/>
      <c r="H681" s="268"/>
      <c r="I681" s="268"/>
      <c r="J681" s="268"/>
      <c r="K681" s="268"/>
    </row>
    <row r="682" spans="1:11">
      <c r="A682" s="259"/>
      <c r="B682" s="259"/>
      <c r="C682" s="259"/>
      <c r="D682" s="1941"/>
      <c r="E682" s="1941"/>
      <c r="F682" s="1941"/>
      <c r="G682" s="57"/>
      <c r="H682" s="268"/>
      <c r="I682" s="268"/>
      <c r="J682" s="268"/>
      <c r="K682" s="268"/>
    </row>
    <row r="683" spans="1:11" ht="15" customHeight="1">
      <c r="A683" s="259"/>
      <c r="B683" s="259"/>
      <c r="C683" s="259"/>
      <c r="D683" s="1941"/>
      <c r="E683" s="1941"/>
      <c r="F683" s="1941"/>
      <c r="G683" s="57"/>
      <c r="H683" s="268"/>
      <c r="I683" s="268"/>
      <c r="J683" s="268"/>
      <c r="K683" s="268"/>
    </row>
    <row r="684" spans="1:11" ht="15" customHeight="1">
      <c r="A684" s="259"/>
      <c r="B684" s="259"/>
      <c r="C684" s="259"/>
      <c r="D684" s="1941"/>
      <c r="E684" s="1941"/>
      <c r="F684" s="1941"/>
      <c r="G684" s="57"/>
      <c r="H684" s="268"/>
      <c r="I684" s="268"/>
      <c r="J684" s="268"/>
      <c r="K684" s="268"/>
    </row>
    <row r="685" spans="1:11">
      <c r="A685" s="259"/>
      <c r="B685" s="259"/>
      <c r="C685" s="259"/>
      <c r="D685" s="1941"/>
      <c r="E685" s="1941"/>
      <c r="F685" s="1941"/>
      <c r="G685" s="57"/>
      <c r="H685" s="268"/>
      <c r="I685" s="268"/>
      <c r="J685" s="268"/>
      <c r="K685" s="268"/>
    </row>
    <row r="686" spans="1:11">
      <c r="A686" s="259"/>
      <c r="B686" s="259"/>
      <c r="C686" s="259"/>
      <c r="D686" s="1941"/>
      <c r="E686" s="1941"/>
      <c r="F686" s="1941"/>
      <c r="G686" s="57"/>
      <c r="H686" s="268"/>
      <c r="I686" s="268"/>
      <c r="J686" s="268"/>
      <c r="K686" s="268"/>
    </row>
    <row r="687" spans="1:11">
      <c r="A687" s="259"/>
      <c r="B687" s="259"/>
      <c r="C687" s="259"/>
      <c r="D687" s="1941"/>
      <c r="E687" s="1941"/>
      <c r="F687" s="1941"/>
      <c r="G687" s="57"/>
      <c r="H687" s="268"/>
      <c r="I687" s="268"/>
      <c r="J687" s="268"/>
      <c r="K687" s="268"/>
    </row>
    <row r="688" spans="1:11" ht="15" customHeight="1">
      <c r="A688" s="259"/>
      <c r="B688" s="259"/>
      <c r="C688" s="259"/>
      <c r="D688" s="1941"/>
      <c r="E688" s="1941"/>
      <c r="F688" s="1941"/>
      <c r="G688" s="57"/>
      <c r="H688" s="268"/>
      <c r="I688" s="268"/>
      <c r="J688" s="268"/>
      <c r="K688" s="268"/>
    </row>
    <row r="689" spans="1:11">
      <c r="A689" s="259"/>
      <c r="B689" s="259"/>
      <c r="C689" s="259"/>
      <c r="D689" s="1941"/>
      <c r="E689" s="1941"/>
      <c r="F689" s="1941"/>
      <c r="G689" s="57"/>
      <c r="H689" s="268"/>
      <c r="I689" s="268"/>
      <c r="J689" s="268"/>
      <c r="K689" s="268"/>
    </row>
    <row r="690" spans="1:11">
      <c r="A690" s="259"/>
      <c r="B690" s="259"/>
      <c r="C690" s="259"/>
      <c r="D690" s="1941"/>
      <c r="E690" s="1941"/>
      <c r="F690" s="1941"/>
      <c r="G690" s="57"/>
      <c r="H690" s="268"/>
      <c r="I690" s="268"/>
      <c r="J690" s="268"/>
      <c r="K690" s="268"/>
    </row>
    <row r="691" spans="1:11">
      <c r="A691" s="259"/>
      <c r="B691" s="259"/>
      <c r="C691" s="259"/>
      <c r="D691" s="1941"/>
      <c r="E691" s="1941"/>
      <c r="F691" s="1941"/>
      <c r="G691" s="57"/>
      <c r="H691" s="268"/>
      <c r="I691" s="268"/>
      <c r="J691" s="268"/>
      <c r="K691" s="268"/>
    </row>
    <row r="692" spans="1:11" s="671" customFormat="1">
      <c r="A692" s="259"/>
      <c r="B692" s="259"/>
      <c r="C692" s="259"/>
      <c r="D692" s="690"/>
      <c r="E692" s="690"/>
      <c r="F692" s="690"/>
      <c r="G692" s="57"/>
      <c r="H692" s="268"/>
      <c r="I692" s="268"/>
      <c r="J692" s="268"/>
      <c r="K692" s="268"/>
    </row>
    <row r="693" spans="1:11" ht="14.25">
      <c r="A693" s="260"/>
      <c r="B693" s="668" t="s">
        <v>308</v>
      </c>
      <c r="C693" s="259"/>
      <c r="D693" s="1941" t="s">
        <v>1173</v>
      </c>
      <c r="E693" s="1941"/>
      <c r="F693" s="1941"/>
      <c r="G693" s="57"/>
      <c r="H693" s="268"/>
      <c r="I693" s="268"/>
      <c r="J693" s="268"/>
      <c r="K693" s="268"/>
    </row>
    <row r="694" spans="1:11">
      <c r="A694" s="259"/>
      <c r="B694" s="259"/>
      <c r="C694" s="259"/>
      <c r="D694" s="1941"/>
      <c r="E694" s="1941"/>
      <c r="F694" s="1941"/>
      <c r="G694" s="57"/>
      <c r="H694" s="268"/>
      <c r="I694" s="268"/>
      <c r="J694" s="268"/>
      <c r="K694" s="268"/>
    </row>
    <row r="695" spans="1:11">
      <c r="A695" s="259"/>
      <c r="B695" s="259"/>
      <c r="C695" s="259"/>
      <c r="D695" s="1941"/>
      <c r="E695" s="1941"/>
      <c r="F695" s="1941"/>
      <c r="G695" s="57"/>
      <c r="H695" s="268"/>
      <c r="I695" s="268"/>
      <c r="J695" s="268"/>
      <c r="K695" s="268"/>
    </row>
    <row r="696" spans="1:11" s="671" customFormat="1">
      <c r="A696" s="259"/>
      <c r="B696" s="259"/>
      <c r="C696" s="259"/>
      <c r="D696" s="690"/>
      <c r="E696" s="690"/>
      <c r="F696" s="690"/>
      <c r="G696" s="57"/>
      <c r="H696" s="268"/>
      <c r="I696" s="268"/>
      <c r="J696" s="268"/>
      <c r="K696" s="268"/>
    </row>
    <row r="697" spans="1:11" s="671" customFormat="1">
      <c r="A697" s="259"/>
      <c r="B697" s="668" t="s">
        <v>308</v>
      </c>
      <c r="C697" s="259"/>
      <c r="D697" s="1941" t="s">
        <v>1170</v>
      </c>
      <c r="E697" s="1941"/>
      <c r="F697" s="1941"/>
      <c r="G697" s="57"/>
      <c r="H697" s="268"/>
      <c r="I697" s="268"/>
      <c r="J697" s="268"/>
      <c r="K697" s="268"/>
    </row>
    <row r="698" spans="1:11" s="671" customFormat="1">
      <c r="A698" s="259"/>
      <c r="B698" s="259"/>
      <c r="C698" s="259"/>
      <c r="D698" s="1941"/>
      <c r="E698" s="1941"/>
      <c r="F698" s="1941"/>
      <c r="G698" s="57"/>
      <c r="H698" s="268"/>
      <c r="I698" s="268"/>
      <c r="J698" s="268"/>
      <c r="K698" s="268"/>
    </row>
    <row r="699" spans="1:11" s="671" customFormat="1">
      <c r="A699" s="259"/>
      <c r="B699" s="259"/>
      <c r="C699" s="259"/>
      <c r="D699" s="690"/>
      <c r="E699" s="690"/>
      <c r="F699" s="690"/>
      <c r="G699" s="57"/>
      <c r="H699" s="268"/>
      <c r="I699" s="268"/>
      <c r="J699" s="268"/>
      <c r="K699" s="268"/>
    </row>
    <row r="700" spans="1:11" s="671" customFormat="1">
      <c r="A700" s="259"/>
      <c r="B700" s="668" t="s">
        <v>308</v>
      </c>
      <c r="C700" s="259"/>
      <c r="D700" s="1941" t="s">
        <v>1171</v>
      </c>
      <c r="E700" s="1941"/>
      <c r="F700" s="1941"/>
      <c r="G700" s="57"/>
      <c r="H700" s="268"/>
      <c r="I700" s="268"/>
      <c r="J700" s="268"/>
      <c r="K700" s="268"/>
    </row>
    <row r="701" spans="1:11" s="671" customFormat="1">
      <c r="A701" s="259"/>
      <c r="B701" s="259"/>
      <c r="C701" s="259"/>
      <c r="D701" s="1941"/>
      <c r="E701" s="1941"/>
      <c r="F701" s="1941"/>
      <c r="G701" s="57"/>
      <c r="H701" s="268"/>
      <c r="I701" s="268"/>
      <c r="J701" s="268"/>
      <c r="K701" s="268"/>
    </row>
    <row r="702" spans="1:11" s="671" customFormat="1">
      <c r="A702" s="259"/>
      <c r="B702" s="259"/>
      <c r="C702" s="259"/>
      <c r="D702" s="1941"/>
      <c r="E702" s="1941"/>
      <c r="F702" s="1941"/>
      <c r="G702" s="57"/>
      <c r="H702" s="268"/>
      <c r="I702" s="268"/>
      <c r="J702" s="268"/>
      <c r="K702" s="268"/>
    </row>
    <row r="703" spans="1:11" s="671" customFormat="1">
      <c r="A703" s="259"/>
      <c r="B703" s="259"/>
      <c r="C703" s="259"/>
      <c r="D703" s="690"/>
      <c r="E703" s="690"/>
      <c r="F703" s="690"/>
      <c r="G703" s="57"/>
      <c r="H703" s="268"/>
      <c r="I703" s="268"/>
      <c r="J703" s="268"/>
      <c r="K703" s="268"/>
    </row>
    <row r="704" spans="1:11">
      <c r="A704" s="259"/>
      <c r="B704" s="668" t="s">
        <v>308</v>
      </c>
      <c r="C704" s="259"/>
      <c r="D704" s="1941" t="s">
        <v>1164</v>
      </c>
      <c r="E704" s="1941"/>
      <c r="F704" s="1941"/>
      <c r="G704" s="57"/>
      <c r="H704" s="268"/>
      <c r="I704" s="268"/>
      <c r="J704" s="268"/>
      <c r="K704" s="268"/>
    </row>
    <row r="705" spans="1:11">
      <c r="A705" s="259"/>
      <c r="B705" s="259"/>
      <c r="C705" s="259"/>
      <c r="D705" s="1941"/>
      <c r="E705" s="1941"/>
      <c r="F705" s="1941"/>
      <c r="G705" s="57"/>
      <c r="H705" s="268"/>
      <c r="I705" s="268"/>
      <c r="J705" s="268"/>
      <c r="K705" s="268"/>
    </row>
    <row r="706" spans="1:11">
      <c r="A706" s="259"/>
      <c r="B706" s="259"/>
      <c r="C706" s="259"/>
      <c r="D706" s="1941"/>
      <c r="E706" s="1941"/>
      <c r="F706" s="1941"/>
      <c r="G706" s="57"/>
      <c r="H706" s="268"/>
      <c r="I706" s="268"/>
      <c r="J706" s="268"/>
      <c r="K706" s="268"/>
    </row>
    <row r="707" spans="1:11">
      <c r="A707" s="259"/>
      <c r="B707" s="259"/>
      <c r="C707" s="259"/>
      <c r="D707" s="130"/>
      <c r="G707" s="57"/>
      <c r="H707" s="268"/>
      <c r="I707" s="268"/>
      <c r="J707" s="268"/>
      <c r="K707" s="268"/>
    </row>
    <row r="708" spans="1:11">
      <c r="A708" s="259"/>
      <c r="B708" s="668" t="s">
        <v>308</v>
      </c>
      <c r="C708" s="259"/>
      <c r="D708" s="1941" t="s">
        <v>1165</v>
      </c>
      <c r="E708" s="1941"/>
      <c r="F708" s="1941"/>
      <c r="G708" s="57"/>
      <c r="H708" s="268"/>
      <c r="I708" s="268"/>
      <c r="J708" s="268"/>
      <c r="K708" s="268"/>
    </row>
    <row r="709" spans="1:11">
      <c r="A709" s="259"/>
      <c r="B709" s="259"/>
      <c r="C709" s="259"/>
      <c r="D709" s="1941"/>
      <c r="E709" s="1941"/>
      <c r="F709" s="1941"/>
      <c r="G709" s="57"/>
      <c r="H709" s="268"/>
      <c r="I709" s="268"/>
      <c r="J709" s="268"/>
      <c r="K709" s="268"/>
    </row>
    <row r="710" spans="1:11">
      <c r="A710" s="259"/>
      <c r="B710" s="259"/>
      <c r="C710" s="259"/>
      <c r="D710" s="1941"/>
      <c r="E710" s="1941"/>
      <c r="F710" s="1941"/>
      <c r="G710" s="57"/>
      <c r="H710" s="268"/>
      <c r="I710" s="268"/>
      <c r="J710" s="268"/>
      <c r="K710" s="268"/>
    </row>
    <row r="711" spans="1:11">
      <c r="A711" s="259"/>
      <c r="B711" s="259"/>
      <c r="C711" s="259"/>
      <c r="D711" s="12"/>
      <c r="G711" s="57"/>
      <c r="H711" s="268"/>
      <c r="I711" s="268"/>
      <c r="J711" s="268"/>
      <c r="K711" s="268"/>
    </row>
    <row r="712" spans="1:11" ht="14.25">
      <c r="A712" s="260"/>
      <c r="B712" s="668" t="s">
        <v>308</v>
      </c>
      <c r="C712" s="259"/>
      <c r="D712" s="1917" t="s">
        <v>1166</v>
      </c>
      <c r="E712" s="1917"/>
      <c r="F712" s="1917"/>
      <c r="G712" s="57"/>
      <c r="H712" s="268"/>
      <c r="I712" s="268"/>
      <c r="J712" s="268"/>
      <c r="K712" s="268"/>
    </row>
    <row r="713" spans="1:11">
      <c r="A713" s="259"/>
      <c r="B713" s="259"/>
      <c r="C713" s="259"/>
      <c r="D713" s="1917"/>
      <c r="E713" s="1917"/>
      <c r="F713" s="1917"/>
      <c r="G713" s="57"/>
      <c r="H713" s="268"/>
      <c r="I713" s="268"/>
      <c r="J713" s="268"/>
      <c r="K713" s="268"/>
    </row>
    <row r="714" spans="1:11">
      <c r="A714" s="259"/>
      <c r="B714" s="259"/>
      <c r="C714" s="259"/>
      <c r="D714" s="1917"/>
      <c r="E714" s="1917"/>
      <c r="F714" s="1917"/>
      <c r="G714" s="57"/>
      <c r="H714" s="268"/>
      <c r="I714" s="268"/>
      <c r="J714" s="268"/>
      <c r="K714" s="268"/>
    </row>
    <row r="715" spans="1:11">
      <c r="A715" s="259"/>
      <c r="B715" s="259"/>
      <c r="C715" s="259"/>
      <c r="D715" s="1917"/>
      <c r="E715" s="1917"/>
      <c r="F715" s="1917"/>
      <c r="G715" s="57"/>
      <c r="H715" s="268"/>
      <c r="I715" s="268"/>
      <c r="J715" s="268"/>
      <c r="K715" s="268"/>
    </row>
    <row r="716" spans="1:11">
      <c r="A716" s="259"/>
      <c r="B716" s="259"/>
      <c r="C716" s="259"/>
      <c r="D716" s="262"/>
      <c r="G716" s="57"/>
      <c r="H716" s="268"/>
      <c r="I716" s="268"/>
      <c r="J716" s="268"/>
      <c r="K716" s="268"/>
    </row>
    <row r="717" spans="1:11" ht="14.25">
      <c r="A717" s="260"/>
      <c r="B717" s="668" t="s">
        <v>308</v>
      </c>
      <c r="C717" s="259"/>
      <c r="D717" s="1941" t="s">
        <v>1299</v>
      </c>
      <c r="E717" s="1941"/>
      <c r="F717" s="1941"/>
      <c r="G717" s="57"/>
      <c r="H717" s="268"/>
      <c r="I717" s="268"/>
      <c r="J717" s="268"/>
      <c r="K717" s="268"/>
    </row>
    <row r="718" spans="1:11">
      <c r="A718" s="259"/>
      <c r="B718" s="259"/>
      <c r="C718" s="259"/>
      <c r="D718" s="1941"/>
      <c r="E718" s="1941"/>
      <c r="F718" s="1941"/>
      <c r="G718" s="57"/>
      <c r="H718" s="268"/>
      <c r="I718" s="268"/>
      <c r="J718" s="268"/>
      <c r="K718" s="268"/>
    </row>
    <row r="719" spans="1:11">
      <c r="A719" s="259"/>
      <c r="B719" s="259"/>
      <c r="C719" s="259"/>
      <c r="D719" s="1941"/>
      <c r="E719" s="1941"/>
      <c r="F719" s="1941"/>
      <c r="G719" s="57"/>
      <c r="H719" s="268"/>
      <c r="I719" s="268"/>
      <c r="J719" s="268"/>
      <c r="K719" s="268"/>
    </row>
    <row r="720" spans="1:11">
      <c r="A720" s="259"/>
      <c r="B720" s="259"/>
      <c r="C720" s="259"/>
      <c r="D720" s="1941"/>
      <c r="E720" s="1941"/>
      <c r="F720" s="1941"/>
      <c r="G720" s="57"/>
      <c r="H720" s="268"/>
      <c r="I720" s="268"/>
      <c r="J720" s="268"/>
      <c r="K720" s="268"/>
    </row>
    <row r="721" spans="1:11">
      <c r="A721" s="259"/>
      <c r="B721" s="259"/>
      <c r="C721" s="259"/>
      <c r="D721" s="1941"/>
      <c r="E721" s="1941"/>
      <c r="F721" s="1941"/>
      <c r="G721" s="57"/>
      <c r="H721" s="268"/>
      <c r="I721" s="268"/>
      <c r="J721" s="268"/>
      <c r="K721" s="268"/>
    </row>
    <row r="722" spans="1:11">
      <c r="A722" s="259"/>
      <c r="B722" s="259"/>
      <c r="C722" s="259"/>
      <c r="D722" s="1941"/>
      <c r="E722" s="1941"/>
      <c r="F722" s="1941"/>
      <c r="G722" s="57"/>
      <c r="H722" s="268"/>
      <c r="I722" s="268"/>
      <c r="J722" s="268"/>
      <c r="K722" s="268"/>
    </row>
    <row r="723" spans="1:11">
      <c r="A723" s="259"/>
      <c r="B723" s="259"/>
      <c r="C723" s="259"/>
      <c r="D723" s="1941"/>
      <c r="E723" s="1941"/>
      <c r="F723" s="1941"/>
      <c r="G723" s="57"/>
      <c r="H723" s="268"/>
      <c r="I723" s="268"/>
      <c r="J723" s="268"/>
      <c r="K723" s="268"/>
    </row>
    <row r="724" spans="1:11">
      <c r="A724" s="259"/>
      <c r="B724" s="259"/>
      <c r="C724" s="259"/>
      <c r="D724" s="1952" t="s">
        <v>1167</v>
      </c>
      <c r="E724" s="1952"/>
      <c r="F724" s="1952"/>
      <c r="G724" s="57"/>
      <c r="H724" s="268"/>
      <c r="I724" s="268"/>
      <c r="J724" s="268"/>
      <c r="K724" s="268"/>
    </row>
    <row r="725" spans="1:11" s="671" customFormat="1">
      <c r="A725" s="259"/>
      <c r="B725" s="259"/>
      <c r="C725" s="259"/>
      <c r="D725" s="524"/>
      <c r="E725" s="7"/>
      <c r="F725" s="7"/>
      <c r="G725" s="57"/>
      <c r="H725" s="268"/>
      <c r="I725" s="268"/>
      <c r="J725" s="268"/>
      <c r="K725" s="268"/>
    </row>
    <row r="726" spans="1:11">
      <c r="A726" s="1945" t="s">
        <v>1124</v>
      </c>
      <c r="B726" s="1945"/>
      <c r="C726" s="1945"/>
      <c r="D726" s="1945"/>
      <c r="E726" s="1945"/>
      <c r="F726" s="1945"/>
      <c r="G726" s="1945"/>
      <c r="H726" s="268"/>
      <c r="I726" s="268"/>
      <c r="J726" s="268"/>
      <c r="K726" s="268"/>
    </row>
    <row r="727" spans="1:11">
      <c r="A727" s="259"/>
      <c r="B727" s="259"/>
      <c r="C727" s="259"/>
      <c r="D727" s="262"/>
      <c r="G727" s="270"/>
      <c r="H727" s="268"/>
      <c r="I727" s="268"/>
      <c r="J727" s="268"/>
      <c r="K727" s="268"/>
    </row>
    <row r="728" spans="1:11" ht="13.15" customHeight="1">
      <c r="C728" s="259"/>
      <c r="D728" s="1960" t="s">
        <v>1140</v>
      </c>
      <c r="E728" s="1960"/>
      <c r="F728" s="1960"/>
      <c r="G728" s="270"/>
      <c r="H728" s="268"/>
      <c r="I728" s="268"/>
      <c r="J728" s="268"/>
      <c r="K728" s="268"/>
    </row>
    <row r="729" spans="1:11">
      <c r="A729" s="259"/>
      <c r="B729" s="259"/>
      <c r="C729" s="259"/>
      <c r="D729" s="1947" t="s">
        <v>1141</v>
      </c>
      <c r="E729" s="1947"/>
      <c r="F729" s="1947"/>
      <c r="G729" s="270"/>
      <c r="H729" s="268"/>
      <c r="I729" s="268"/>
      <c r="J729" s="268"/>
      <c r="K729" s="268"/>
    </row>
    <row r="730" spans="1:11">
      <c r="A730" s="259"/>
      <c r="B730" s="259"/>
      <c r="C730" s="259"/>
      <c r="G730" s="270"/>
      <c r="H730" s="268"/>
      <c r="I730" s="268"/>
      <c r="J730" s="268"/>
      <c r="K730" s="268"/>
    </row>
    <row r="731" spans="1:11" s="39" customFormat="1" ht="14.25">
      <c r="A731" s="260"/>
      <c r="B731" s="668" t="s">
        <v>308</v>
      </c>
      <c r="C731" s="132"/>
      <c r="D731" s="1917" t="s">
        <v>1142</v>
      </c>
      <c r="E731" s="1917"/>
      <c r="F731" s="1917"/>
      <c r="G731" s="270"/>
      <c r="H731" s="271"/>
      <c r="I731" s="271"/>
      <c r="J731" s="271"/>
      <c r="K731" s="271"/>
    </row>
    <row r="732" spans="1:11" s="39" customFormat="1" ht="10.5" customHeight="1">
      <c r="A732" s="132"/>
      <c r="B732" s="665"/>
      <c r="C732" s="132"/>
      <c r="D732" s="1917"/>
      <c r="E732" s="1917"/>
      <c r="F732" s="1917"/>
      <c r="G732" s="270"/>
      <c r="H732" s="271"/>
      <c r="I732" s="271"/>
      <c r="J732" s="271"/>
      <c r="K732" s="271"/>
    </row>
    <row r="733" spans="1:11" s="39" customFormat="1">
      <c r="A733" s="132"/>
      <c r="B733" s="665"/>
      <c r="C733" s="132"/>
      <c r="D733" s="1917"/>
      <c r="E733" s="1917"/>
      <c r="F733" s="1917"/>
      <c r="G733" s="270"/>
      <c r="H733" s="271"/>
      <c r="I733" s="271"/>
      <c r="J733" s="271"/>
      <c r="K733" s="271"/>
    </row>
    <row r="734" spans="1:11">
      <c r="D734" s="1917"/>
      <c r="E734" s="1917"/>
      <c r="F734" s="1917"/>
      <c r="G734" s="270"/>
      <c r="H734" s="268"/>
      <c r="I734" s="268"/>
      <c r="J734" s="268"/>
      <c r="K734" s="268"/>
    </row>
    <row r="735" spans="1:11">
      <c r="A735" s="272"/>
      <c r="B735" s="272"/>
      <c r="C735" s="272"/>
      <c r="D735" s="1917"/>
      <c r="E735" s="1917"/>
      <c r="F735" s="1917"/>
      <c r="G735" s="274"/>
      <c r="H735" s="268"/>
      <c r="I735" s="268"/>
      <c r="J735" s="268"/>
      <c r="K735" s="268"/>
    </row>
    <row r="736" spans="1:11" ht="15.6" customHeight="1">
      <c r="A736" s="272"/>
      <c r="B736" s="272"/>
      <c r="C736" s="272"/>
      <c r="D736" s="1917"/>
      <c r="E736" s="1917"/>
      <c r="F736" s="1917"/>
      <c r="G736" s="274"/>
      <c r="H736" s="268"/>
      <c r="I736" s="268"/>
      <c r="J736" s="268"/>
      <c r="K736" s="268"/>
    </row>
    <row r="737" spans="1:11">
      <c r="A737" s="272"/>
      <c r="B737" s="272"/>
      <c r="C737" s="272"/>
      <c r="D737" s="372"/>
      <c r="E737" s="273"/>
      <c r="F737" s="273"/>
      <c r="G737" s="274"/>
      <c r="H737" s="268"/>
      <c r="I737" s="268"/>
      <c r="J737" s="268"/>
      <c r="K737" s="268"/>
    </row>
    <row r="738" spans="1:11" s="404" customFormat="1" ht="14.25">
      <c r="A738" s="402"/>
      <c r="B738" s="668" t="s">
        <v>308</v>
      </c>
      <c r="C738" s="403"/>
      <c r="D738" s="1920" t="s">
        <v>1143</v>
      </c>
      <c r="E738" s="1920"/>
      <c r="F738" s="1920"/>
      <c r="G738" s="310"/>
    </row>
    <row r="739" spans="1:11" s="404" customFormat="1">
      <c r="A739" s="403"/>
      <c r="B739" s="403"/>
      <c r="C739" s="403"/>
      <c r="D739" s="1920"/>
      <c r="E739" s="1920"/>
      <c r="F739" s="1920"/>
      <c r="G739" s="310"/>
    </row>
    <row r="740" spans="1:11" s="404" customFormat="1">
      <c r="A740" s="403"/>
      <c r="B740" s="403"/>
      <c r="C740" s="403"/>
      <c r="D740" s="1920"/>
      <c r="E740" s="1920"/>
      <c r="F740" s="1920"/>
      <c r="G740" s="310"/>
    </row>
    <row r="741" spans="1:11" s="404" customFormat="1">
      <c r="A741" s="403"/>
      <c r="B741" s="403"/>
      <c r="C741" s="403"/>
      <c r="D741" s="1920"/>
      <c r="E741" s="1920"/>
      <c r="F741" s="1920"/>
      <c r="G741" s="310"/>
    </row>
    <row r="742" spans="1:11" s="404" customFormat="1">
      <c r="A742" s="403"/>
      <c r="B742" s="403"/>
      <c r="C742" s="403"/>
      <c r="D742" s="372"/>
      <c r="E742" s="310"/>
      <c r="F742" s="310"/>
      <c r="G742" s="310"/>
    </row>
    <row r="743" spans="1:11" s="404" customFormat="1" ht="14.25">
      <c r="A743" s="260"/>
      <c r="B743" s="668" t="s">
        <v>308</v>
      </c>
      <c r="C743" s="403"/>
      <c r="D743" s="1961" t="s">
        <v>1144</v>
      </c>
      <c r="E743" s="1961"/>
      <c r="F743" s="1961"/>
      <c r="G743" s="310"/>
    </row>
    <row r="744" spans="1:11" s="404" customFormat="1">
      <c r="A744" s="403"/>
      <c r="B744" s="403"/>
      <c r="C744" s="403"/>
      <c r="D744" s="1961"/>
      <c r="E744" s="1961"/>
      <c r="F744" s="1961"/>
      <c r="G744" s="310"/>
    </row>
    <row r="745" spans="1:11" s="404" customFormat="1">
      <c r="A745" s="403"/>
      <c r="B745" s="403"/>
      <c r="C745" s="403"/>
      <c r="D745" s="1961"/>
      <c r="E745" s="1961"/>
      <c r="F745" s="1961"/>
      <c r="G745" s="310"/>
    </row>
    <row r="746" spans="1:11">
      <c r="A746" s="272"/>
      <c r="B746" s="272"/>
      <c r="C746" s="272"/>
      <c r="D746" s="372"/>
      <c r="E746" s="273"/>
      <c r="F746" s="273"/>
      <c r="G746" s="274"/>
      <c r="H746" s="268"/>
      <c r="I746" s="268"/>
      <c r="J746" s="268"/>
      <c r="K746" s="268"/>
    </row>
    <row r="747" spans="1:11" ht="14.25">
      <c r="A747" s="260"/>
      <c r="B747" s="668" t="s">
        <v>308</v>
      </c>
      <c r="C747" s="272"/>
      <c r="D747" s="1920" t="s">
        <v>1145</v>
      </c>
      <c r="E747" s="1920"/>
      <c r="F747" s="1920"/>
      <c r="G747" s="274"/>
      <c r="H747" s="268"/>
      <c r="I747" s="268"/>
      <c r="J747" s="268"/>
      <c r="K747" s="268"/>
    </row>
    <row r="748" spans="1:11">
      <c r="A748" s="272"/>
      <c r="B748" s="272"/>
      <c r="C748" s="272"/>
      <c r="D748" s="1920"/>
      <c r="E748" s="1920"/>
      <c r="F748" s="1920"/>
      <c r="G748" s="274"/>
      <c r="H748" s="268"/>
      <c r="I748" s="268"/>
      <c r="J748" s="268"/>
      <c r="K748" s="268"/>
    </row>
    <row r="749" spans="1:11" s="671" customFormat="1">
      <c r="A749" s="272"/>
      <c r="B749" s="272"/>
      <c r="C749" s="272"/>
      <c r="D749" s="684"/>
      <c r="E749" s="684"/>
      <c r="F749" s="684"/>
      <c r="G749" s="274"/>
      <c r="H749" s="268"/>
      <c r="I749" s="268"/>
      <c r="J749" s="268"/>
      <c r="K749" s="268"/>
    </row>
    <row r="750" spans="1:11" s="671" customFormat="1">
      <c r="A750" s="272"/>
      <c r="B750" s="668" t="s">
        <v>308</v>
      </c>
      <c r="C750" s="272"/>
      <c r="D750" s="1920" t="s">
        <v>1146</v>
      </c>
      <c r="E750" s="1920"/>
      <c r="F750" s="1920"/>
      <c r="G750" s="274"/>
      <c r="H750" s="268"/>
      <c r="I750" s="268"/>
      <c r="J750" s="268"/>
      <c r="K750" s="268"/>
    </row>
    <row r="751" spans="1:11" s="671" customFormat="1">
      <c r="A751" s="272"/>
      <c r="B751" s="272"/>
      <c r="C751" s="272"/>
      <c r="D751" s="1920"/>
      <c r="E751" s="1920"/>
      <c r="F751" s="1920"/>
      <c r="G751" s="274"/>
      <c r="H751" s="268"/>
      <c r="I751" s="268"/>
      <c r="J751" s="268"/>
      <c r="K751" s="268"/>
    </row>
    <row r="752" spans="1:11" s="671" customFormat="1">
      <c r="A752" s="272"/>
      <c r="B752" s="272"/>
      <c r="C752" s="272"/>
      <c r="D752" s="1920"/>
      <c r="E752" s="1920"/>
      <c r="F752" s="1920"/>
      <c r="G752" s="274"/>
      <c r="H752" s="268"/>
      <c r="I752" s="268"/>
      <c r="J752" s="268"/>
      <c r="K752" s="268"/>
    </row>
    <row r="753" spans="1:11" s="671" customFormat="1">
      <c r="A753" s="272"/>
      <c r="B753" s="272"/>
      <c r="C753" s="272"/>
      <c r="D753" s="684"/>
      <c r="E753" s="684"/>
      <c r="F753" s="684"/>
      <c r="G753" s="274"/>
      <c r="H753" s="268"/>
      <c r="I753" s="268"/>
      <c r="J753" s="268"/>
      <c r="K753" s="268"/>
    </row>
    <row r="754" spans="1:11">
      <c r="A754" s="1955" t="s">
        <v>1147</v>
      </c>
      <c r="B754" s="1955"/>
      <c r="C754" s="1955"/>
      <c r="D754" s="1955"/>
      <c r="E754" s="1955"/>
      <c r="F754" s="1955"/>
      <c r="G754" s="1955"/>
    </row>
    <row r="755" spans="1:11">
      <c r="A755" s="259"/>
      <c r="B755" s="259"/>
      <c r="C755" s="259"/>
      <c r="D755" s="275"/>
      <c r="F755" s="147"/>
      <c r="G755" s="270"/>
    </row>
    <row r="756" spans="1:11">
      <c r="A756" s="272"/>
      <c r="B756" s="272"/>
      <c r="C756" s="437"/>
      <c r="D756" s="1956" t="s">
        <v>1131</v>
      </c>
      <c r="E756" s="1956"/>
      <c r="F756" s="1956"/>
      <c r="G756" s="270"/>
    </row>
    <row r="757" spans="1:11">
      <c r="A757" s="494"/>
      <c r="B757" s="494"/>
      <c r="C757" s="493"/>
      <c r="D757" s="1957" t="s">
        <v>1148</v>
      </c>
      <c r="E757" s="1957"/>
      <c r="F757" s="1957"/>
      <c r="G757" s="270"/>
    </row>
    <row r="758" spans="1:11">
      <c r="A758" s="272"/>
      <c r="B758" s="272"/>
      <c r="C758" s="437"/>
      <c r="D758" s="682"/>
      <c r="E758" s="682"/>
      <c r="F758" s="682"/>
      <c r="G758" s="270"/>
    </row>
    <row r="759" spans="1:11" ht="14.25">
      <c r="A759" s="260"/>
      <c r="B759" s="668" t="s">
        <v>308</v>
      </c>
      <c r="C759" s="437"/>
      <c r="D759" s="1958" t="s">
        <v>1025</v>
      </c>
      <c r="E759" s="1958"/>
      <c r="F759" s="1958"/>
      <c r="G759" s="270"/>
    </row>
    <row r="760" spans="1:11">
      <c r="A760" s="272"/>
      <c r="B760" s="272"/>
      <c r="C760" s="437"/>
      <c r="D760" s="681"/>
      <c r="E760" s="1959" t="s">
        <v>1132</v>
      </c>
      <c r="F760" s="1959"/>
      <c r="G760" s="270"/>
    </row>
    <row r="761" spans="1:11">
      <c r="A761" s="266"/>
      <c r="B761" s="266"/>
      <c r="C761" s="266"/>
      <c r="D761" s="135"/>
      <c r="F761" s="57"/>
      <c r="G761" s="270"/>
    </row>
    <row r="762" spans="1:11">
      <c r="A762" s="1953" t="s">
        <v>450</v>
      </c>
      <c r="B762" s="1953"/>
      <c r="C762" s="1953"/>
      <c r="D762" s="1953"/>
      <c r="E762" s="1953"/>
      <c r="F762" s="1953"/>
      <c r="G762" s="1953"/>
    </row>
    <row r="763" spans="1:11">
      <c r="A763" s="254"/>
      <c r="B763" s="662"/>
      <c r="C763" s="265"/>
      <c r="D763" s="270"/>
      <c r="E763" s="270"/>
      <c r="F763" s="270"/>
      <c r="G763" s="270"/>
    </row>
    <row r="764" spans="1:11">
      <c r="A764" s="135"/>
      <c r="B764" s="1954" t="s">
        <v>1024</v>
      </c>
      <c r="C764" s="1954"/>
      <c r="D764" s="1954"/>
      <c r="E764" s="1954"/>
      <c r="F764" s="1954"/>
      <c r="G764" s="270"/>
    </row>
    <row r="765" spans="1:11">
      <c r="A765" s="23"/>
      <c r="B765" s="664"/>
      <c r="G765" s="270"/>
    </row>
    <row r="766" spans="1:11">
      <c r="A766" s="1953" t="s">
        <v>451</v>
      </c>
      <c r="B766" s="1953"/>
      <c r="C766" s="1953"/>
      <c r="D766" s="1953"/>
      <c r="E766" s="1953"/>
      <c r="F766" s="1953"/>
      <c r="G766" s="1953"/>
    </row>
    <row r="767" spans="1:11">
      <c r="A767" s="254"/>
      <c r="B767" s="662"/>
      <c r="C767" s="254"/>
      <c r="D767" s="262"/>
      <c r="G767" s="270"/>
    </row>
    <row r="768" spans="1:11">
      <c r="A768" s="135"/>
      <c r="B768" s="1950" t="s">
        <v>449</v>
      </c>
      <c r="C768" s="1950"/>
      <c r="D768" s="1950"/>
      <c r="E768" s="1950"/>
      <c r="F768" s="1950"/>
      <c r="G768" s="270"/>
    </row>
    <row r="769" spans="1:7" ht="14.25">
      <c r="A769" s="260"/>
      <c r="B769" s="260"/>
      <c r="D769" s="135"/>
      <c r="E769" s="135"/>
      <c r="F769" s="270"/>
      <c r="G769" s="270"/>
    </row>
    <row r="770" spans="1:7">
      <c r="A770" s="1953" t="s">
        <v>452</v>
      </c>
      <c r="B770" s="1953"/>
      <c r="C770" s="1953"/>
      <c r="D770" s="1953"/>
      <c r="E770" s="1953"/>
      <c r="F770" s="1953"/>
      <c r="G770" s="1953"/>
    </row>
    <row r="771" spans="1:7">
      <c r="C771" s="259"/>
      <c r="D771" s="258"/>
      <c r="E771" s="135"/>
      <c r="F771" s="270"/>
      <c r="G771" s="270"/>
    </row>
    <row r="772" spans="1:7">
      <c r="A772" s="135"/>
      <c r="B772" s="1950" t="s">
        <v>449</v>
      </c>
      <c r="C772" s="1950"/>
      <c r="D772" s="1950"/>
      <c r="E772" s="1950"/>
      <c r="F772" s="1950"/>
      <c r="G772" s="270"/>
    </row>
    <row r="773" spans="1:7">
      <c r="A773" s="135"/>
      <c r="B773" s="135"/>
      <c r="C773" s="265"/>
      <c r="D773" s="270"/>
      <c r="E773" s="270"/>
      <c r="F773" s="270"/>
      <c r="G773" s="270"/>
    </row>
    <row r="774" spans="1:7">
      <c r="A774" s="1953" t="s">
        <v>453</v>
      </c>
      <c r="B774" s="1953"/>
      <c r="C774" s="1953"/>
      <c r="D774" s="1953"/>
      <c r="E774" s="1953"/>
      <c r="F774" s="1953"/>
      <c r="G774" s="1953"/>
    </row>
    <row r="775" spans="1:7">
      <c r="A775" s="135"/>
      <c r="B775" s="135"/>
    </row>
    <row r="776" spans="1:7">
      <c r="A776" s="135"/>
      <c r="B776" s="1950" t="s">
        <v>449</v>
      </c>
      <c r="C776" s="1950"/>
      <c r="D776" s="1950"/>
      <c r="E776" s="1950"/>
      <c r="F776" s="1950"/>
    </row>
    <row r="777" spans="1:7">
      <c r="A777" s="265"/>
      <c r="B777" s="265"/>
      <c r="C777" s="265"/>
      <c r="D777" s="257"/>
      <c r="F777" s="270"/>
    </row>
    <row r="778" spans="1:7">
      <c r="A778" s="1953" t="s">
        <v>454</v>
      </c>
      <c r="B778" s="1953"/>
      <c r="C778" s="1953"/>
      <c r="D778" s="1953"/>
      <c r="E778" s="1953"/>
      <c r="F778" s="1953"/>
      <c r="G778" s="1953"/>
    </row>
    <row r="779" spans="1:7">
      <c r="A779" s="135"/>
      <c r="B779" s="135"/>
    </row>
    <row r="780" spans="1:7">
      <c r="A780" s="135"/>
      <c r="B780" s="1950" t="s">
        <v>449</v>
      </c>
      <c r="C780" s="1950"/>
      <c r="D780" s="1950"/>
      <c r="E780" s="1950"/>
      <c r="F780" s="1950"/>
    </row>
    <row r="781" spans="1:7">
      <c r="A781" s="265"/>
      <c r="B781" s="265"/>
      <c r="C781" s="265"/>
      <c r="D781" s="257"/>
      <c r="F781" s="270"/>
    </row>
    <row r="782" spans="1:7">
      <c r="A782" s="1953" t="s">
        <v>455</v>
      </c>
      <c r="B782" s="1953"/>
      <c r="C782" s="1953"/>
      <c r="D782" s="1953"/>
      <c r="E782" s="1953"/>
      <c r="F782" s="1953"/>
      <c r="G782" s="1953"/>
    </row>
    <row r="783" spans="1:7">
      <c r="A783" s="135"/>
      <c r="B783" s="135"/>
    </row>
    <row r="784" spans="1:7">
      <c r="A784" s="135"/>
      <c r="B784" s="1950" t="s">
        <v>449</v>
      </c>
      <c r="C784" s="1950"/>
      <c r="D784" s="1950"/>
      <c r="E784" s="1950"/>
      <c r="F784" s="1950"/>
    </row>
    <row r="785" spans="1:7">
      <c r="A785" s="264"/>
      <c r="B785" s="264"/>
      <c r="C785" s="264"/>
      <c r="D785" s="276"/>
      <c r="E785" s="57"/>
      <c r="F785" s="57"/>
      <c r="G785" s="57"/>
    </row>
    <row r="786" spans="1:7">
      <c r="A786" s="1953" t="s">
        <v>187</v>
      </c>
      <c r="B786" s="1953"/>
      <c r="C786" s="1953"/>
      <c r="D786" s="1953"/>
      <c r="E786" s="1953"/>
      <c r="F786" s="1953"/>
      <c r="G786" s="1953"/>
    </row>
    <row r="787" spans="1:7">
      <c r="A787" s="135"/>
      <c r="B787" s="135"/>
    </row>
    <row r="788" spans="1:7">
      <c r="A788" s="135"/>
      <c r="B788" s="1950" t="s">
        <v>449</v>
      </c>
      <c r="C788" s="1950"/>
      <c r="D788" s="1950"/>
      <c r="E788" s="1950"/>
      <c r="F788" s="1950"/>
    </row>
    <row r="789" spans="1:7">
      <c r="A789" s="135"/>
      <c r="B789" s="135"/>
      <c r="D789" s="257"/>
    </row>
    <row r="790" spans="1:7">
      <c r="A790" s="1953" t="s">
        <v>902</v>
      </c>
      <c r="B790" s="1953"/>
      <c r="C790" s="1953"/>
      <c r="D790" s="1953"/>
      <c r="E790" s="1953"/>
      <c r="F790" s="1953"/>
      <c r="G790" s="1953"/>
    </row>
    <row r="791" spans="1:7">
      <c r="A791" s="135"/>
      <c r="B791" s="135"/>
    </row>
    <row r="792" spans="1:7">
      <c r="A792" s="135"/>
      <c r="B792" s="1950" t="s">
        <v>449</v>
      </c>
      <c r="C792" s="1950"/>
      <c r="D792" s="1950"/>
      <c r="E792" s="1950"/>
      <c r="F792" s="1950"/>
      <c r="G792" s="12"/>
    </row>
    <row r="793" spans="1:7">
      <c r="A793" s="254"/>
      <c r="B793" s="662"/>
      <c r="C793" s="254"/>
      <c r="E793" s="12"/>
      <c r="F793" s="12"/>
      <c r="G793" s="12"/>
    </row>
    <row r="794" spans="1:7" ht="14.25">
      <c r="A794" s="260"/>
      <c r="B794" s="260"/>
      <c r="C794" s="259"/>
      <c r="D794" s="257"/>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0"/>
      <c r="B802" s="260"/>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0"/>
      <c r="B807" s="260"/>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0"/>
      <c r="B810" s="260"/>
      <c r="D810" s="135"/>
      <c r="E810" s="12"/>
      <c r="F810" s="12"/>
      <c r="G810" s="12"/>
    </row>
    <row r="811" spans="1:7" ht="12.75" hidden="1" customHeight="1">
      <c r="E811" s="12"/>
      <c r="F811" s="12"/>
      <c r="G811" s="12"/>
    </row>
    <row r="812" spans="1:7" ht="14.25" hidden="1" customHeight="1">
      <c r="A812" s="260"/>
      <c r="B812" s="260"/>
      <c r="D812" s="135"/>
      <c r="E812" s="12"/>
      <c r="F812" s="12"/>
      <c r="G812" s="12"/>
    </row>
    <row r="813" spans="1:7" ht="12.75" hidden="1" customHeight="1">
      <c r="A813" s="266"/>
      <c r="B813" s="266"/>
      <c r="C813" s="26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711" customWidth="1"/>
    <col min="11" max="16384" width="8.85546875" style="711" hidden="1"/>
  </cols>
  <sheetData>
    <row r="1" spans="1:10" ht="14.25" customHeight="1"/>
    <row r="2" spans="1:10" ht="15.75">
      <c r="A2" s="2000" t="s">
        <v>2128</v>
      </c>
      <c r="B2" s="2001"/>
      <c r="C2" s="2001"/>
      <c r="D2" s="2001"/>
      <c r="E2" s="2001"/>
      <c r="F2" s="2001"/>
      <c r="G2" s="2001"/>
      <c r="H2" s="2001"/>
      <c r="I2" s="2001"/>
      <c r="J2" s="2001"/>
    </row>
    <row r="3" spans="1:10" ht="15">
      <c r="A3" s="2005" t="s">
        <v>1425</v>
      </c>
      <c r="B3" s="2006"/>
      <c r="C3" s="2006"/>
      <c r="D3" s="2006"/>
      <c r="E3" s="2006"/>
      <c r="F3" s="2006"/>
      <c r="G3" s="2006"/>
      <c r="H3" s="2006"/>
      <c r="I3" s="2006"/>
      <c r="J3" s="2006"/>
    </row>
    <row r="4" spans="1:10" ht="12.75"/>
    <row r="5" spans="1:10" ht="12.75" customHeight="1">
      <c r="A5" s="2002" t="s">
        <v>2436</v>
      </c>
      <c r="B5" s="2002"/>
      <c r="C5" s="2002"/>
      <c r="D5" s="2002"/>
      <c r="E5" s="2002"/>
      <c r="F5" s="2002"/>
      <c r="G5" s="2002"/>
      <c r="H5" s="2002"/>
      <c r="I5" s="2002"/>
      <c r="J5" s="2002"/>
    </row>
    <row r="6" spans="1:10" ht="12.75">
      <c r="A6" s="2002"/>
      <c r="B6" s="2002"/>
      <c r="C6" s="2002"/>
      <c r="D6" s="2002"/>
      <c r="E6" s="2002"/>
      <c r="F6" s="2002"/>
      <c r="G6" s="2002"/>
      <c r="H6" s="2002"/>
      <c r="I6" s="2002"/>
      <c r="J6" s="2002"/>
    </row>
    <row r="7" spans="1:10" ht="30" customHeight="1">
      <c r="A7" s="2002"/>
      <c r="B7" s="2002"/>
      <c r="C7" s="2002"/>
      <c r="D7" s="2002"/>
      <c r="E7" s="2002"/>
      <c r="F7" s="2002"/>
      <c r="G7" s="2002"/>
      <c r="H7" s="2002"/>
      <c r="I7" s="2002"/>
      <c r="J7" s="2002"/>
    </row>
    <row r="8" spans="1:10" ht="12.75">
      <c r="A8" s="761"/>
      <c r="B8" s="761"/>
      <c r="C8" s="761"/>
      <c r="D8" s="761"/>
      <c r="E8" s="761"/>
      <c r="F8" s="761"/>
      <c r="G8" s="761"/>
      <c r="H8" s="761"/>
      <c r="I8" s="761"/>
      <c r="J8" s="761"/>
    </row>
    <row r="9" spans="1:10" ht="12.75" customHeight="1">
      <c r="A9" s="1658" t="s">
        <v>2131</v>
      </c>
      <c r="B9" s="1657"/>
      <c r="C9" s="1657"/>
      <c r="D9" s="1657"/>
      <c r="E9" s="1657"/>
      <c r="F9" s="1657"/>
      <c r="G9" s="1657"/>
      <c r="H9" s="1657"/>
      <c r="I9" s="1657"/>
      <c r="J9" s="1657"/>
    </row>
    <row r="10" spans="1:10" ht="12.75"/>
    <row r="11" spans="1:10" ht="12.75" customHeight="1">
      <c r="A11" s="2007" t="s">
        <v>2133</v>
      </c>
      <c r="B11" s="2007"/>
      <c r="C11" s="2007"/>
      <c r="D11" s="2007"/>
      <c r="E11" s="2007"/>
      <c r="F11" s="2007"/>
      <c r="G11" s="2007"/>
      <c r="H11" s="2007"/>
      <c r="I11" s="2007"/>
      <c r="J11" s="2007"/>
    </row>
    <row r="12" spans="1:10" ht="12.75">
      <c r="A12" s="2007"/>
      <c r="B12" s="2007"/>
      <c r="C12" s="2007"/>
      <c r="D12" s="2007"/>
      <c r="E12" s="2007"/>
      <c r="F12" s="2007"/>
      <c r="G12" s="2007"/>
      <c r="H12" s="2007"/>
      <c r="I12" s="2007"/>
      <c r="J12" s="2007"/>
    </row>
    <row r="13" spans="1:10" s="1602" customFormat="1" ht="12.75">
      <c r="A13" s="2007"/>
      <c r="B13" s="2007"/>
      <c r="C13" s="2007"/>
      <c r="D13" s="2007"/>
      <c r="E13" s="2007"/>
      <c r="F13" s="2007"/>
      <c r="G13" s="2007"/>
      <c r="H13" s="2007"/>
      <c r="I13" s="2007"/>
      <c r="J13" s="2007"/>
    </row>
    <row r="14" spans="1:10" ht="12.75">
      <c r="A14" s="2008"/>
      <c r="B14" s="2008"/>
      <c r="C14" s="2008"/>
      <c r="D14" s="2008"/>
      <c r="E14" s="2008"/>
      <c r="F14" s="2008"/>
      <c r="G14" s="2008"/>
      <c r="H14" s="2008"/>
      <c r="I14" s="2008"/>
      <c r="J14" s="2008"/>
    </row>
    <row r="15" spans="1:10" ht="12.75">
      <c r="A15" s="2008"/>
      <c r="B15" s="2008"/>
      <c r="C15" s="2008"/>
      <c r="D15" s="2008"/>
      <c r="E15" s="2008"/>
      <c r="F15" s="2008"/>
      <c r="G15" s="2008"/>
      <c r="H15" s="2008"/>
      <c r="I15" s="2008"/>
      <c r="J15" s="2008"/>
    </row>
    <row r="16" spans="1:10" ht="12.75">
      <c r="A16" s="2008"/>
      <c r="B16" s="2008"/>
      <c r="C16" s="2008"/>
      <c r="D16" s="2008"/>
      <c r="E16" s="2008"/>
      <c r="F16" s="2008"/>
      <c r="G16" s="2008"/>
      <c r="H16" s="2008"/>
      <c r="I16" s="2008"/>
      <c r="J16" s="2008"/>
    </row>
    <row r="17" spans="1:10" s="1602" customFormat="1" ht="12.75">
      <c r="A17" s="1660"/>
      <c r="B17" s="1660"/>
      <c r="C17" s="1660"/>
      <c r="D17" s="1660"/>
      <c r="E17" s="1660"/>
      <c r="F17" s="1660"/>
      <c r="G17" s="1660"/>
      <c r="H17" s="1660"/>
      <c r="I17" s="1660"/>
      <c r="J17" s="1660"/>
    </row>
    <row r="18" spans="1:10" ht="12.75">
      <c r="A18" s="762" t="s">
        <v>2132</v>
      </c>
      <c r="B18" s="761"/>
      <c r="C18" s="761"/>
      <c r="D18" s="761"/>
      <c r="E18" s="761"/>
      <c r="F18" s="761"/>
      <c r="G18" s="761"/>
      <c r="H18" s="761"/>
      <c r="I18" s="761"/>
      <c r="J18" s="761"/>
    </row>
    <row r="19" spans="1:10" ht="12.75">
      <c r="A19" s="763" t="s">
        <v>251</v>
      </c>
      <c r="B19" s="763"/>
      <c r="C19" s="763"/>
      <c r="D19" s="763"/>
      <c r="E19" s="763"/>
      <c r="F19" s="763"/>
      <c r="G19" s="763"/>
      <c r="H19" s="763"/>
      <c r="I19" s="763"/>
      <c r="J19" s="763"/>
    </row>
    <row r="20" spans="1:10" ht="12.75">
      <c r="A20" s="2009" t="s">
        <v>1331</v>
      </c>
      <c r="B20" s="2006"/>
      <c r="C20" s="2006"/>
      <c r="D20" s="2006"/>
      <c r="E20" s="200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2002" t="s">
        <v>1332</v>
      </c>
      <c r="B57" s="2003"/>
      <c r="C57" s="2003"/>
      <c r="D57" s="2003"/>
      <c r="E57" s="2003"/>
      <c r="F57" s="2003"/>
      <c r="G57" s="2003"/>
      <c r="H57" s="2003"/>
      <c r="I57" s="2003"/>
      <c r="J57" s="2003"/>
    </row>
    <row r="58" spans="1:10" ht="12.75">
      <c r="A58" s="2003"/>
      <c r="B58" s="2003"/>
      <c r="C58" s="2003"/>
      <c r="D58" s="2003"/>
      <c r="E58" s="2003"/>
      <c r="F58" s="2003"/>
      <c r="G58" s="2003"/>
      <c r="H58" s="2003"/>
      <c r="I58" s="2003"/>
      <c r="J58" s="2003"/>
    </row>
    <row r="59" spans="1:10" ht="12.75">
      <c r="A59" s="2003"/>
      <c r="B59" s="2003"/>
      <c r="C59" s="2003"/>
      <c r="D59" s="2003"/>
      <c r="E59" s="2003"/>
      <c r="F59" s="2003"/>
      <c r="G59" s="2003"/>
      <c r="H59" s="2003"/>
      <c r="I59" s="2003"/>
      <c r="J59" s="2003"/>
    </row>
    <row r="60" spans="1:10" ht="12.75"/>
    <row r="61" spans="1:10" ht="12.75">
      <c r="A61" s="661" t="s">
        <v>1331</v>
      </c>
    </row>
    <row r="62" spans="1:10" ht="12.75"/>
    <row r="63" spans="1:10" ht="12.75"/>
    <row r="64" spans="1:10" ht="12.75"/>
    <row r="65" spans="1:9" ht="12.75"/>
    <row r="66" spans="1:9" ht="12.75"/>
    <row r="67" spans="1:9" ht="12.75"/>
    <row r="68" spans="1:9" ht="12.75"/>
    <row r="69" spans="1:9" ht="12.75"/>
    <row r="70" spans="1:9" ht="12.75"/>
    <row r="71" spans="1:9" ht="12.75"/>
    <row r="72" spans="1:9" ht="12.75">
      <c r="A72" s="2004" t="s">
        <v>2129</v>
      </c>
      <c r="B72" s="2004"/>
      <c r="C72" s="2004"/>
      <c r="D72" s="2004"/>
      <c r="E72" s="2004"/>
      <c r="F72" s="2004"/>
      <c r="G72" s="2004"/>
      <c r="H72" s="2004"/>
      <c r="I72" s="2004"/>
    </row>
    <row r="73" spans="1:9" ht="12.75">
      <c r="A73" s="1926" t="s">
        <v>2434</v>
      </c>
      <c r="B73" s="1926"/>
      <c r="C73" s="1926"/>
      <c r="D73" s="1926"/>
      <c r="E73" s="1926"/>
    </row>
    <row r="74" spans="1:9" ht="12.75">
      <c r="A74" s="1926" t="s">
        <v>2435</v>
      </c>
      <c r="B74" s="1926"/>
      <c r="C74" s="1926"/>
      <c r="D74" s="1926"/>
      <c r="E74" s="1926"/>
    </row>
    <row r="75" spans="1:9" ht="12.75">
      <c r="A75" s="1926" t="s">
        <v>2130</v>
      </c>
      <c r="B75" s="1926"/>
      <c r="C75" s="1926"/>
      <c r="D75" s="1926"/>
      <c r="E75" s="1926"/>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D27" sqref="D27:F31"/>
    </sheetView>
  </sheetViews>
  <sheetFormatPr defaultColWidth="0" defaultRowHeight="12.75" zeroHeight="1"/>
  <cols>
    <col min="1" max="1" width="3.5703125" style="777" customWidth="1"/>
    <col min="2" max="2" width="13.5703125" style="777" customWidth="1"/>
    <col min="3" max="3" width="2.5703125" style="777" customWidth="1"/>
    <col min="4" max="5" width="3.5703125" style="778" customWidth="1"/>
    <col min="6" max="6" width="65.5703125" style="778" customWidth="1"/>
    <col min="7" max="7" width="1.5703125" style="778" customWidth="1"/>
    <col min="8" max="8" width="3.5703125" style="779" customWidth="1"/>
    <col min="9" max="9" width="24.42578125" style="1607" customWidth="1"/>
    <col min="10" max="10" width="8.85546875" style="779" customWidth="1"/>
    <col min="11" max="16384" width="8.85546875" style="779" hidden="1"/>
  </cols>
  <sheetData>
    <row r="1" spans="1:13"/>
    <row r="2" spans="1:13">
      <c r="A2" s="2010" t="s">
        <v>2603</v>
      </c>
      <c r="B2" s="2010"/>
      <c r="C2" s="2010"/>
      <c r="D2" s="2010"/>
      <c r="E2" s="2010"/>
      <c r="F2" s="2010"/>
      <c r="G2" s="2010"/>
      <c r="H2" s="2010"/>
      <c r="I2" s="2010"/>
    </row>
    <row r="3" spans="1:13">
      <c r="A3" s="2011" t="s">
        <v>1996</v>
      </c>
      <c r="B3" s="2011"/>
      <c r="C3" s="2011"/>
      <c r="D3" s="2011"/>
      <c r="E3" s="2011"/>
      <c r="F3" s="2011"/>
      <c r="G3" s="2011"/>
      <c r="H3" s="2011"/>
      <c r="I3" s="2011"/>
    </row>
    <row r="4" spans="1:13">
      <c r="A4" s="2038"/>
      <c r="B4" s="2038"/>
      <c r="C4" s="2039"/>
      <c r="D4" s="2039"/>
      <c r="E4" s="2039"/>
      <c r="F4" s="2039"/>
      <c r="G4" s="2039"/>
      <c r="I4" s="633"/>
    </row>
    <row r="5" spans="1:13" s="780" customFormat="1">
      <c r="A5" s="2038"/>
      <c r="B5" s="2038"/>
      <c r="C5" s="2042"/>
      <c r="D5" s="2042"/>
      <c r="E5" s="2042"/>
      <c r="F5" s="2042"/>
      <c r="G5" s="2042"/>
      <c r="I5" s="1665"/>
    </row>
    <row r="6" spans="1:13" s="780" customFormat="1">
      <c r="A6" s="2034" t="s">
        <v>1201</v>
      </c>
      <c r="B6" s="2034"/>
      <c r="C6" s="2035"/>
      <c r="D6" s="2035"/>
      <c r="E6" s="2035"/>
      <c r="F6" s="2035"/>
      <c r="G6" s="2035"/>
      <c r="I6" s="1664" t="s">
        <v>2139</v>
      </c>
    </row>
    <row r="7" spans="1:13" s="780" customFormat="1">
      <c r="A7" s="2034" t="s">
        <v>1202</v>
      </c>
      <c r="B7" s="2034"/>
      <c r="C7" s="2035"/>
      <c r="D7" s="2035"/>
      <c r="E7" s="2035"/>
      <c r="F7" s="2035"/>
      <c r="G7" s="2035"/>
      <c r="I7" s="1664" t="s">
        <v>2140</v>
      </c>
    </row>
    <row r="8" spans="1:13">
      <c r="A8" s="781"/>
      <c r="B8" s="781"/>
      <c r="C8" s="782"/>
      <c r="D8" s="782"/>
      <c r="E8" s="782"/>
      <c r="F8" s="782"/>
    </row>
    <row r="9" spans="1:13">
      <c r="A9" s="1974" t="s">
        <v>1204</v>
      </c>
      <c r="B9" s="1974"/>
      <c r="C9" s="1974"/>
      <c r="D9" s="1974"/>
      <c r="E9" s="1974"/>
      <c r="F9" s="1974"/>
      <c r="G9" s="1974"/>
      <c r="H9" s="1681"/>
      <c r="I9" s="1682"/>
    </row>
    <row r="10" spans="1:13">
      <c r="A10" s="782"/>
      <c r="B10" s="782"/>
      <c r="E10" s="783"/>
    </row>
    <row r="11" spans="1:13" ht="13.7" customHeight="1">
      <c r="C11" s="782"/>
      <c r="D11" s="2036" t="s">
        <v>1203</v>
      </c>
      <c r="E11" s="2036"/>
      <c r="F11" s="2036"/>
    </row>
    <row r="12" spans="1:13">
      <c r="C12" s="782"/>
      <c r="D12" s="2036"/>
      <c r="E12" s="2036"/>
      <c r="F12" s="2036"/>
    </row>
    <row r="13" spans="1:13">
      <c r="A13" s="784"/>
      <c r="B13" s="784"/>
      <c r="C13" s="784"/>
      <c r="D13" s="1984" t="s">
        <v>1186</v>
      </c>
      <c r="E13" s="1984"/>
      <c r="F13" s="1984"/>
      <c r="M13" s="1564"/>
    </row>
    <row r="14" spans="1:13">
      <c r="A14" s="784"/>
      <c r="B14" s="784"/>
      <c r="C14" s="784"/>
      <c r="D14" s="785"/>
      <c r="L14" s="1695"/>
    </row>
    <row r="15" spans="1:13" ht="14.25">
      <c r="A15" s="786"/>
      <c r="B15" s="787" t="s">
        <v>2796</v>
      </c>
      <c r="C15" s="788"/>
      <c r="D15" s="1979" t="s">
        <v>2293</v>
      </c>
      <c r="E15" s="1979"/>
      <c r="F15" s="1979"/>
      <c r="I15" s="1607" t="s">
        <v>2141</v>
      </c>
    </row>
    <row r="16" spans="1:13">
      <c r="A16" s="784"/>
      <c r="B16" s="784"/>
      <c r="C16" s="788"/>
      <c r="D16" s="1979"/>
      <c r="E16" s="1979"/>
      <c r="F16" s="1979"/>
    </row>
    <row r="17" spans="1:9">
      <c r="A17" s="784"/>
      <c r="B17" s="784"/>
      <c r="C17" s="788"/>
      <c r="D17" s="1979"/>
      <c r="E17" s="1979"/>
      <c r="F17" s="1979"/>
    </row>
    <row r="18" spans="1:9" s="1605" customFormat="1">
      <c r="A18" s="784"/>
      <c r="B18" s="784"/>
      <c r="C18" s="788"/>
      <c r="D18" s="1694"/>
      <c r="E18" s="1695" t="s">
        <v>2291</v>
      </c>
      <c r="F18" s="1694"/>
      <c r="G18" s="1604"/>
      <c r="I18" s="1607"/>
    </row>
    <row r="19" spans="1:9">
      <c r="A19" s="784"/>
      <c r="B19" s="784"/>
      <c r="C19" s="784"/>
    </row>
    <row r="20" spans="1:9" ht="14.25">
      <c r="A20" s="786"/>
      <c r="B20" s="787" t="s">
        <v>2796</v>
      </c>
      <c r="D20" s="1979" t="s">
        <v>2294</v>
      </c>
      <c r="E20" s="1979"/>
      <c r="F20" s="1979"/>
      <c r="I20" s="1607" t="s">
        <v>2142</v>
      </c>
    </row>
    <row r="21" spans="1:9" s="1605" customFormat="1" ht="14.25">
      <c r="A21" s="786"/>
      <c r="B21" s="777"/>
      <c r="C21" s="777"/>
      <c r="D21" s="1979"/>
      <c r="E21" s="1979"/>
      <c r="F21" s="1979"/>
      <c r="G21" s="1604"/>
      <c r="I21" s="1607"/>
    </row>
    <row r="22" spans="1:9" s="1605" customFormat="1" ht="14.25">
      <c r="A22" s="786"/>
      <c r="B22" s="777"/>
      <c r="C22" s="777"/>
      <c r="D22" s="1693"/>
      <c r="E22" s="1564" t="s">
        <v>2290</v>
      </c>
      <c r="F22" s="1693"/>
      <c r="G22" s="1604"/>
      <c r="I22" s="1607"/>
    </row>
    <row r="23" spans="1:9" ht="14.25">
      <c r="A23" s="786"/>
      <c r="B23" s="786"/>
      <c r="D23" s="789"/>
    </row>
    <row r="24" spans="1:9" ht="14.25">
      <c r="A24" s="786"/>
      <c r="B24" s="787" t="s">
        <v>2783</v>
      </c>
      <c r="D24" s="1979" t="s">
        <v>1189</v>
      </c>
      <c r="E24" s="1979"/>
      <c r="F24" s="1979"/>
      <c r="I24" s="1607" t="s">
        <v>2142</v>
      </c>
    </row>
    <row r="25" spans="1:9" ht="14.25">
      <c r="A25" s="786"/>
      <c r="B25" s="786"/>
      <c r="D25" s="1979"/>
      <c r="E25" s="1979"/>
      <c r="F25" s="1979"/>
    </row>
    <row r="26" spans="1:9"/>
    <row r="27" spans="1:9" ht="14.25">
      <c r="A27" s="786"/>
      <c r="B27" s="787" t="s">
        <v>2796</v>
      </c>
      <c r="D27" s="2023" t="s">
        <v>2437</v>
      </c>
      <c r="E27" s="2023"/>
      <c r="F27" s="2023"/>
      <c r="I27" s="1607" t="s">
        <v>2145</v>
      </c>
    </row>
    <row r="28" spans="1:9">
      <c r="D28" s="2023"/>
      <c r="E28" s="2023"/>
      <c r="F28" s="2023"/>
    </row>
    <row r="29" spans="1:9">
      <c r="D29" s="2023"/>
      <c r="E29" s="2023"/>
      <c r="F29" s="2023"/>
    </row>
    <row r="30" spans="1:9">
      <c r="D30" s="2023"/>
      <c r="E30" s="2023"/>
      <c r="F30" s="2023"/>
    </row>
    <row r="31" spans="1:9">
      <c r="D31" s="2023"/>
      <c r="E31" s="2023"/>
      <c r="F31" s="2023"/>
    </row>
    <row r="32" spans="1:9" s="780" customFormat="1">
      <c r="A32" s="790"/>
      <c r="B32" s="790"/>
      <c r="C32" s="790"/>
      <c r="D32" s="722"/>
      <c r="E32" s="791"/>
      <c r="F32" s="791"/>
      <c r="G32" s="791"/>
      <c r="I32" s="1665"/>
    </row>
    <row r="33" spans="1:9" s="780" customFormat="1">
      <c r="A33" s="790"/>
      <c r="B33" s="787" t="s">
        <v>2783</v>
      </c>
      <c r="C33" s="790"/>
      <c r="D33" s="1936" t="s">
        <v>2438</v>
      </c>
      <c r="E33" s="1936"/>
      <c r="F33" s="1936"/>
      <c r="G33" s="791"/>
      <c r="I33" s="1665" t="s">
        <v>2141</v>
      </c>
    </row>
    <row r="34" spans="1:9" s="780" customFormat="1">
      <c r="A34" s="790"/>
      <c r="B34" s="790"/>
      <c r="C34" s="790"/>
      <c r="D34" s="1936"/>
      <c r="E34" s="1936"/>
      <c r="F34" s="1936"/>
      <c r="G34" s="791"/>
      <c r="I34" s="1665"/>
    </row>
    <row r="35" spans="1:9" ht="14.25">
      <c r="A35" s="786"/>
      <c r="B35" s="786"/>
      <c r="D35" s="792"/>
    </row>
    <row r="36" spans="1:9" ht="14.45" customHeight="1">
      <c r="A36" s="786"/>
      <c r="B36" s="787" t="s">
        <v>2796</v>
      </c>
      <c r="D36" s="1936" t="s">
        <v>1356</v>
      </c>
      <c r="E36" s="1936"/>
      <c r="F36" s="1936"/>
      <c r="I36" s="1665" t="s">
        <v>2212</v>
      </c>
    </row>
    <row r="37" spans="1:9" ht="14.25">
      <c r="A37" s="786"/>
      <c r="B37" s="786"/>
      <c r="D37" s="1936"/>
      <c r="E37" s="1936"/>
      <c r="F37" s="1936"/>
    </row>
    <row r="38" spans="1:9" ht="14.25">
      <c r="A38" s="786"/>
      <c r="B38" s="786"/>
      <c r="D38" s="1936"/>
      <c r="E38" s="1936"/>
      <c r="F38" s="1936"/>
    </row>
    <row r="39" spans="1:9" ht="14.25">
      <c r="A39" s="786"/>
      <c r="B39" s="786"/>
      <c r="D39" s="1936"/>
      <c r="E39" s="1936"/>
      <c r="F39" s="1936"/>
    </row>
    <row r="40" spans="1:9" ht="14.25">
      <c r="A40" s="786"/>
      <c r="B40" s="786"/>
      <c r="D40" s="779"/>
    </row>
    <row r="41" spans="1:9" ht="14.25">
      <c r="A41" s="786"/>
      <c r="B41" s="787" t="s">
        <v>2783</v>
      </c>
      <c r="D41" s="1936" t="s">
        <v>1193</v>
      </c>
      <c r="E41" s="1936"/>
      <c r="F41" s="1936"/>
    </row>
    <row r="42" spans="1:9" ht="14.25">
      <c r="A42" s="786"/>
      <c r="B42" s="786"/>
      <c r="D42" s="1936"/>
      <c r="E42" s="1936"/>
      <c r="F42" s="1936"/>
    </row>
    <row r="43" spans="1:9" ht="14.25">
      <c r="A43" s="786"/>
      <c r="B43" s="786"/>
      <c r="D43" s="1936"/>
      <c r="E43" s="1936"/>
      <c r="F43" s="1936"/>
    </row>
    <row r="44" spans="1:9" ht="14.25">
      <c r="A44" s="786"/>
      <c r="B44" s="786"/>
      <c r="D44" s="1936"/>
      <c r="E44" s="1936"/>
      <c r="F44" s="1936"/>
    </row>
    <row r="45" spans="1:9" ht="14.25">
      <c r="A45" s="786"/>
      <c r="B45" s="786"/>
      <c r="D45" s="1936"/>
      <c r="E45" s="1936"/>
      <c r="F45" s="1936"/>
    </row>
    <row r="46" spans="1:9" ht="14.25">
      <c r="A46" s="786"/>
      <c r="B46" s="786"/>
      <c r="D46" s="770"/>
      <c r="E46" s="770"/>
      <c r="F46" s="770"/>
    </row>
    <row r="47" spans="1:9" ht="14.25">
      <c r="A47" s="786"/>
      <c r="B47" s="787" t="s">
        <v>2796</v>
      </c>
      <c r="D47" s="1936" t="s">
        <v>1194</v>
      </c>
      <c r="E47" s="1936"/>
      <c r="F47" s="1936"/>
      <c r="I47" s="1665" t="s">
        <v>2212</v>
      </c>
    </row>
    <row r="48" spans="1:9" ht="14.25">
      <c r="A48" s="786"/>
      <c r="B48" s="786"/>
      <c r="D48" s="1936"/>
      <c r="E48" s="1936"/>
      <c r="F48" s="1936"/>
    </row>
    <row r="49" spans="1:9" ht="14.25">
      <c r="A49" s="786"/>
      <c r="B49" s="786"/>
      <c r="D49" s="1936"/>
      <c r="E49" s="1936"/>
      <c r="F49" s="1936"/>
    </row>
    <row r="50" spans="1:9" ht="23.25" customHeight="1">
      <c r="A50" s="786"/>
      <c r="B50" s="786"/>
      <c r="D50" s="1936"/>
      <c r="E50" s="1936"/>
      <c r="F50" s="1936"/>
    </row>
    <row r="51" spans="1:9" ht="14.25">
      <c r="A51" s="786"/>
      <c r="B51" s="786"/>
      <c r="D51" s="774"/>
    </row>
    <row r="52" spans="1:9" ht="14.45" customHeight="1">
      <c r="A52" s="786"/>
      <c r="B52" s="787" t="s">
        <v>2783</v>
      </c>
      <c r="D52" s="1936" t="s">
        <v>1195</v>
      </c>
      <c r="E52" s="1936"/>
      <c r="F52" s="1936"/>
      <c r="I52" s="1665" t="s">
        <v>2212</v>
      </c>
    </row>
    <row r="53" spans="1:9" ht="14.25">
      <c r="A53" s="786"/>
      <c r="B53" s="786"/>
      <c r="D53" s="1936"/>
      <c r="E53" s="1936"/>
      <c r="F53" s="1936"/>
    </row>
    <row r="54" spans="1:9" ht="14.25">
      <c r="A54" s="786"/>
      <c r="B54" s="786"/>
      <c r="D54" s="1936"/>
      <c r="E54" s="1936"/>
      <c r="F54" s="1936"/>
    </row>
    <row r="55" spans="1:9" s="609" customFormat="1" ht="14.25">
      <c r="A55" s="786"/>
      <c r="B55" s="786"/>
      <c r="C55" s="793"/>
      <c r="D55" s="791"/>
      <c r="E55" s="682"/>
      <c r="F55" s="682"/>
      <c r="G55" s="682"/>
      <c r="I55" s="633"/>
    </row>
    <row r="56" spans="1:9" s="609" customFormat="1" ht="14.25">
      <c r="A56" s="794"/>
      <c r="B56" s="787" t="s">
        <v>2796</v>
      </c>
      <c r="C56" s="795"/>
      <c r="D56" s="2037" t="s">
        <v>1196</v>
      </c>
      <c r="E56" s="2037"/>
      <c r="F56" s="2037"/>
      <c r="G56" s="682"/>
      <c r="I56" s="1607"/>
    </row>
    <row r="57" spans="1:9" s="609" customFormat="1" ht="14.25">
      <c r="A57" s="794"/>
      <c r="B57" s="794"/>
      <c r="C57" s="795"/>
      <c r="D57" s="2037"/>
      <c r="E57" s="2037"/>
      <c r="F57" s="2037"/>
      <c r="G57" s="682"/>
      <c r="I57" s="633"/>
    </row>
    <row r="58" spans="1:9" s="609" customFormat="1" ht="14.25">
      <c r="A58" s="794"/>
      <c r="B58" s="794"/>
      <c r="C58" s="1609"/>
      <c r="D58" s="1705" t="s">
        <v>2292</v>
      </c>
      <c r="E58" s="1692"/>
      <c r="F58" s="1692"/>
      <c r="G58" s="682"/>
      <c r="I58" s="633"/>
    </row>
    <row r="59" spans="1:9" s="609" customFormat="1" ht="14.25">
      <c r="A59" s="794"/>
      <c r="B59" s="794"/>
      <c r="C59" s="1609"/>
      <c r="D59" s="1692"/>
      <c r="E59" s="1695" t="s">
        <v>2291</v>
      </c>
      <c r="F59" s="1692"/>
      <c r="G59" s="682"/>
      <c r="I59" s="633"/>
    </row>
    <row r="60" spans="1:9" s="780" customFormat="1">
      <c r="A60" s="790"/>
      <c r="B60" s="790"/>
      <c r="C60" s="790"/>
      <c r="D60" s="722"/>
      <c r="E60" s="791"/>
      <c r="F60" s="791"/>
      <c r="G60" s="791"/>
      <c r="I60" s="1665"/>
    </row>
    <row r="61" spans="1:9" ht="14.25">
      <c r="A61" s="786"/>
      <c r="B61" s="787" t="s">
        <v>2783</v>
      </c>
      <c r="D61" s="1936" t="s">
        <v>1197</v>
      </c>
      <c r="E61" s="1936"/>
      <c r="F61" s="1936"/>
      <c r="I61" s="1607" t="s">
        <v>2143</v>
      </c>
    </row>
    <row r="62" spans="1:9">
      <c r="D62" s="1936"/>
      <c r="E62" s="1936"/>
      <c r="F62" s="1936"/>
    </row>
    <row r="63" spans="1:9">
      <c r="D63" s="1936"/>
      <c r="E63" s="1936"/>
      <c r="F63" s="1936"/>
    </row>
    <row r="64" spans="1:9">
      <c r="D64" s="682"/>
    </row>
    <row r="65" spans="1:9" ht="14.25">
      <c r="A65" s="786"/>
      <c r="B65" s="787" t="s">
        <v>2796</v>
      </c>
      <c r="D65" s="1936" t="s">
        <v>1198</v>
      </c>
      <c r="E65" s="1936"/>
      <c r="F65" s="1936"/>
      <c r="I65" s="1607" t="s">
        <v>2144</v>
      </c>
    </row>
    <row r="66" spans="1:9">
      <c r="D66" s="1936"/>
      <c r="E66" s="1936"/>
      <c r="F66" s="1936"/>
    </row>
    <row r="67" spans="1:9"/>
    <row r="68" spans="1:9" ht="14.25">
      <c r="A68" s="786"/>
      <c r="B68" s="787" t="s">
        <v>2796</v>
      </c>
      <c r="D68" s="1936" t="s">
        <v>1199</v>
      </c>
      <c r="E68" s="1936"/>
      <c r="F68" s="1936"/>
    </row>
    <row r="69" spans="1:9">
      <c r="D69" s="1936"/>
      <c r="E69" s="1936"/>
      <c r="F69" s="1936"/>
      <c r="I69" s="1607" t="s">
        <v>2145</v>
      </c>
    </row>
    <row r="70" spans="1:9">
      <c r="D70" s="1936"/>
      <c r="E70" s="1936"/>
      <c r="F70" s="1936"/>
    </row>
    <row r="71" spans="1:9">
      <c r="D71" s="779"/>
    </row>
    <row r="72" spans="1:9" ht="14.25">
      <c r="A72" s="786"/>
      <c r="B72" s="787" t="s">
        <v>2796</v>
      </c>
      <c r="D72" s="1979" t="s">
        <v>1200</v>
      </c>
      <c r="E72" s="1979"/>
      <c r="F72" s="1979"/>
      <c r="I72" s="1607" t="s">
        <v>2145</v>
      </c>
    </row>
    <row r="73" spans="1:9">
      <c r="D73" s="1979"/>
      <c r="E73" s="1979"/>
      <c r="F73" s="1979"/>
    </row>
    <row r="74" spans="1:9" ht="14.25">
      <c r="A74" s="786"/>
      <c r="B74" s="786"/>
      <c r="D74" s="789"/>
    </row>
    <row r="75" spans="1:9">
      <c r="A75" s="1944" t="s">
        <v>1107</v>
      </c>
      <c r="B75" s="1944"/>
      <c r="C75" s="1944"/>
      <c r="D75" s="1944"/>
      <c r="E75" s="1944"/>
      <c r="F75" s="1944"/>
      <c r="G75" s="1944"/>
      <c r="H75" s="1681"/>
      <c r="I75" s="1682"/>
    </row>
    <row r="76" spans="1:9"/>
    <row r="77" spans="1:9">
      <c r="C77" s="796"/>
      <c r="D77" s="2016" t="s">
        <v>1205</v>
      </c>
      <c r="E77" s="2016"/>
      <c r="F77" s="2016"/>
    </row>
    <row r="78" spans="1:9">
      <c r="A78" s="789"/>
      <c r="B78" s="789"/>
      <c r="D78" s="1979" t="s">
        <v>1232</v>
      </c>
      <c r="E78" s="1979"/>
      <c r="F78" s="1979"/>
    </row>
    <row r="79" spans="1:9">
      <c r="A79" s="789"/>
      <c r="B79" s="789"/>
    </row>
    <row r="80" spans="1:9" ht="13.7" customHeight="1">
      <c r="A80" s="786"/>
      <c r="B80" s="787" t="s">
        <v>2796</v>
      </c>
      <c r="D80" s="1979" t="s">
        <v>1400</v>
      </c>
      <c r="E80" s="1979"/>
      <c r="F80" s="1979"/>
      <c r="I80" s="1607" t="s">
        <v>2146</v>
      </c>
    </row>
    <row r="81" spans="1:9" ht="14.25">
      <c r="A81" s="786"/>
      <c r="B81" s="786"/>
      <c r="D81" s="1979"/>
      <c r="E81" s="1979"/>
      <c r="F81" s="1979"/>
    </row>
    <row r="82" spans="1:9" ht="14.25">
      <c r="A82" s="786"/>
      <c r="B82" s="786"/>
      <c r="D82" s="1979"/>
      <c r="E82" s="1979"/>
      <c r="F82" s="1979"/>
    </row>
    <row r="83" spans="1:9" ht="14.25">
      <c r="A83" s="786"/>
      <c r="B83" s="786"/>
      <c r="D83" s="1979"/>
      <c r="E83" s="1979"/>
      <c r="F83" s="1979"/>
    </row>
    <row r="84" spans="1:9" ht="14.25">
      <c r="A84" s="786"/>
      <c r="B84" s="786"/>
      <c r="D84" s="1979"/>
      <c r="E84" s="1979"/>
      <c r="F84" s="1979"/>
    </row>
    <row r="85" spans="1:9" ht="14.25">
      <c r="A85" s="786"/>
      <c r="B85" s="786"/>
      <c r="D85" s="1979"/>
      <c r="E85" s="1979"/>
      <c r="F85" s="1979"/>
    </row>
    <row r="86" spans="1:9" ht="14.25">
      <c r="A86" s="786"/>
      <c r="B86" s="786"/>
      <c r="D86" s="1979"/>
      <c r="E86" s="1979"/>
      <c r="F86" s="1979"/>
    </row>
    <row r="87" spans="1:9" ht="14.25">
      <c r="A87" s="786"/>
      <c r="B87" s="786"/>
      <c r="D87" s="1979"/>
      <c r="E87" s="1979"/>
      <c r="F87" s="1979"/>
    </row>
    <row r="88" spans="1:9" ht="14.25">
      <c r="A88" s="786"/>
      <c r="B88" s="786"/>
      <c r="D88" s="859"/>
      <c r="E88" s="859"/>
      <c r="F88" s="859"/>
    </row>
    <row r="89" spans="1:9" ht="15" customHeight="1">
      <c r="A89" s="786"/>
      <c r="B89" s="787" t="s">
        <v>2796</v>
      </c>
      <c r="D89" s="1979" t="s">
        <v>1997</v>
      </c>
      <c r="E89" s="1979"/>
      <c r="F89" s="1979"/>
      <c r="I89" s="1607" t="s">
        <v>2147</v>
      </c>
    </row>
    <row r="90" spans="1:9" ht="14.25">
      <c r="A90" s="786"/>
      <c r="B90" s="786"/>
      <c r="D90" s="1979"/>
      <c r="E90" s="1979"/>
      <c r="F90" s="1979"/>
    </row>
    <row r="91" spans="1:9" ht="14.25">
      <c r="A91" s="786"/>
      <c r="B91" s="786"/>
      <c r="D91" s="1547"/>
      <c r="E91" s="1547"/>
      <c r="F91" s="1547"/>
    </row>
    <row r="92" spans="1:9" ht="14.25">
      <c r="A92" s="786"/>
      <c r="B92" s="787" t="s">
        <v>2796</v>
      </c>
      <c r="D92" s="1979" t="s">
        <v>2000</v>
      </c>
      <c r="E92" s="1979"/>
      <c r="F92" s="1979"/>
      <c r="I92" s="1607" t="s">
        <v>2148</v>
      </c>
    </row>
    <row r="93" spans="1:9" ht="14.25">
      <c r="A93" s="786"/>
      <c r="B93" s="786"/>
      <c r="D93" s="1979"/>
      <c r="E93" s="1979"/>
      <c r="F93" s="1979"/>
    </row>
    <row r="94" spans="1:9" ht="14.25">
      <c r="A94" s="786"/>
      <c r="B94" s="786"/>
      <c r="D94" s="1979"/>
      <c r="E94" s="1979"/>
      <c r="F94" s="1979"/>
    </row>
    <row r="95" spans="1:9" ht="14.25">
      <c r="A95" s="786"/>
      <c r="B95" s="786"/>
      <c r="D95" s="1547"/>
      <c r="E95" s="1547"/>
      <c r="F95" s="1547"/>
    </row>
    <row r="96" spans="1:9" ht="14.25">
      <c r="A96" s="786"/>
      <c r="B96" s="787" t="s">
        <v>2796</v>
      </c>
      <c r="D96" s="1979" t="s">
        <v>1999</v>
      </c>
      <c r="E96" s="1979"/>
      <c r="F96" s="1979"/>
      <c r="I96" s="1607" t="s">
        <v>2193</v>
      </c>
    </row>
    <row r="97" spans="1:9" s="1563" customFormat="1" ht="14.25">
      <c r="A97" s="1561"/>
      <c r="B97" s="1561"/>
      <c r="C97" s="1562"/>
      <c r="D97" s="1979"/>
      <c r="E97" s="1979"/>
      <c r="F97" s="1979"/>
      <c r="I97" s="1666"/>
    </row>
    <row r="98" spans="1:9" ht="14.25">
      <c r="A98" s="786"/>
      <c r="B98" s="786"/>
      <c r="D98" s="1553"/>
      <c r="E98" s="1695" t="s">
        <v>2295</v>
      </c>
      <c r="F98" s="1547"/>
    </row>
    <row r="99" spans="1:9" ht="14.25">
      <c r="A99" s="786"/>
      <c r="B99" s="786"/>
      <c r="D99" s="859"/>
      <c r="E99" s="859"/>
      <c r="F99" s="859"/>
    </row>
    <row r="100" spans="1:9" ht="14.25">
      <c r="A100" s="786"/>
      <c r="B100" s="787" t="s">
        <v>2783</v>
      </c>
      <c r="D100" s="1979" t="s">
        <v>1998</v>
      </c>
      <c r="E100" s="1979"/>
      <c r="F100" s="1979"/>
      <c r="I100" s="1607" t="s">
        <v>2149</v>
      </c>
    </row>
    <row r="101" spans="1:9" ht="14.25">
      <c r="A101" s="786"/>
      <c r="B101" s="786"/>
      <c r="D101" s="1979"/>
      <c r="E101" s="1979"/>
      <c r="F101" s="1979"/>
    </row>
    <row r="102" spans="1:9" ht="14.25">
      <c r="A102" s="786"/>
      <c r="B102" s="786"/>
      <c r="D102" s="1547"/>
      <c r="E102" s="1547"/>
      <c r="F102" s="1547"/>
    </row>
    <row r="103" spans="1:9" ht="14.45" customHeight="1">
      <c r="A103" s="786"/>
      <c r="B103" s="787" t="s">
        <v>2783</v>
      </c>
      <c r="D103" s="1979" t="s">
        <v>1336</v>
      </c>
      <c r="E103" s="1979"/>
      <c r="F103" s="1979"/>
      <c r="G103" s="779"/>
      <c r="I103" s="1607" t="s">
        <v>2150</v>
      </c>
    </row>
    <row r="104" spans="1:9" ht="14.25">
      <c r="A104" s="786"/>
      <c r="B104" s="786"/>
      <c r="D104" s="1979"/>
      <c r="E104" s="1979"/>
      <c r="F104" s="1979"/>
      <c r="G104" s="779"/>
    </row>
    <row r="105" spans="1:9" ht="14.25">
      <c r="A105" s="786"/>
      <c r="B105" s="786"/>
      <c r="D105" s="1979"/>
      <c r="E105" s="1979"/>
      <c r="F105" s="1979"/>
      <c r="G105" s="779"/>
    </row>
    <row r="106" spans="1:9" ht="14.25">
      <c r="A106" s="786"/>
      <c r="B106" s="786"/>
      <c r="D106" s="1979"/>
      <c r="E106" s="1979"/>
      <c r="F106" s="1979"/>
      <c r="G106" s="779"/>
    </row>
    <row r="107" spans="1:9" ht="14.25">
      <c r="A107" s="786"/>
      <c r="B107" s="786"/>
      <c r="D107" s="1979"/>
      <c r="E107" s="1979"/>
      <c r="F107" s="1979"/>
      <c r="G107" s="779"/>
    </row>
    <row r="108" spans="1:9" ht="14.25">
      <c r="A108" s="786"/>
      <c r="B108" s="786"/>
      <c r="D108" s="1979"/>
      <c r="E108" s="1979"/>
      <c r="F108" s="1979"/>
      <c r="G108" s="779"/>
    </row>
    <row r="109" spans="1:9" ht="14.25">
      <c r="A109" s="786"/>
      <c r="B109" s="786"/>
      <c r="D109" s="1979"/>
      <c r="E109" s="1979"/>
      <c r="F109" s="1979"/>
      <c r="G109" s="779"/>
    </row>
    <row r="110" spans="1:9" ht="14.25">
      <c r="A110" s="786"/>
      <c r="B110" s="786"/>
      <c r="D110" s="1979"/>
      <c r="E110" s="1979"/>
      <c r="F110" s="1979"/>
      <c r="G110" s="779"/>
    </row>
    <row r="111" spans="1:9" ht="14.25">
      <c r="A111" s="786"/>
      <c r="B111" s="786"/>
      <c r="D111" s="1979"/>
      <c r="E111" s="1979"/>
      <c r="F111" s="1979"/>
      <c r="G111" s="779"/>
    </row>
    <row r="112" spans="1:9" ht="14.25">
      <c r="A112" s="786"/>
      <c r="B112" s="786"/>
      <c r="D112" s="1979"/>
      <c r="E112" s="1979"/>
      <c r="F112" s="1979"/>
      <c r="G112" s="779"/>
    </row>
    <row r="113" spans="1:11" ht="14.25">
      <c r="A113" s="786"/>
      <c r="B113" s="786"/>
      <c r="D113" s="1979"/>
      <c r="E113" s="1979"/>
      <c r="F113" s="1979"/>
      <c r="G113" s="779"/>
    </row>
    <row r="114" spans="1:11" ht="14.25">
      <c r="A114" s="786"/>
      <c r="B114" s="786"/>
      <c r="D114" s="1979"/>
      <c r="E114" s="1979"/>
      <c r="F114" s="1979"/>
      <c r="G114" s="779"/>
    </row>
    <row r="115" spans="1:11" ht="14.25">
      <c r="A115" s="786"/>
      <c r="B115" s="786"/>
      <c r="D115" s="1979"/>
      <c r="E115" s="1979"/>
      <c r="F115" s="1979"/>
      <c r="G115" s="779"/>
    </row>
    <row r="116" spans="1:11" ht="14.25">
      <c r="A116" s="786"/>
      <c r="B116" s="786"/>
      <c r="D116" s="1979"/>
      <c r="E116" s="1979"/>
      <c r="F116" s="1979"/>
    </row>
    <row r="117" spans="1:11" ht="14.25">
      <c r="A117" s="786"/>
      <c r="B117" s="786"/>
      <c r="D117" s="1979"/>
      <c r="E117" s="1979"/>
      <c r="F117" s="1979"/>
    </row>
    <row r="118" spans="1:11" ht="14.25">
      <c r="A118" s="786"/>
      <c r="B118" s="786"/>
      <c r="D118" s="885"/>
      <c r="E118" s="885"/>
      <c r="F118" s="885"/>
    </row>
    <row r="119" spans="1:11" ht="14.25" customHeight="1">
      <c r="A119" s="786"/>
      <c r="B119" s="787" t="s">
        <v>2783</v>
      </c>
      <c r="D119" s="1977" t="s">
        <v>1207</v>
      </c>
      <c r="E119" s="1977"/>
      <c r="F119" s="1977"/>
    </row>
    <row r="120" spans="1:11" ht="14.25">
      <c r="A120" s="786"/>
      <c r="B120" s="786"/>
      <c r="D120" s="1977"/>
      <c r="E120" s="1977"/>
      <c r="F120" s="1977"/>
    </row>
    <row r="121" spans="1:11" ht="14.25">
      <c r="A121" s="786"/>
      <c r="B121" s="786"/>
      <c r="D121" s="1977"/>
      <c r="E121" s="1977"/>
      <c r="F121" s="1977"/>
    </row>
    <row r="122" spans="1:11" ht="14.25">
      <c r="A122" s="786"/>
      <c r="B122" s="786"/>
      <c r="D122" s="1977"/>
      <c r="E122" s="1977"/>
      <c r="F122" s="1977"/>
    </row>
    <row r="123" spans="1:11" ht="14.25">
      <c r="A123" s="786"/>
      <c r="B123" s="786"/>
      <c r="D123" s="1977"/>
      <c r="E123" s="1977"/>
      <c r="F123" s="1977"/>
    </row>
    <row r="124" spans="1:11" ht="14.25">
      <c r="A124" s="786"/>
      <c r="B124" s="786"/>
      <c r="D124" s="1977"/>
      <c r="E124" s="1977"/>
      <c r="F124" s="1977"/>
    </row>
    <row r="125" spans="1:11" ht="14.25">
      <c r="A125" s="786"/>
      <c r="B125" s="786"/>
      <c r="D125" s="1977"/>
      <c r="E125" s="1977"/>
      <c r="F125" s="1977"/>
    </row>
    <row r="126" spans="1:11" ht="14.25">
      <c r="A126" s="786"/>
      <c r="B126" s="786"/>
      <c r="D126" s="1977"/>
      <c r="E126" s="1977"/>
      <c r="F126" s="1977"/>
    </row>
    <row r="127" spans="1:11">
      <c r="C127" s="711"/>
      <c r="D127" s="886"/>
      <c r="E127" s="886"/>
      <c r="F127" s="886"/>
      <c r="G127" s="711"/>
      <c r="H127" s="711"/>
      <c r="I127" s="613"/>
      <c r="J127" s="711"/>
      <c r="K127" s="711"/>
    </row>
    <row r="128" spans="1:11" ht="14.25">
      <c r="A128" s="786"/>
      <c r="B128" s="787" t="s">
        <v>2796</v>
      </c>
      <c r="C128" s="711"/>
      <c r="D128" s="1977" t="s">
        <v>2439</v>
      </c>
      <c r="E128" s="1977"/>
      <c r="F128" s="1977"/>
      <c r="G128" s="711"/>
      <c r="H128" s="711"/>
      <c r="I128" s="613" t="s">
        <v>2151</v>
      </c>
      <c r="J128" s="711"/>
      <c r="K128" s="711"/>
    </row>
    <row r="129" spans="1:11" ht="14.25">
      <c r="A129" s="786"/>
      <c r="B129" s="786"/>
      <c r="C129" s="711"/>
      <c r="D129" s="1977"/>
      <c r="E129" s="1977"/>
      <c r="F129" s="1977"/>
      <c r="G129" s="711"/>
      <c r="H129" s="711"/>
      <c r="I129" s="613"/>
      <c r="J129" s="711"/>
      <c r="K129" s="711"/>
    </row>
    <row r="130" spans="1:11"/>
    <row r="131" spans="1:11" ht="14.25">
      <c r="A131" s="786"/>
      <c r="B131" s="787" t="s">
        <v>2796</v>
      </c>
      <c r="C131" s="793"/>
      <c r="D131" s="1979" t="s">
        <v>1210</v>
      </c>
      <c r="E131" s="1979"/>
      <c r="F131" s="1979"/>
      <c r="I131" s="613" t="s">
        <v>2151</v>
      </c>
    </row>
    <row r="132" spans="1:11">
      <c r="C132" s="793"/>
      <c r="D132" s="1979"/>
      <c r="E132" s="1979"/>
      <c r="F132" s="1979"/>
    </row>
    <row r="133" spans="1:11">
      <c r="C133" s="793"/>
      <c r="D133" s="1979"/>
      <c r="E133" s="1979"/>
      <c r="F133" s="1979"/>
    </row>
    <row r="134" spans="1:11">
      <c r="C134" s="793"/>
      <c r="D134" s="1979"/>
      <c r="E134" s="1979"/>
      <c r="F134" s="1979"/>
    </row>
    <row r="135" spans="1:11">
      <c r="C135" s="793"/>
      <c r="D135" s="1979"/>
      <c r="E135" s="1979"/>
      <c r="F135" s="1979"/>
    </row>
    <row r="136" spans="1:11">
      <c r="C136" s="793"/>
      <c r="D136" s="661"/>
      <c r="E136" s="661"/>
      <c r="F136" s="661"/>
    </row>
    <row r="137" spans="1:11" s="711" customFormat="1" ht="14.25">
      <c r="A137" s="786"/>
      <c r="B137" s="787" t="s">
        <v>2796</v>
      </c>
      <c r="C137" s="793"/>
      <c r="D137" s="1936" t="s">
        <v>1211</v>
      </c>
      <c r="E137" s="1936"/>
      <c r="F137" s="1936"/>
      <c r="G137" s="661"/>
      <c r="I137" s="613" t="s">
        <v>2152</v>
      </c>
    </row>
    <row r="138" spans="1:11" s="801" customFormat="1" ht="13.7" customHeight="1">
      <c r="A138" s="798"/>
      <c r="B138" s="798"/>
      <c r="C138" s="799"/>
      <c r="D138" s="1936"/>
      <c r="E138" s="1936"/>
      <c r="F138" s="1936"/>
      <c r="G138" s="800"/>
      <c r="I138" s="1667"/>
    </row>
    <row r="139" spans="1:11" s="711" customFormat="1" ht="13.7" customHeight="1">
      <c r="A139" s="777"/>
      <c r="B139" s="777"/>
      <c r="C139" s="793"/>
      <c r="D139" s="1936"/>
      <c r="E139" s="1936"/>
      <c r="F139" s="1936"/>
      <c r="G139" s="661"/>
      <c r="I139" s="613"/>
    </row>
    <row r="140" spans="1:11" s="711" customFormat="1" ht="13.7" customHeight="1">
      <c r="A140" s="777"/>
      <c r="B140" s="777"/>
      <c r="C140" s="793"/>
      <c r="D140" s="1936"/>
      <c r="E140" s="1936"/>
      <c r="F140" s="1936"/>
      <c r="G140" s="661"/>
      <c r="I140" s="613"/>
    </row>
    <row r="141" spans="1:11" s="711" customFormat="1" ht="13.7" customHeight="1">
      <c r="A141" s="777"/>
      <c r="B141" s="777"/>
      <c r="C141" s="793"/>
      <c r="D141" s="1936"/>
      <c r="E141" s="1936"/>
      <c r="F141" s="1936"/>
      <c r="G141" s="661"/>
      <c r="I141" s="613"/>
    </row>
    <row r="142" spans="1:11" s="711" customFormat="1" ht="13.7" customHeight="1">
      <c r="A142" s="802"/>
      <c r="B142" s="802"/>
      <c r="C142" s="793"/>
      <c r="D142" s="1936"/>
      <c r="E142" s="1936"/>
      <c r="F142" s="1936"/>
      <c r="G142" s="661"/>
      <c r="I142" s="613"/>
    </row>
    <row r="143" spans="1:11" s="609" customFormat="1" ht="13.7" customHeight="1">
      <c r="A143" s="790"/>
      <c r="B143" s="790"/>
      <c r="C143" s="795"/>
      <c r="D143" s="1936"/>
      <c r="E143" s="1936"/>
      <c r="F143" s="1936"/>
      <c r="G143" s="682"/>
      <c r="I143" s="633"/>
    </row>
    <row r="144" spans="1:11" s="609" customFormat="1" ht="13.7" customHeight="1">
      <c r="A144" s="790"/>
      <c r="B144" s="790"/>
      <c r="C144" s="795"/>
      <c r="D144" s="1936"/>
      <c r="E144" s="1936"/>
      <c r="F144" s="1936"/>
      <c r="G144" s="682"/>
      <c r="I144" s="633"/>
    </row>
    <row r="145" spans="1:9" s="609" customFormat="1" ht="13.7" customHeight="1">
      <c r="A145" s="790"/>
      <c r="B145" s="790"/>
      <c r="C145" s="1609"/>
      <c r="D145" s="1936"/>
      <c r="E145" s="1936"/>
      <c r="F145" s="1936"/>
      <c r="G145" s="682"/>
      <c r="I145" s="633"/>
    </row>
    <row r="146" spans="1:9" s="711" customFormat="1" ht="13.7" customHeight="1">
      <c r="A146" s="777"/>
      <c r="B146" s="777"/>
      <c r="C146" s="793"/>
      <c r="D146" s="1936"/>
      <c r="E146" s="1936"/>
      <c r="F146" s="1936"/>
      <c r="G146" s="661"/>
      <c r="I146" s="613"/>
    </row>
    <row r="147" spans="1:9" s="711" customFormat="1" ht="13.7" customHeight="1">
      <c r="A147" s="777"/>
      <c r="B147" s="777"/>
      <c r="C147" s="793"/>
      <c r="D147" s="1936"/>
      <c r="E147" s="1936"/>
      <c r="F147" s="1936"/>
      <c r="G147" s="661"/>
      <c r="I147" s="613"/>
    </row>
    <row r="148" spans="1:9" s="711" customFormat="1" ht="13.7" customHeight="1">
      <c r="A148" s="777"/>
      <c r="B148" s="777"/>
      <c r="C148" s="793"/>
      <c r="D148" s="1936"/>
      <c r="E148" s="1936"/>
      <c r="F148" s="1936"/>
      <c r="G148" s="661"/>
      <c r="I148" s="613"/>
    </row>
    <row r="149" spans="1:9" s="711" customFormat="1" ht="13.7" customHeight="1">
      <c r="A149" s="777"/>
      <c r="B149" s="777"/>
      <c r="C149" s="793"/>
      <c r="D149" s="1936"/>
      <c r="E149" s="1936"/>
      <c r="F149" s="1936"/>
      <c r="G149" s="661"/>
      <c r="I149" s="613"/>
    </row>
    <row r="150" spans="1:9" s="711" customFormat="1" ht="13.7" customHeight="1">
      <c r="A150" s="777"/>
      <c r="B150" s="777"/>
      <c r="C150" s="793"/>
      <c r="D150" s="785"/>
      <c r="E150" s="774"/>
      <c r="F150" s="774"/>
      <c r="G150" s="661"/>
      <c r="I150" s="613"/>
    </row>
    <row r="151" spans="1:9" s="711" customFormat="1" ht="13.7" customHeight="1">
      <c r="A151" s="777"/>
      <c r="B151" s="787" t="s">
        <v>2783</v>
      </c>
      <c r="C151" s="793"/>
      <c r="D151" s="2020" t="s">
        <v>1319</v>
      </c>
      <c r="E151" s="2020"/>
      <c r="F151" s="2020"/>
      <c r="G151" s="661"/>
      <c r="I151" s="613" t="s">
        <v>2153</v>
      </c>
    </row>
    <row r="152" spans="1:9" s="711" customFormat="1" ht="13.7" customHeight="1">
      <c r="A152" s="777"/>
      <c r="B152" s="777"/>
      <c r="C152" s="793"/>
      <c r="D152" s="2020"/>
      <c r="E152" s="2020"/>
      <c r="F152" s="2020"/>
      <c r="G152" s="661"/>
      <c r="I152" s="613"/>
    </row>
    <row r="153" spans="1:9" s="711" customFormat="1" ht="13.7" customHeight="1">
      <c r="A153" s="777"/>
      <c r="B153" s="777"/>
      <c r="C153" s="793"/>
      <c r="D153" s="2020"/>
      <c r="E153" s="2020"/>
      <c r="F153" s="2020"/>
      <c r="G153" s="661"/>
      <c r="I153" s="613"/>
    </row>
    <row r="154" spans="1:9" s="711" customFormat="1" ht="13.7" customHeight="1">
      <c r="A154" s="777"/>
      <c r="B154" s="777"/>
      <c r="C154" s="793"/>
      <c r="D154" s="2020"/>
      <c r="E154" s="2020"/>
      <c r="F154" s="2020"/>
      <c r="G154" s="661"/>
      <c r="I154" s="613"/>
    </row>
    <row r="155" spans="1:9" s="711" customFormat="1" ht="13.7" customHeight="1">
      <c r="A155" s="777"/>
      <c r="B155" s="777"/>
      <c r="C155" s="793"/>
      <c r="D155" s="2020"/>
      <c r="E155" s="2020"/>
      <c r="F155" s="2020"/>
      <c r="G155" s="661"/>
      <c r="I155" s="613"/>
    </row>
    <row r="156" spans="1:9" s="711" customFormat="1" ht="13.7" customHeight="1">
      <c r="A156" s="777"/>
      <c r="B156" s="777"/>
      <c r="C156" s="793"/>
      <c r="D156" s="2020"/>
      <c r="E156" s="2020"/>
      <c r="F156" s="2020"/>
      <c r="G156" s="661"/>
      <c r="I156" s="613"/>
    </row>
    <row r="157" spans="1:9" s="711" customFormat="1" ht="13.7" customHeight="1">
      <c r="A157" s="777"/>
      <c r="B157" s="777"/>
      <c r="C157" s="793"/>
      <c r="D157" s="2020"/>
      <c r="E157" s="2020"/>
      <c r="F157" s="2020"/>
      <c r="G157" s="661"/>
      <c r="I157" s="613"/>
    </row>
    <row r="158" spans="1:9" s="711" customFormat="1" ht="13.7" customHeight="1">
      <c r="A158" s="777"/>
      <c r="B158" s="777"/>
      <c r="C158" s="793"/>
      <c r="D158" s="2020"/>
      <c r="E158" s="2020"/>
      <c r="F158" s="2020"/>
      <c r="G158" s="661"/>
      <c r="I158" s="613"/>
    </row>
    <row r="159" spans="1:9" s="711" customFormat="1" ht="13.7" customHeight="1">
      <c r="A159" s="777"/>
      <c r="B159" s="777"/>
      <c r="C159" s="793"/>
      <c r="D159" s="2020"/>
      <c r="E159" s="2020"/>
      <c r="F159" s="2020"/>
      <c r="G159" s="661"/>
      <c r="I159" s="613"/>
    </row>
    <row r="160" spans="1:9" s="711" customFormat="1" ht="13.7" customHeight="1">
      <c r="A160" s="777"/>
      <c r="B160" s="777"/>
      <c r="C160" s="793"/>
      <c r="D160" s="2020"/>
      <c r="E160" s="2020"/>
      <c r="F160" s="2020"/>
      <c r="G160" s="661"/>
      <c r="I160" s="613"/>
    </row>
    <row r="161" spans="1:9" s="711" customFormat="1" ht="13.7" customHeight="1">
      <c r="A161" s="777"/>
      <c r="B161" s="777"/>
      <c r="C161" s="793"/>
      <c r="D161" s="2020"/>
      <c r="E161" s="2020"/>
      <c r="F161" s="2020"/>
      <c r="G161" s="661"/>
      <c r="I161" s="613"/>
    </row>
    <row r="162" spans="1:9" s="711" customFormat="1" ht="13.7" customHeight="1">
      <c r="A162" s="777"/>
      <c r="B162" s="777"/>
      <c r="C162" s="793"/>
      <c r="D162" s="2020"/>
      <c r="E162" s="2020"/>
      <c r="F162" s="2020"/>
      <c r="G162" s="661"/>
      <c r="I162" s="613"/>
    </row>
    <row r="163" spans="1:9" s="711" customFormat="1" ht="13.7" customHeight="1">
      <c r="A163" s="777"/>
      <c r="B163" s="777"/>
      <c r="C163" s="793"/>
      <c r="D163" s="2020"/>
      <c r="E163" s="2020"/>
      <c r="F163" s="2020"/>
      <c r="G163" s="661"/>
      <c r="I163" s="613"/>
    </row>
    <row r="164" spans="1:9" s="711" customFormat="1" ht="13.7" customHeight="1">
      <c r="A164" s="777"/>
      <c r="B164" s="777"/>
      <c r="C164" s="793"/>
      <c r="D164" s="2020"/>
      <c r="E164" s="2020"/>
      <c r="F164" s="2020"/>
      <c r="G164" s="661"/>
      <c r="I164" s="613"/>
    </row>
    <row r="165" spans="1:9" s="711" customFormat="1" ht="13.7" customHeight="1">
      <c r="A165" s="777"/>
      <c r="B165" s="777"/>
      <c r="C165" s="793"/>
      <c r="D165" s="2020"/>
      <c r="E165" s="2020"/>
      <c r="F165" s="2020"/>
      <c r="G165" s="661"/>
      <c r="I165" s="613"/>
    </row>
    <row r="166" spans="1:9" s="711" customFormat="1" ht="13.7" customHeight="1">
      <c r="A166" s="777"/>
      <c r="B166" s="777"/>
      <c r="C166" s="793"/>
      <c r="D166" s="2020"/>
      <c r="E166" s="2020"/>
      <c r="F166" s="2020"/>
      <c r="G166" s="661"/>
      <c r="I166" s="613"/>
    </row>
    <row r="167" spans="1:9" s="711" customFormat="1" ht="13.7" customHeight="1">
      <c r="A167" s="777"/>
      <c r="B167" s="777"/>
      <c r="C167" s="793"/>
      <c r="D167" s="2020"/>
      <c r="E167" s="2020"/>
      <c r="F167" s="2020"/>
      <c r="G167" s="661"/>
      <c r="I167" s="613"/>
    </row>
    <row r="168" spans="1:9" s="711" customFormat="1" ht="13.7" customHeight="1">
      <c r="A168" s="777"/>
      <c r="B168" s="777"/>
      <c r="C168" s="793"/>
      <c r="D168" s="2020"/>
      <c r="E168" s="2020"/>
      <c r="F168" s="2020"/>
      <c r="G168" s="661"/>
      <c r="I168" s="613"/>
    </row>
    <row r="169" spans="1:9" s="711" customFormat="1" ht="13.7" customHeight="1">
      <c r="A169" s="777"/>
      <c r="B169" s="777"/>
      <c r="C169" s="793"/>
      <c r="D169" s="2041" t="s">
        <v>2464</v>
      </c>
      <c r="E169" s="2041"/>
      <c r="F169" s="2041"/>
      <c r="G169" s="845"/>
      <c r="I169" s="613"/>
    </row>
    <row r="170" spans="1:9" s="711" customFormat="1" ht="13.7" customHeight="1">
      <c r="A170" s="777"/>
      <c r="B170" s="777"/>
      <c r="C170" s="793"/>
      <c r="D170" s="2040"/>
      <c r="E170" s="2040"/>
      <c r="F170" s="2040"/>
      <c r="G170" s="2040"/>
      <c r="I170" s="613"/>
    </row>
    <row r="171" spans="1:9" s="711" customFormat="1" ht="14.45" customHeight="1">
      <c r="A171" s="802"/>
      <c r="B171" s="787" t="s">
        <v>2783</v>
      </c>
      <c r="C171" s="803"/>
      <c r="D171" s="1978" t="s">
        <v>1366</v>
      </c>
      <c r="E171" s="1978"/>
      <c r="F171" s="1978"/>
      <c r="G171" s="804"/>
      <c r="I171" s="613" t="s">
        <v>2148</v>
      </c>
    </row>
    <row r="172" spans="1:9" s="711" customFormat="1" ht="14.45" customHeight="1">
      <c r="A172" s="802"/>
      <c r="B172" s="802"/>
      <c r="C172" s="803"/>
      <c r="D172" s="1978"/>
      <c r="E172" s="1978"/>
      <c r="F172" s="1978"/>
      <c r="G172" s="804"/>
      <c r="I172" s="613"/>
    </row>
    <row r="173" spans="1:9" s="711" customFormat="1" ht="13.7" customHeight="1">
      <c r="A173" s="802"/>
      <c r="B173" s="802"/>
      <c r="C173" s="803"/>
      <c r="D173" s="1978"/>
      <c r="E173" s="1978"/>
      <c r="F173" s="1978"/>
      <c r="G173" s="804"/>
      <c r="I173" s="613"/>
    </row>
    <row r="174" spans="1:9" s="711" customFormat="1" ht="13.7" customHeight="1">
      <c r="A174" s="802"/>
      <c r="B174" s="802"/>
      <c r="C174" s="803"/>
      <c r="D174" s="785"/>
      <c r="E174" s="803"/>
      <c r="F174" s="803"/>
      <c r="G174" s="804"/>
      <c r="I174" s="613"/>
    </row>
    <row r="175" spans="1:9" s="711" customFormat="1" ht="13.7" customHeight="1">
      <c r="A175" s="802"/>
      <c r="B175" s="787" t="s">
        <v>2796</v>
      </c>
      <c r="C175" s="803"/>
      <c r="D175" s="1921" t="s">
        <v>1213</v>
      </c>
      <c r="E175" s="1921"/>
      <c r="F175" s="1921"/>
      <c r="G175" s="804"/>
      <c r="I175" s="613" t="s">
        <v>2154</v>
      </c>
    </row>
    <row r="176" spans="1:9" s="711" customFormat="1" ht="13.7" customHeight="1">
      <c r="A176" s="802"/>
      <c r="B176" s="802"/>
      <c r="C176" s="803"/>
      <c r="D176" s="1921"/>
      <c r="E176" s="1921"/>
      <c r="F176" s="1921"/>
      <c r="G176" s="804"/>
      <c r="I176" s="613"/>
    </row>
    <row r="177" spans="1:9" s="711" customFormat="1" ht="13.7" customHeight="1">
      <c r="A177" s="802"/>
      <c r="B177" s="802"/>
      <c r="C177" s="803"/>
      <c r="D177" s="1921"/>
      <c r="E177" s="1921"/>
      <c r="F177" s="1921"/>
      <c r="G177" s="804"/>
      <c r="I177" s="613"/>
    </row>
    <row r="178" spans="1:9" s="711" customFormat="1" ht="13.7" customHeight="1">
      <c r="A178" s="802"/>
      <c r="B178" s="802"/>
      <c r="C178" s="803"/>
      <c r="D178" s="1921"/>
      <c r="E178" s="1921"/>
      <c r="F178" s="1921"/>
      <c r="G178" s="804"/>
      <c r="I178" s="613"/>
    </row>
    <row r="179" spans="1:9" s="711" customFormat="1" ht="13.7" customHeight="1">
      <c r="A179" s="777"/>
      <c r="B179" s="777"/>
      <c r="C179" s="793"/>
      <c r="D179" s="774"/>
      <c r="E179" s="774"/>
      <c r="F179" s="774"/>
      <c r="G179" s="661"/>
      <c r="I179" s="613"/>
    </row>
    <row r="180" spans="1:9" s="711" customFormat="1" ht="13.7" customHeight="1">
      <c r="A180" s="777"/>
      <c r="B180" s="787" t="s">
        <v>2783</v>
      </c>
      <c r="C180" s="793"/>
      <c r="D180" s="1966" t="s">
        <v>2440</v>
      </c>
      <c r="E180" s="1966"/>
      <c r="F180" s="1966"/>
      <c r="G180" s="661"/>
      <c r="I180" s="613" t="s">
        <v>2155</v>
      </c>
    </row>
    <row r="181" spans="1:9" s="711" customFormat="1" ht="13.7" customHeight="1">
      <c r="A181" s="777"/>
      <c r="B181" s="777"/>
      <c r="C181" s="793"/>
      <c r="D181" s="1966"/>
      <c r="E181" s="1966"/>
      <c r="F181" s="1966"/>
      <c r="G181" s="661"/>
      <c r="I181" s="613"/>
    </row>
    <row r="182" spans="1:9" s="711" customFormat="1" ht="13.7" customHeight="1">
      <c r="A182" s="777"/>
      <c r="B182" s="777"/>
      <c r="C182" s="793"/>
      <c r="D182" s="1966"/>
      <c r="E182" s="1966"/>
      <c r="F182" s="1966"/>
      <c r="G182" s="661"/>
      <c r="I182" s="613"/>
    </row>
    <row r="183" spans="1:9" s="711" customFormat="1" ht="13.7" customHeight="1">
      <c r="A183" s="805"/>
      <c r="B183" s="805"/>
      <c r="C183" s="793"/>
      <c r="D183" s="778"/>
      <c r="E183" s="774"/>
      <c r="F183" s="774"/>
      <c r="G183" s="661"/>
      <c r="I183" s="613"/>
    </row>
    <row r="184" spans="1:9">
      <c r="A184" s="1944" t="s">
        <v>2441</v>
      </c>
      <c r="B184" s="1944"/>
      <c r="C184" s="1944"/>
      <c r="D184" s="1944"/>
      <c r="E184" s="1944"/>
      <c r="F184" s="1944"/>
      <c r="G184" s="1944"/>
      <c r="H184" s="1681"/>
      <c r="I184" s="1682"/>
    </row>
    <row r="185" spans="1:9" ht="12" customHeight="1">
      <c r="D185" s="789"/>
      <c r="E185" s="789"/>
      <c r="F185" s="789"/>
    </row>
    <row r="186" spans="1:9">
      <c r="B186" s="2032" t="s">
        <v>449</v>
      </c>
      <c r="C186" s="2032"/>
      <c r="D186" s="2032"/>
      <c r="E186" s="2032"/>
      <c r="F186" s="2032"/>
    </row>
    <row r="187" spans="1:9" s="1605" customFormat="1">
      <c r="A187" s="777"/>
      <c r="B187" s="1659" t="s">
        <v>2134</v>
      </c>
      <c r="C187" s="1659"/>
      <c r="D187" s="1659"/>
      <c r="E187" s="1659"/>
      <c r="F187" s="1659"/>
      <c r="G187" s="1604"/>
      <c r="I187" s="1607"/>
    </row>
    <row r="188" spans="1:9" ht="12" customHeight="1">
      <c r="A188" s="782"/>
      <c r="B188" s="782"/>
      <c r="C188" s="782"/>
    </row>
    <row r="189" spans="1:9">
      <c r="A189" s="1944" t="s">
        <v>1109</v>
      </c>
      <c r="B189" s="1944"/>
      <c r="C189" s="1944"/>
      <c r="D189" s="1944"/>
      <c r="E189" s="1944"/>
      <c r="F189" s="1944"/>
      <c r="G189" s="1944"/>
      <c r="H189" s="1681"/>
      <c r="I189" s="1682"/>
    </row>
    <row r="190" spans="1:9" ht="12" customHeight="1">
      <c r="A190" s="806"/>
      <c r="B190" s="806"/>
      <c r="C190" s="807"/>
      <c r="D190" s="808"/>
      <c r="E190" s="809"/>
      <c r="F190" s="808"/>
      <c r="G190" s="808"/>
    </row>
    <row r="191" spans="1:9" ht="13.7" customHeight="1">
      <c r="A191" s="806"/>
      <c r="B191" s="806"/>
      <c r="C191" s="807"/>
      <c r="D191" s="1980" t="s">
        <v>2001</v>
      </c>
      <c r="E191" s="1980"/>
      <c r="F191" s="1980"/>
      <c r="G191" s="808"/>
    </row>
    <row r="192" spans="1:9">
      <c r="A192" s="806"/>
      <c r="B192" s="806"/>
      <c r="C192" s="807"/>
      <c r="D192" s="1980"/>
      <c r="E192" s="1980"/>
      <c r="F192" s="1980"/>
      <c r="G192" s="808"/>
    </row>
    <row r="193" spans="1:9">
      <c r="A193" s="806"/>
      <c r="B193" s="806"/>
      <c r="C193" s="807"/>
      <c r="D193" s="1981" t="s">
        <v>1337</v>
      </c>
      <c r="E193" s="1981"/>
      <c r="F193" s="1981"/>
      <c r="G193" s="808"/>
    </row>
    <row r="194" spans="1:9">
      <c r="A194" s="806"/>
      <c r="B194" s="806"/>
      <c r="C194" s="807"/>
      <c r="D194" s="1548"/>
      <c r="E194" s="1548"/>
      <c r="F194" s="1548"/>
      <c r="G194" s="808"/>
    </row>
    <row r="195" spans="1:9">
      <c r="A195" s="806"/>
      <c r="B195" s="787" t="s">
        <v>2783</v>
      </c>
      <c r="C195" s="807"/>
      <c r="D195" s="1943" t="s">
        <v>2002</v>
      </c>
      <c r="E195" s="1943"/>
      <c r="F195" s="1943"/>
      <c r="G195" s="808"/>
      <c r="I195" s="1607" t="s">
        <v>2204</v>
      </c>
    </row>
    <row r="196" spans="1:9">
      <c r="A196" s="806"/>
      <c r="B196" s="806"/>
      <c r="C196" s="807"/>
      <c r="D196" s="1947" t="s">
        <v>2273</v>
      </c>
      <c r="E196" s="1947"/>
      <c r="F196" s="1947"/>
      <c r="G196" s="808"/>
    </row>
    <row r="197" spans="1:9">
      <c r="A197" s="806"/>
      <c r="B197" s="806"/>
      <c r="C197" s="807"/>
      <c r="D197" s="1564" t="s">
        <v>2003</v>
      </c>
      <c r="E197" s="2033" t="s">
        <v>2296</v>
      </c>
      <c r="F197" s="2033"/>
      <c r="G197" s="808"/>
    </row>
    <row r="198" spans="1:9">
      <c r="A198" s="806"/>
      <c r="B198" s="806"/>
      <c r="C198" s="807"/>
      <c r="D198" s="155"/>
      <c r="E198" s="155"/>
      <c r="F198" s="155"/>
      <c r="G198" s="808"/>
    </row>
    <row r="199" spans="1:9">
      <c r="A199" s="806"/>
      <c r="B199" s="787" t="s">
        <v>2796</v>
      </c>
      <c r="C199" s="807"/>
      <c r="D199" s="1947" t="s">
        <v>2004</v>
      </c>
      <c r="E199" s="1947"/>
      <c r="F199" s="1947"/>
      <c r="G199" s="808"/>
      <c r="I199" s="1607" t="s">
        <v>2205</v>
      </c>
    </row>
    <row r="200" spans="1:9">
      <c r="A200" s="806"/>
      <c r="B200" s="806"/>
      <c r="C200" s="807"/>
      <c r="D200" s="1943" t="s">
        <v>2273</v>
      </c>
      <c r="E200" s="1943"/>
      <c r="F200" s="1943"/>
      <c r="G200" s="808"/>
    </row>
    <row r="201" spans="1:9">
      <c r="A201" s="806"/>
      <c r="B201" s="806"/>
      <c r="C201" s="807"/>
      <c r="D201" s="1546" t="s">
        <v>2005</v>
      </c>
      <c r="E201" s="2033" t="s">
        <v>2297</v>
      </c>
      <c r="F201" s="2033"/>
      <c r="G201" s="808"/>
    </row>
    <row r="202" spans="1:9">
      <c r="A202" s="806"/>
      <c r="B202" s="806"/>
      <c r="C202" s="807"/>
      <c r="D202" s="155"/>
      <c r="E202" s="155"/>
      <c r="F202" s="155"/>
      <c r="G202" s="808"/>
    </row>
    <row r="203" spans="1:9">
      <c r="A203" s="806"/>
      <c r="B203" s="787" t="s">
        <v>2783</v>
      </c>
      <c r="C203" s="807"/>
      <c r="D203" s="1947" t="s">
        <v>2006</v>
      </c>
      <c r="E203" s="1947"/>
      <c r="F203" s="1947"/>
      <c r="G203" s="808"/>
      <c r="I203" s="1607" t="s">
        <v>2206</v>
      </c>
    </row>
    <row r="204" spans="1:9">
      <c r="A204" s="806"/>
      <c r="B204" s="806"/>
      <c r="C204" s="807"/>
      <c r="D204" s="1943" t="s">
        <v>2273</v>
      </c>
      <c r="E204" s="1943"/>
      <c r="F204" s="1943"/>
      <c r="G204" s="808"/>
    </row>
    <row r="205" spans="1:9">
      <c r="A205" s="806"/>
      <c r="B205" s="806"/>
      <c r="C205" s="807"/>
      <c r="D205" s="1546" t="s">
        <v>2003</v>
      </c>
      <c r="E205" s="2033" t="s">
        <v>2298</v>
      </c>
      <c r="F205" s="2033"/>
      <c r="G205" s="808"/>
    </row>
    <row r="206" spans="1:9">
      <c r="A206" s="806"/>
      <c r="B206" s="806"/>
      <c r="C206" s="807"/>
      <c r="D206" s="1548"/>
      <c r="E206" s="1548"/>
      <c r="F206" s="1548"/>
      <c r="G206" s="808"/>
    </row>
    <row r="207" spans="1:9" ht="14.25" customHeight="1">
      <c r="A207" s="786"/>
      <c r="B207" s="787" t="s">
        <v>2783</v>
      </c>
      <c r="C207" s="807"/>
      <c r="D207" s="1696" t="s">
        <v>2266</v>
      </c>
      <c r="E207" s="859"/>
      <c r="F207" s="859"/>
      <c r="G207" s="808"/>
      <c r="I207" s="1607" t="s">
        <v>2207</v>
      </c>
    </row>
    <row r="208" spans="1:9" ht="14.25">
      <c r="A208" s="786"/>
      <c r="B208" s="786"/>
      <c r="C208" s="807"/>
      <c r="D208" s="1943" t="s">
        <v>2273</v>
      </c>
      <c r="E208" s="1943"/>
      <c r="F208" s="1943"/>
      <c r="G208" s="808"/>
    </row>
    <row r="209" spans="1:9">
      <c r="A209" s="807"/>
      <c r="B209" s="807"/>
      <c r="C209" s="807"/>
      <c r="D209" s="859"/>
      <c r="E209" s="2033" t="s">
        <v>2299</v>
      </c>
      <c r="F209" s="2033"/>
    </row>
    <row r="210" spans="1:9">
      <c r="A210" s="807"/>
      <c r="B210" s="807"/>
      <c r="C210" s="807"/>
      <c r="D210" s="792"/>
      <c r="E210" s="808"/>
      <c r="F210" s="808"/>
    </row>
    <row r="211" spans="1:9">
      <c r="A211" s="807"/>
      <c r="B211" s="787" t="s">
        <v>2783</v>
      </c>
      <c r="C211" s="807"/>
      <c r="D211" s="1947" t="s">
        <v>2007</v>
      </c>
      <c r="E211" s="1947"/>
      <c r="F211" s="1947"/>
      <c r="I211" s="1607" t="s">
        <v>2208</v>
      </c>
    </row>
    <row r="212" spans="1:9">
      <c r="A212" s="807"/>
      <c r="B212" s="807"/>
      <c r="C212" s="807"/>
      <c r="D212" s="1943" t="s">
        <v>2273</v>
      </c>
      <c r="E212" s="1943"/>
      <c r="F212" s="1943"/>
    </row>
    <row r="213" spans="1:9">
      <c r="A213" s="807"/>
      <c r="B213" s="807"/>
      <c r="C213" s="807"/>
      <c r="D213" s="1546" t="s">
        <v>2003</v>
      </c>
      <c r="E213" s="2033" t="s">
        <v>2300</v>
      </c>
      <c r="F213" s="2033"/>
    </row>
    <row r="214" spans="1:9">
      <c r="A214" s="807"/>
      <c r="B214" s="807"/>
      <c r="C214" s="807"/>
      <c r="D214" s="768"/>
      <c r="E214" s="768"/>
      <c r="F214" s="768"/>
    </row>
    <row r="215" spans="1:9" s="609" customFormat="1" ht="14.25">
      <c r="A215" s="786"/>
      <c r="B215" s="787" t="s">
        <v>308</v>
      </c>
      <c r="C215" s="795"/>
      <c r="D215" s="1979" t="s">
        <v>1358</v>
      </c>
      <c r="E215" s="1979"/>
      <c r="F215" s="1979"/>
      <c r="G215" s="682"/>
      <c r="I215" s="633"/>
    </row>
    <row r="216" spans="1:9" s="609" customFormat="1" ht="14.45" customHeight="1">
      <c r="A216" s="786"/>
      <c r="C216" s="795"/>
      <c r="D216" s="1979"/>
      <c r="E216" s="1979"/>
      <c r="F216" s="1979"/>
      <c r="G216" s="682"/>
      <c r="I216" s="633"/>
    </row>
    <row r="217" spans="1:9" s="609" customFormat="1" ht="14.25">
      <c r="A217" s="786"/>
      <c r="B217" s="807"/>
      <c r="C217" s="795"/>
      <c r="D217" s="1979"/>
      <c r="E217" s="1979"/>
      <c r="F217" s="1979"/>
      <c r="G217" s="682"/>
      <c r="I217" s="633"/>
    </row>
    <row r="218" spans="1:9" s="609" customFormat="1" ht="14.25">
      <c r="A218" s="786"/>
      <c r="B218" s="807"/>
      <c r="C218" s="795"/>
      <c r="D218" s="1979"/>
      <c r="E218" s="1979"/>
      <c r="F218" s="1979"/>
      <c r="G218" s="682"/>
      <c r="I218" s="633"/>
    </row>
    <row r="219" spans="1:9">
      <c r="A219" s="807"/>
      <c r="B219" s="807"/>
      <c r="C219" s="807"/>
      <c r="D219" s="768"/>
      <c r="E219" s="768"/>
      <c r="F219" s="768"/>
    </row>
    <row r="220" spans="1:9">
      <c r="A220" s="1944" t="s">
        <v>1110</v>
      </c>
      <c r="B220" s="1944"/>
      <c r="C220" s="1944"/>
      <c r="D220" s="1944"/>
      <c r="E220" s="1944"/>
      <c r="F220" s="1944"/>
      <c r="G220" s="1944"/>
      <c r="H220" s="1681"/>
      <c r="I220" s="1682"/>
    </row>
    <row r="221" spans="1:9" ht="12" customHeight="1">
      <c r="D221" s="789"/>
      <c r="E221" s="789"/>
      <c r="F221" s="789"/>
    </row>
    <row r="222" spans="1:9">
      <c r="C222" s="796"/>
      <c r="D222" s="2031" t="s">
        <v>209</v>
      </c>
      <c r="E222" s="2031"/>
      <c r="F222" s="2031"/>
    </row>
    <row r="223" spans="1:9">
      <c r="A223" s="782"/>
      <c r="B223" s="782"/>
      <c r="C223" s="782"/>
      <c r="D223" s="2017" t="s">
        <v>1239</v>
      </c>
      <c r="E223" s="2017"/>
      <c r="F223" s="2017"/>
    </row>
    <row r="224" spans="1:9" ht="12" customHeight="1">
      <c r="A224" s="805"/>
      <c r="B224" s="805"/>
      <c r="C224" s="805"/>
    </row>
    <row r="225" spans="1:9" ht="13.7" customHeight="1">
      <c r="A225" s="805"/>
      <c r="C225" s="805"/>
      <c r="D225" s="1934" t="s">
        <v>555</v>
      </c>
      <c r="E225" s="1934"/>
      <c r="F225" s="1934"/>
      <c r="I225" s="1607" t="s">
        <v>2156</v>
      </c>
    </row>
    <row r="226" spans="1:9" ht="14.25">
      <c r="A226" s="786"/>
      <c r="B226" s="787" t="s">
        <v>2796</v>
      </c>
      <c r="D226" s="1979" t="s">
        <v>2008</v>
      </c>
      <c r="E226" s="1979"/>
      <c r="F226" s="1979"/>
    </row>
    <row r="227" spans="1:9" ht="14.25" customHeight="1">
      <c r="A227" s="786"/>
      <c r="B227" s="786"/>
      <c r="D227" s="1979"/>
      <c r="E227" s="1979"/>
      <c r="F227" s="1979"/>
    </row>
    <row r="228" spans="1:9" ht="14.25" customHeight="1">
      <c r="A228" s="786"/>
      <c r="B228" s="786"/>
      <c r="D228" s="1979"/>
      <c r="E228" s="1979"/>
      <c r="F228" s="1979"/>
    </row>
    <row r="229" spans="1:9" ht="14.25">
      <c r="A229" s="786"/>
      <c r="B229" s="786"/>
      <c r="D229" s="1979"/>
      <c r="E229" s="1979"/>
      <c r="F229" s="1979"/>
    </row>
    <row r="230" spans="1:9" ht="14.25">
      <c r="A230" s="786"/>
      <c r="B230" s="786"/>
      <c r="D230" s="1547"/>
      <c r="E230" s="1547"/>
      <c r="F230" s="1547"/>
    </row>
    <row r="231" spans="1:9" ht="14.25">
      <c r="A231" s="786"/>
      <c r="B231" s="787" t="s">
        <v>2796</v>
      </c>
      <c r="D231" s="1979" t="s">
        <v>2009</v>
      </c>
      <c r="E231" s="1979"/>
      <c r="F231" s="1979"/>
      <c r="I231" s="1607" t="s">
        <v>2157</v>
      </c>
    </row>
    <row r="232" spans="1:9" ht="14.25">
      <c r="A232" s="786"/>
      <c r="B232" s="786"/>
      <c r="D232" s="1979"/>
      <c r="E232" s="1979"/>
      <c r="F232" s="1979"/>
    </row>
    <row r="233" spans="1:9" ht="14.25">
      <c r="A233" s="786"/>
      <c r="B233" s="786"/>
      <c r="D233" s="1979"/>
      <c r="E233" s="1979"/>
      <c r="F233" s="1979"/>
    </row>
    <row r="234" spans="1:9" ht="14.25">
      <c r="A234" s="786"/>
      <c r="B234" s="786"/>
      <c r="D234" s="1979"/>
      <c r="E234" s="1979"/>
      <c r="F234" s="1979"/>
    </row>
    <row r="235" spans="1:9" ht="14.25" customHeight="1">
      <c r="A235" s="786"/>
      <c r="B235" s="786"/>
      <c r="D235" s="1979"/>
      <c r="E235" s="1979"/>
      <c r="F235" s="1979"/>
    </row>
    <row r="236" spans="1:9" ht="14.25" customHeight="1">
      <c r="A236" s="786"/>
      <c r="B236" s="786"/>
      <c r="D236" s="1547"/>
      <c r="E236" s="1547"/>
      <c r="F236" s="1547"/>
    </row>
    <row r="237" spans="1:9" ht="14.25">
      <c r="A237" s="786"/>
      <c r="B237" s="786"/>
      <c r="D237" s="1979" t="s">
        <v>1235</v>
      </c>
      <c r="E237" s="1979"/>
      <c r="F237" s="1979"/>
      <c r="I237" s="1607" t="s">
        <v>2156</v>
      </c>
    </row>
    <row r="238" spans="1:9" ht="14.25">
      <c r="A238" s="786"/>
      <c r="B238" s="786"/>
      <c r="D238" s="1979"/>
      <c r="E238" s="1979"/>
      <c r="F238" s="1979"/>
    </row>
    <row r="239" spans="1:9" ht="14.25">
      <c r="A239" s="786"/>
      <c r="B239" s="786"/>
      <c r="D239" s="1979"/>
      <c r="E239" s="1979"/>
      <c r="F239" s="1979"/>
    </row>
    <row r="240" spans="1:9" ht="14.25">
      <c r="A240" s="786"/>
      <c r="B240" s="786"/>
      <c r="D240" s="1979"/>
      <c r="E240" s="1979"/>
      <c r="F240" s="1979"/>
    </row>
    <row r="241" spans="1:9" ht="14.25">
      <c r="A241" s="786"/>
      <c r="B241" s="786"/>
      <c r="D241" s="1979"/>
      <c r="E241" s="1979"/>
      <c r="F241" s="1979"/>
    </row>
    <row r="242" spans="1:9" ht="14.25">
      <c r="A242" s="786"/>
      <c r="B242" s="786"/>
      <c r="D242" s="789"/>
      <c r="E242" s="789"/>
      <c r="F242" s="789"/>
    </row>
    <row r="243" spans="1:9" ht="14.25">
      <c r="A243" s="786"/>
      <c r="B243" s="787" t="s">
        <v>2796</v>
      </c>
      <c r="D243" s="2015" t="s">
        <v>2442</v>
      </c>
      <c r="E243" s="2015"/>
      <c r="F243" s="2015"/>
      <c r="I243" s="1607" t="s">
        <v>2195</v>
      </c>
    </row>
    <row r="244" spans="1:9" ht="14.25">
      <c r="A244" s="786"/>
      <c r="B244" s="786"/>
      <c r="D244" s="2015"/>
      <c r="E244" s="2015"/>
      <c r="F244" s="2015"/>
    </row>
    <row r="245" spans="1:9" ht="14.25">
      <c r="A245" s="786"/>
      <c r="B245" s="786"/>
      <c r="D245" s="2015"/>
      <c r="E245" s="2015"/>
      <c r="F245" s="2015"/>
    </row>
    <row r="246" spans="1:9" ht="14.25">
      <c r="A246" s="786"/>
      <c r="B246" s="786"/>
      <c r="E246" s="1697" t="s">
        <v>2267</v>
      </c>
    </row>
    <row r="247" spans="1:9" ht="14.25">
      <c r="A247" s="786"/>
      <c r="B247" s="786"/>
      <c r="D247" s="789"/>
      <c r="E247" s="789"/>
      <c r="F247" s="789"/>
    </row>
    <row r="248" spans="1:9" ht="14.45" customHeight="1">
      <c r="A248" s="786"/>
      <c r="B248" s="787" t="s">
        <v>2783</v>
      </c>
      <c r="D248" s="2015" t="s">
        <v>2443</v>
      </c>
      <c r="E248" s="2015"/>
      <c r="F248" s="2015"/>
      <c r="I248" s="1607" t="s">
        <v>2213</v>
      </c>
    </row>
    <row r="249" spans="1:9" ht="14.25">
      <c r="A249" s="786"/>
      <c r="B249" s="786"/>
      <c r="D249" s="2015"/>
      <c r="E249" s="2015"/>
      <c r="F249" s="2015"/>
    </row>
    <row r="250" spans="1:9" ht="14.25">
      <c r="A250" s="786"/>
      <c r="B250" s="786"/>
      <c r="D250" s="2015"/>
      <c r="E250" s="2015"/>
      <c r="F250" s="2015"/>
    </row>
    <row r="251" spans="1:9" ht="14.25">
      <c r="A251" s="786"/>
      <c r="B251" s="786"/>
      <c r="D251" s="2015"/>
      <c r="E251" s="2015"/>
      <c r="F251" s="2015"/>
    </row>
    <row r="252" spans="1:9" ht="14.25">
      <c r="A252" s="786"/>
      <c r="B252" s="786"/>
      <c r="D252" s="2015"/>
      <c r="E252" s="2015"/>
      <c r="F252" s="2015"/>
    </row>
    <row r="253" spans="1:9" ht="14.25">
      <c r="A253" s="786"/>
      <c r="B253" s="786"/>
      <c r="D253" s="1558"/>
      <c r="E253" s="1558"/>
      <c r="F253" s="1558"/>
    </row>
    <row r="254" spans="1:9" ht="14.25">
      <c r="A254" s="786"/>
      <c r="B254" s="787" t="s">
        <v>2796</v>
      </c>
      <c r="D254" s="1557" t="s">
        <v>2444</v>
      </c>
      <c r="E254" s="1558"/>
      <c r="F254" s="1558"/>
      <c r="I254" s="1607" t="s">
        <v>2194</v>
      </c>
    </row>
    <row r="255" spans="1:9" ht="14.25">
      <c r="A255" s="786"/>
      <c r="B255" s="786"/>
      <c r="E255" s="1697" t="s">
        <v>2268</v>
      </c>
    </row>
    <row r="256" spans="1:9">
      <c r="D256" s="789"/>
      <c r="E256" s="789"/>
      <c r="F256" s="789"/>
    </row>
    <row r="257" spans="1:9" ht="14.25">
      <c r="A257" s="786"/>
      <c r="B257" s="787" t="s">
        <v>2796</v>
      </c>
      <c r="D257" s="1979" t="s">
        <v>1237</v>
      </c>
      <c r="E257" s="1979"/>
      <c r="F257" s="1979"/>
    </row>
    <row r="258" spans="1:9" ht="14.25">
      <c r="A258" s="786"/>
      <c r="B258" s="786"/>
      <c r="D258" s="1979"/>
      <c r="E258" s="1979"/>
      <c r="F258" s="1979"/>
    </row>
    <row r="259" spans="1:9">
      <c r="D259" s="810"/>
    </row>
    <row r="260" spans="1:9">
      <c r="A260" s="1944" t="s">
        <v>1111</v>
      </c>
      <c r="B260" s="1944"/>
      <c r="C260" s="1944"/>
      <c r="D260" s="1944"/>
      <c r="E260" s="1944"/>
      <c r="F260" s="1944"/>
      <c r="G260" s="1944"/>
      <c r="H260" s="1681"/>
      <c r="I260" s="1682"/>
    </row>
    <row r="261" spans="1:9">
      <c r="D261" s="810"/>
    </row>
    <row r="262" spans="1:9">
      <c r="C262" s="796"/>
      <c r="D262" s="1934" t="s">
        <v>1240</v>
      </c>
      <c r="E262" s="1934"/>
      <c r="F262" s="1934"/>
    </row>
    <row r="263" spans="1:9">
      <c r="A263" s="782"/>
      <c r="B263" s="782"/>
      <c r="C263" s="782"/>
      <c r="D263" s="789"/>
      <c r="E263" s="789"/>
      <c r="F263" s="789"/>
    </row>
    <row r="264" spans="1:9">
      <c r="A264" s="784"/>
      <c r="B264" s="784"/>
      <c r="C264" s="784"/>
      <c r="D264" s="1934" t="s">
        <v>270</v>
      </c>
      <c r="E264" s="1934"/>
      <c r="F264" s="1934"/>
      <c r="I264" s="1607" t="s">
        <v>2196</v>
      </c>
    </row>
    <row r="265" spans="1:9" ht="14.45" customHeight="1">
      <c r="A265" s="786"/>
      <c r="B265" s="787" t="s">
        <v>2796</v>
      </c>
      <c r="D265" s="2047" t="s">
        <v>1338</v>
      </c>
      <c r="E265" s="2047"/>
      <c r="F265" s="2047"/>
    </row>
    <row r="266" spans="1:9">
      <c r="D266" s="2047"/>
      <c r="E266" s="2047"/>
      <c r="F266" s="2047"/>
    </row>
    <row r="267" spans="1:9">
      <c r="E267" s="1697" t="s">
        <v>2269</v>
      </c>
    </row>
    <row r="268" spans="1:9">
      <c r="D268" s="789"/>
      <c r="E268" s="789"/>
      <c r="F268" s="789"/>
    </row>
    <row r="269" spans="1:9" ht="14.45" customHeight="1">
      <c r="A269" s="786"/>
      <c r="B269" s="787" t="s">
        <v>2783</v>
      </c>
      <c r="D269" s="2015" t="s">
        <v>2445</v>
      </c>
      <c r="E269" s="2015"/>
      <c r="F269" s="2015"/>
      <c r="I269" s="1607" t="s">
        <v>2214</v>
      </c>
    </row>
    <row r="270" spans="1:9">
      <c r="D270" s="2015"/>
      <c r="E270" s="2015"/>
      <c r="F270" s="2015"/>
    </row>
    <row r="271" spans="1:9">
      <c r="D271" s="2015"/>
      <c r="E271" s="2015"/>
      <c r="F271" s="2015"/>
    </row>
    <row r="272" spans="1:9">
      <c r="D272" s="2015"/>
      <c r="E272" s="2015"/>
      <c r="F272" s="2015"/>
    </row>
    <row r="273" spans="1:9">
      <c r="D273" s="2015"/>
      <c r="E273" s="2015"/>
      <c r="F273" s="2015"/>
    </row>
    <row r="274" spans="1:9">
      <c r="D274" s="2015"/>
      <c r="E274" s="2015"/>
      <c r="F274" s="2015"/>
    </row>
    <row r="275" spans="1:9">
      <c r="D275" s="789"/>
      <c r="E275" s="789"/>
      <c r="F275" s="789"/>
    </row>
    <row r="276" spans="1:9" ht="14.25">
      <c r="A276" s="786"/>
      <c r="B276" s="787" t="s">
        <v>2783</v>
      </c>
      <c r="D276" s="1979" t="s">
        <v>1243</v>
      </c>
      <c r="E276" s="1979"/>
      <c r="F276" s="1979"/>
    </row>
    <row r="277" spans="1:9">
      <c r="D277" s="1979"/>
      <c r="E277" s="1979"/>
      <c r="F277" s="1979"/>
    </row>
    <row r="278" spans="1:9">
      <c r="D278" s="1979"/>
      <c r="E278" s="1979"/>
      <c r="F278" s="1979"/>
    </row>
    <row r="279" spans="1:9">
      <c r="D279" s="811"/>
      <c r="E279" s="789"/>
      <c r="F279" s="789"/>
    </row>
    <row r="280" spans="1:9">
      <c r="A280" s="1944" t="s">
        <v>1112</v>
      </c>
      <c r="B280" s="1944"/>
      <c r="C280" s="1944"/>
      <c r="D280" s="1944"/>
      <c r="E280" s="1944"/>
      <c r="F280" s="1944"/>
      <c r="G280" s="1944"/>
      <c r="H280" s="1681"/>
      <c r="I280" s="1682"/>
    </row>
    <row r="281" spans="1:9">
      <c r="D281" s="811"/>
      <c r="E281" s="789"/>
      <c r="F281" s="789"/>
    </row>
    <row r="282" spans="1:9">
      <c r="C282" s="782"/>
      <c r="D282" s="2016" t="s">
        <v>1245</v>
      </c>
      <c r="E282" s="2016"/>
      <c r="F282" s="2016"/>
    </row>
    <row r="283" spans="1:9">
      <c r="C283" s="782"/>
      <c r="D283" s="2016"/>
      <c r="E283" s="2016"/>
      <c r="F283" s="2016"/>
    </row>
    <row r="284" spans="1:9">
      <c r="A284" s="784"/>
      <c r="B284" s="784"/>
      <c r="C284" s="784"/>
      <c r="D284" s="613"/>
      <c r="E284" s="661"/>
      <c r="F284" s="661"/>
    </row>
    <row r="285" spans="1:9">
      <c r="C285" s="784"/>
      <c r="D285" s="1934" t="s">
        <v>210</v>
      </c>
      <c r="E285" s="1934"/>
      <c r="F285" s="1934"/>
    </row>
    <row r="286" spans="1:9" ht="15.75" customHeight="1">
      <c r="A286" s="786"/>
      <c r="B286" s="786"/>
      <c r="D286" s="2026" t="s">
        <v>1246</v>
      </c>
      <c r="E286" s="2026"/>
      <c r="F286" s="2026"/>
    </row>
    <row r="287" spans="1:9">
      <c r="E287" s="789"/>
      <c r="F287" s="789"/>
    </row>
    <row r="288" spans="1:9" ht="14.25">
      <c r="A288" s="786"/>
      <c r="B288" s="787" t="s">
        <v>2783</v>
      </c>
      <c r="D288" s="1979" t="s">
        <v>1247</v>
      </c>
      <c r="E288" s="1979"/>
      <c r="F288" s="1979"/>
      <c r="I288" s="1607" t="s">
        <v>2158</v>
      </c>
    </row>
    <row r="289" spans="1:9" ht="14.25">
      <c r="A289" s="786"/>
      <c r="B289" s="786"/>
      <c r="D289" s="1979"/>
      <c r="E289" s="1979"/>
      <c r="F289" s="1979"/>
    </row>
    <row r="290" spans="1:9">
      <c r="D290" s="789"/>
      <c r="E290" s="789"/>
      <c r="F290" s="789"/>
    </row>
    <row r="291" spans="1:9" ht="14.25">
      <c r="A291" s="786"/>
      <c r="B291" s="787" t="s">
        <v>2783</v>
      </c>
      <c r="D291" s="2015" t="s">
        <v>1248</v>
      </c>
      <c r="E291" s="2015"/>
      <c r="F291" s="2015"/>
      <c r="I291" s="1607" t="s">
        <v>2158</v>
      </c>
    </row>
    <row r="292" spans="1:9" ht="14.25">
      <c r="A292" s="786"/>
      <c r="B292" s="786"/>
      <c r="D292" s="2015"/>
      <c r="E292" s="2015"/>
      <c r="F292" s="2015"/>
    </row>
    <row r="293" spans="1:9" ht="14.25">
      <c r="A293" s="786"/>
      <c r="B293" s="786"/>
      <c r="D293" s="2015"/>
      <c r="E293" s="2015"/>
      <c r="F293" s="2015"/>
    </row>
    <row r="294" spans="1:9">
      <c r="D294" s="789"/>
      <c r="E294" s="789"/>
      <c r="F294" s="789"/>
    </row>
    <row r="295" spans="1:9" ht="14.25">
      <c r="A295" s="786"/>
      <c r="B295" s="787" t="s">
        <v>2783</v>
      </c>
      <c r="D295" s="1979" t="s">
        <v>1249</v>
      </c>
      <c r="E295" s="1979"/>
      <c r="F295" s="1979"/>
      <c r="I295" s="1607" t="s">
        <v>2158</v>
      </c>
    </row>
    <row r="296" spans="1:9" ht="14.25">
      <c r="A296" s="786"/>
      <c r="B296" s="786"/>
      <c r="D296" s="1979"/>
      <c r="E296" s="1979"/>
      <c r="F296" s="1979"/>
    </row>
    <row r="297" spans="1:9">
      <c r="A297" s="805"/>
      <c r="B297" s="805"/>
      <c r="E297" s="789"/>
      <c r="F297" s="789"/>
    </row>
    <row r="298" spans="1:9">
      <c r="A298" s="1944" t="s">
        <v>1113</v>
      </c>
      <c r="B298" s="1944"/>
      <c r="C298" s="1944"/>
      <c r="D298" s="1944"/>
      <c r="E298" s="1944"/>
      <c r="F298" s="1944"/>
      <c r="G298" s="1944"/>
      <c r="H298" s="1681"/>
      <c r="I298" s="1682"/>
    </row>
    <row r="299" spans="1:9">
      <c r="A299" s="805"/>
      <c r="B299" s="805"/>
      <c r="D299" s="789"/>
      <c r="E299" s="789"/>
      <c r="F299" s="789"/>
    </row>
    <row r="300" spans="1:9">
      <c r="C300" s="805"/>
      <c r="D300" s="1934" t="s">
        <v>691</v>
      </c>
      <c r="E300" s="1934"/>
      <c r="F300" s="1934"/>
    </row>
    <row r="301" spans="1:9">
      <c r="C301" s="805"/>
      <c r="D301" s="1984" t="s">
        <v>1250</v>
      </c>
      <c r="E301" s="1984"/>
      <c r="F301" s="1984"/>
    </row>
    <row r="302" spans="1:9">
      <c r="C302" s="805"/>
      <c r="D302" s="812"/>
    </row>
    <row r="303" spans="1:9">
      <c r="A303" s="790"/>
      <c r="B303" s="787" t="s">
        <v>2783</v>
      </c>
      <c r="D303" s="1984" t="s">
        <v>1251</v>
      </c>
      <c r="E303" s="1984"/>
      <c r="F303" s="1984"/>
      <c r="I303" s="1607" t="s">
        <v>2159</v>
      </c>
    </row>
    <row r="304" spans="1:9" s="780" customFormat="1" ht="14.25">
      <c r="A304" s="794"/>
      <c r="B304" s="794"/>
      <c r="C304" s="790"/>
      <c r="D304" s="813"/>
      <c r="E304" s="814"/>
      <c r="F304" s="814"/>
      <c r="G304" s="791"/>
      <c r="I304" s="1665"/>
    </row>
    <row r="305" spans="1:9" s="780" customFormat="1" ht="13.7" customHeight="1">
      <c r="A305" s="790"/>
      <c r="B305" s="787" t="s">
        <v>2783</v>
      </c>
      <c r="C305" s="790"/>
      <c r="D305" s="2021" t="s">
        <v>1362</v>
      </c>
      <c r="E305" s="2021"/>
      <c r="F305" s="2021"/>
      <c r="G305" s="791"/>
      <c r="I305" s="1665" t="s">
        <v>2159</v>
      </c>
    </row>
    <row r="306" spans="1:9" s="780" customFormat="1" ht="14.25">
      <c r="A306" s="794"/>
      <c r="B306" s="794"/>
      <c r="C306" s="790"/>
      <c r="D306" s="2021"/>
      <c r="E306" s="2021"/>
      <c r="F306" s="2021"/>
      <c r="G306" s="791"/>
      <c r="I306" s="1665"/>
    </row>
    <row r="307" spans="1:9" s="780" customFormat="1" ht="14.25">
      <c r="A307" s="794"/>
      <c r="B307" s="794"/>
      <c r="C307" s="790"/>
      <c r="D307" s="2021"/>
      <c r="E307" s="2021"/>
      <c r="F307" s="2021"/>
      <c r="G307" s="791"/>
      <c r="I307" s="1665"/>
    </row>
    <row r="308" spans="1:9" s="780" customFormat="1" ht="14.25">
      <c r="A308" s="794"/>
      <c r="B308" s="794"/>
      <c r="C308" s="790"/>
      <c r="D308" s="2021"/>
      <c r="E308" s="2021"/>
      <c r="F308" s="2021"/>
      <c r="G308" s="791"/>
      <c r="I308" s="1665"/>
    </row>
    <row r="309" spans="1:9" s="780" customFormat="1" ht="14.25">
      <c r="A309" s="794"/>
      <c r="B309" s="794"/>
      <c r="C309" s="790"/>
      <c r="D309" s="2021"/>
      <c r="E309" s="2021"/>
      <c r="F309" s="2021"/>
      <c r="G309" s="791"/>
      <c r="I309" s="1665"/>
    </row>
    <row r="310" spans="1:9" s="780" customFormat="1" ht="14.25">
      <c r="A310" s="794"/>
      <c r="B310" s="794"/>
      <c r="C310" s="790"/>
      <c r="D310" s="813"/>
      <c r="E310" s="814"/>
      <c r="F310" s="814"/>
      <c r="G310" s="791"/>
      <c r="I310" s="1665"/>
    </row>
    <row r="311" spans="1:9" s="780" customFormat="1" ht="13.7" customHeight="1">
      <c r="A311" s="790"/>
      <c r="B311" s="787" t="s">
        <v>2783</v>
      </c>
      <c r="C311" s="790"/>
      <c r="D311" s="2021" t="s">
        <v>1253</v>
      </c>
      <c r="E311" s="2021"/>
      <c r="F311" s="2021"/>
      <c r="G311" s="791"/>
      <c r="I311" s="1665" t="s">
        <v>2159</v>
      </c>
    </row>
    <row r="312" spans="1:9" s="780" customFormat="1">
      <c r="A312" s="790"/>
      <c r="B312" s="790"/>
      <c r="C312" s="790"/>
      <c r="D312" s="2021"/>
      <c r="E312" s="2021"/>
      <c r="F312" s="2021"/>
      <c r="G312" s="791"/>
      <c r="I312" s="1665"/>
    </row>
    <row r="313" spans="1:9" s="780" customFormat="1" ht="14.25">
      <c r="A313" s="794"/>
      <c r="B313" s="794"/>
      <c r="C313" s="790"/>
      <c r="D313" s="813"/>
      <c r="E313" s="814"/>
      <c r="F313" s="814"/>
      <c r="G313" s="791"/>
      <c r="I313" s="1665"/>
    </row>
    <row r="314" spans="1:9">
      <c r="A314" s="790"/>
      <c r="B314" s="787" t="s">
        <v>2783</v>
      </c>
      <c r="D314" s="1984" t="s">
        <v>1254</v>
      </c>
      <c r="E314" s="1984"/>
      <c r="F314" s="1984"/>
      <c r="I314" s="1607" t="s">
        <v>2145</v>
      </c>
    </row>
    <row r="315" spans="1:9">
      <c r="E315" s="789"/>
      <c r="F315" s="789"/>
    </row>
    <row r="316" spans="1:9" ht="14.25">
      <c r="A316" s="786"/>
      <c r="B316" s="787" t="s">
        <v>2783</v>
      </c>
      <c r="D316" s="2015" t="s">
        <v>2465</v>
      </c>
      <c r="E316" s="2015"/>
      <c r="F316" s="2015"/>
      <c r="I316" s="1607" t="s">
        <v>2160</v>
      </c>
    </row>
    <row r="317" spans="1:9" ht="14.25">
      <c r="A317" s="786"/>
      <c r="B317" s="786"/>
      <c r="D317" s="2015"/>
      <c r="E317" s="2015"/>
      <c r="F317" s="2015"/>
    </row>
    <row r="318" spans="1:9" ht="14.25">
      <c r="A318" s="786"/>
      <c r="B318" s="786"/>
      <c r="D318" s="2015"/>
      <c r="E318" s="2015"/>
      <c r="F318" s="2015"/>
    </row>
    <row r="319" spans="1:9" ht="14.25">
      <c r="A319" s="786"/>
      <c r="B319" s="786"/>
      <c r="D319" s="2015"/>
      <c r="E319" s="2015"/>
      <c r="F319" s="2015"/>
    </row>
    <row r="320" spans="1:9" ht="14.25">
      <c r="A320" s="786"/>
      <c r="B320" s="786"/>
      <c r="D320" s="2015"/>
      <c r="E320" s="2015"/>
      <c r="F320" s="2015"/>
    </row>
    <row r="321" spans="1:9" ht="14.25">
      <c r="A321" s="786"/>
      <c r="B321" s="786"/>
      <c r="D321" s="2015"/>
      <c r="E321" s="2015"/>
      <c r="F321" s="2015"/>
    </row>
    <row r="322" spans="1:9" ht="14.25">
      <c r="A322" s="786"/>
      <c r="B322" s="786"/>
      <c r="D322" s="2015"/>
      <c r="E322" s="2015"/>
      <c r="F322" s="2015"/>
    </row>
    <row r="323" spans="1:9" ht="14.25">
      <c r="A323" s="786"/>
      <c r="B323" s="786"/>
      <c r="D323" s="2015"/>
      <c r="E323" s="2015"/>
      <c r="F323" s="2015"/>
    </row>
    <row r="324" spans="1:9" ht="14.25">
      <c r="A324" s="786"/>
      <c r="B324" s="786"/>
      <c r="D324" s="2015"/>
      <c r="E324" s="2015"/>
      <c r="F324" s="2015"/>
    </row>
    <row r="325" spans="1:9" ht="14.25">
      <c r="A325" s="786"/>
      <c r="B325" s="786"/>
      <c r="D325" s="2015"/>
      <c r="E325" s="2015"/>
      <c r="F325" s="2015"/>
    </row>
    <row r="326" spans="1:9" ht="14.25">
      <c r="A326" s="786"/>
      <c r="B326" s="786"/>
      <c r="D326" s="2015"/>
      <c r="E326" s="2015"/>
      <c r="F326" s="2015"/>
    </row>
    <row r="327" spans="1:9" ht="14.25">
      <c r="A327" s="786"/>
      <c r="B327" s="786"/>
      <c r="D327" s="2015"/>
      <c r="E327" s="2015"/>
      <c r="F327" s="2015"/>
    </row>
    <row r="328" spans="1:9" ht="14.25">
      <c r="A328" s="786"/>
      <c r="B328" s="786"/>
      <c r="D328" s="2015"/>
      <c r="E328" s="2015"/>
      <c r="F328" s="2015"/>
    </row>
    <row r="329" spans="1:9" ht="14.25">
      <c r="A329" s="786"/>
      <c r="B329" s="786"/>
      <c r="D329" s="2015"/>
      <c r="E329" s="2015"/>
      <c r="F329" s="2015"/>
    </row>
    <row r="330" spans="1:9" ht="14.25">
      <c r="A330" s="786"/>
      <c r="B330" s="786"/>
      <c r="D330" s="2015"/>
      <c r="E330" s="2015"/>
      <c r="F330" s="2015"/>
    </row>
    <row r="331" spans="1:9">
      <c r="D331" s="789"/>
      <c r="E331" s="789"/>
      <c r="F331" s="789"/>
    </row>
    <row r="332" spans="1:9" ht="14.25">
      <c r="A332" s="786"/>
      <c r="B332" s="787" t="s">
        <v>2783</v>
      </c>
      <c r="D332" s="2015" t="s">
        <v>1256</v>
      </c>
      <c r="E332" s="2015"/>
      <c r="F332" s="2015"/>
      <c r="I332" s="1607" t="s">
        <v>2160</v>
      </c>
    </row>
    <row r="333" spans="1:9">
      <c r="D333" s="2015"/>
      <c r="E333" s="2015"/>
      <c r="F333" s="2015"/>
    </row>
    <row r="334" spans="1:9">
      <c r="D334" s="2015"/>
      <c r="E334" s="2015"/>
      <c r="F334" s="2015"/>
    </row>
    <row r="335" spans="1:9">
      <c r="D335" s="2015"/>
      <c r="E335" s="2015"/>
      <c r="F335" s="2015"/>
    </row>
    <row r="336" spans="1:9">
      <c r="D336" s="2015"/>
      <c r="E336" s="2015"/>
      <c r="F336" s="2015"/>
    </row>
    <row r="337" spans="1:9">
      <c r="D337" s="2015"/>
      <c r="E337" s="2015"/>
      <c r="F337" s="2015"/>
    </row>
    <row r="338" spans="1:9">
      <c r="D338" s="2015"/>
      <c r="E338" s="2015"/>
      <c r="F338" s="2015"/>
    </row>
    <row r="339" spans="1:9">
      <c r="D339" s="2015"/>
      <c r="E339" s="2015"/>
      <c r="F339" s="2015"/>
    </row>
    <row r="340" spans="1:9">
      <c r="D340" s="2015"/>
      <c r="E340" s="2015"/>
      <c r="F340" s="2015"/>
    </row>
    <row r="341" spans="1:9">
      <c r="D341" s="789"/>
      <c r="E341" s="789"/>
      <c r="F341" s="789"/>
    </row>
    <row r="342" spans="1:9" ht="14.25" customHeight="1">
      <c r="A342" s="786"/>
      <c r="B342" s="787" t="s">
        <v>2783</v>
      </c>
      <c r="D342" s="1979" t="s">
        <v>2274</v>
      </c>
      <c r="E342" s="1979"/>
      <c r="F342" s="1979"/>
      <c r="I342" s="1607" t="s">
        <v>2197</v>
      </c>
    </row>
    <row r="343" spans="1:9">
      <c r="D343" s="1979"/>
      <c r="E343" s="1979"/>
      <c r="F343" s="1979"/>
      <c r="G343" s="779"/>
    </row>
    <row r="344" spans="1:9">
      <c r="D344" s="1979"/>
      <c r="E344" s="1979"/>
      <c r="F344" s="1979"/>
      <c r="G344" s="779"/>
    </row>
    <row r="345" spans="1:9">
      <c r="D345" s="1979"/>
      <c r="E345" s="1979"/>
      <c r="F345" s="1979"/>
      <c r="G345" s="779"/>
    </row>
    <row r="346" spans="1:9">
      <c r="D346" s="1696" t="s">
        <v>2273</v>
      </c>
      <c r="E346" s="859"/>
      <c r="F346" s="859"/>
      <c r="G346" s="779"/>
    </row>
    <row r="347" spans="1:9">
      <c r="D347" s="859"/>
      <c r="E347" s="1564" t="s">
        <v>2270</v>
      </c>
      <c r="G347" s="1564"/>
    </row>
    <row r="348" spans="1:9" s="1605" customFormat="1">
      <c r="A348" s="777"/>
      <c r="B348" s="777"/>
      <c r="C348" s="777"/>
      <c r="D348" s="1655"/>
      <c r="E348" s="1655"/>
      <c r="F348" s="1655"/>
      <c r="I348" s="1607"/>
    </row>
    <row r="349" spans="1:9" ht="13.5" thickBot="1">
      <c r="A349" s="1656"/>
      <c r="B349" s="1656"/>
      <c r="C349" s="1656"/>
      <c r="D349" s="2046" t="s">
        <v>1018</v>
      </c>
      <c r="E349" s="2046"/>
      <c r="F349" s="2046"/>
      <c r="G349" s="1679"/>
      <c r="H349" s="1679"/>
      <c r="I349" s="1680"/>
    </row>
    <row r="350" spans="1:9" ht="13.5" thickTop="1">
      <c r="D350" s="2022" t="s">
        <v>1258</v>
      </c>
      <c r="E350" s="2022"/>
      <c r="F350" s="2022"/>
      <c r="G350" s="779"/>
    </row>
    <row r="351" spans="1:9" s="1605" customFormat="1">
      <c r="A351" s="777"/>
      <c r="B351" s="777"/>
      <c r="C351" s="777"/>
      <c r="D351" s="1673"/>
      <c r="E351" s="1673"/>
      <c r="F351" s="1673"/>
      <c r="I351" s="1607"/>
    </row>
    <row r="352" spans="1:9">
      <c r="A352" s="803"/>
      <c r="B352" s="803"/>
      <c r="C352" s="803"/>
      <c r="D352" s="775"/>
      <c r="E352" s="775"/>
      <c r="F352" s="789"/>
      <c r="G352" s="779"/>
      <c r="I352" s="1607" t="s">
        <v>2161</v>
      </c>
    </row>
    <row r="353" spans="1:9" ht="14.25">
      <c r="A353" s="786"/>
      <c r="B353" s="787" t="s">
        <v>2783</v>
      </c>
      <c r="C353" s="818"/>
      <c r="D353" s="1984" t="s">
        <v>2272</v>
      </c>
      <c r="E353" s="1984"/>
      <c r="F353" s="1984"/>
      <c r="I353" s="2012" t="s">
        <v>2211</v>
      </c>
    </row>
    <row r="354" spans="1:9" ht="12.75" customHeight="1">
      <c r="D354" s="1698"/>
      <c r="E354" s="1564" t="s">
        <v>2271</v>
      </c>
      <c r="F354" s="1698"/>
      <c r="I354" s="2013"/>
    </row>
    <row r="355" spans="1:9">
      <c r="D355" s="2015" t="s">
        <v>1385</v>
      </c>
      <c r="E355" s="2015"/>
      <c r="F355" s="2015"/>
      <c r="I355" s="2013"/>
    </row>
    <row r="356" spans="1:9">
      <c r="D356" s="2015"/>
      <c r="E356" s="2015"/>
      <c r="F356" s="2015"/>
      <c r="I356" s="2013"/>
    </row>
    <row r="357" spans="1:9">
      <c r="D357" s="2015"/>
      <c r="E357" s="2015"/>
      <c r="F357" s="2015"/>
      <c r="I357" s="2014"/>
    </row>
    <row r="358" spans="1:9" ht="14.25">
      <c r="A358" s="786"/>
      <c r="B358" s="787" t="s">
        <v>2783</v>
      </c>
      <c r="C358" s="803"/>
      <c r="D358" s="1991" t="s">
        <v>2446</v>
      </c>
      <c r="E358" s="1991"/>
      <c r="F358" s="1991"/>
      <c r="G358" s="779"/>
      <c r="I358" s="610"/>
    </row>
    <row r="359" spans="1:9">
      <c r="A359" s="803"/>
      <c r="B359" s="803"/>
      <c r="C359" s="803"/>
      <c r="D359" s="775"/>
      <c r="E359" s="775"/>
      <c r="F359" s="789"/>
      <c r="G359" s="779"/>
    </row>
    <row r="360" spans="1:9">
      <c r="A360" s="803"/>
      <c r="B360" s="787" t="s">
        <v>2783</v>
      </c>
      <c r="C360" s="803"/>
      <c r="D360" s="1975" t="s">
        <v>2447</v>
      </c>
      <c r="E360" s="1975"/>
      <c r="F360" s="1975"/>
      <c r="G360" s="779"/>
    </row>
    <row r="361" spans="1:9">
      <c r="A361" s="803"/>
      <c r="B361" s="803"/>
      <c r="C361" s="803"/>
      <c r="D361" s="1975"/>
      <c r="E361" s="1975"/>
      <c r="F361" s="1975"/>
      <c r="G361" s="779"/>
    </row>
    <row r="362" spans="1:9">
      <c r="A362" s="803"/>
      <c r="B362" s="803"/>
      <c r="C362" s="803"/>
      <c r="D362" s="1975"/>
      <c r="E362" s="1975"/>
      <c r="F362" s="1975"/>
      <c r="G362" s="779"/>
    </row>
    <row r="363" spans="1:9">
      <c r="A363" s="803"/>
      <c r="B363" s="803"/>
      <c r="C363" s="803"/>
      <c r="D363" s="1975"/>
      <c r="E363" s="1975"/>
      <c r="F363" s="1975"/>
      <c r="G363" s="779"/>
    </row>
    <row r="364" spans="1:9">
      <c r="A364" s="803"/>
      <c r="B364" s="803"/>
      <c r="C364" s="803"/>
      <c r="D364" s="1975"/>
      <c r="E364" s="1975"/>
      <c r="F364" s="1975"/>
      <c r="G364" s="779"/>
    </row>
    <row r="365" spans="1:9">
      <c r="A365" s="803"/>
      <c r="B365" s="803"/>
      <c r="C365" s="803"/>
      <c r="D365" s="1975"/>
      <c r="E365" s="1975"/>
      <c r="F365" s="1975"/>
      <c r="G365" s="779"/>
    </row>
    <row r="366" spans="1:9">
      <c r="A366" s="803"/>
      <c r="B366" s="803"/>
      <c r="C366" s="803"/>
      <c r="D366" s="1975"/>
      <c r="E366" s="1975"/>
      <c r="F366" s="1975"/>
      <c r="G366" s="779"/>
    </row>
    <row r="367" spans="1:9">
      <c r="A367" s="803"/>
      <c r="B367" s="803"/>
      <c r="C367" s="803"/>
      <c r="D367" s="1975"/>
      <c r="E367" s="1975"/>
      <c r="F367" s="1975"/>
      <c r="G367" s="779"/>
    </row>
    <row r="368" spans="1:9">
      <c r="A368" s="803"/>
      <c r="B368" s="803"/>
      <c r="C368" s="803"/>
      <c r="D368" s="1975"/>
      <c r="E368" s="1975"/>
      <c r="F368" s="1975"/>
      <c r="G368" s="779"/>
    </row>
    <row r="369" spans="1:9">
      <c r="A369" s="803"/>
      <c r="B369" s="803"/>
      <c r="C369" s="803"/>
      <c r="D369" s="1975"/>
      <c r="E369" s="1975"/>
      <c r="F369" s="1975"/>
      <c r="G369" s="779"/>
    </row>
    <row r="370" spans="1:9">
      <c r="A370" s="803"/>
      <c r="B370" s="803"/>
      <c r="C370" s="803"/>
      <c r="D370" s="1975"/>
      <c r="E370" s="1975"/>
      <c r="F370" s="1975"/>
      <c r="G370" s="779"/>
    </row>
    <row r="371" spans="1:9">
      <c r="A371" s="803"/>
      <c r="B371" s="803"/>
      <c r="C371" s="803"/>
      <c r="D371" s="1975"/>
      <c r="E371" s="1975"/>
      <c r="F371" s="1975"/>
      <c r="G371" s="779"/>
    </row>
    <row r="372" spans="1:9" s="1605" customFormat="1">
      <c r="A372" s="1610"/>
      <c r="B372" s="1610"/>
      <c r="C372" s="1610"/>
      <c r="D372" s="1612"/>
      <c r="E372" s="1612"/>
      <c r="F372" s="1612"/>
      <c r="I372" s="1607"/>
    </row>
    <row r="373" spans="1:9" ht="12.4" customHeight="1">
      <c r="A373" s="803"/>
      <c r="B373" s="787" t="s">
        <v>2783</v>
      </c>
      <c r="C373" s="803"/>
      <c r="D373" s="2018" t="s">
        <v>1365</v>
      </c>
      <c r="E373" s="2018"/>
      <c r="F373" s="2018"/>
      <c r="G373" s="779"/>
    </row>
    <row r="374" spans="1:9">
      <c r="A374" s="803"/>
      <c r="B374" s="803"/>
      <c r="C374" s="803"/>
      <c r="D374" s="2018"/>
      <c r="E374" s="2018"/>
      <c r="F374" s="2018"/>
      <c r="G374" s="779"/>
    </row>
    <row r="375" spans="1:9">
      <c r="A375" s="803"/>
      <c r="B375" s="803"/>
      <c r="C375" s="803"/>
      <c r="D375" s="2018"/>
      <c r="E375" s="2018"/>
      <c r="F375" s="2018"/>
      <c r="G375" s="779"/>
    </row>
    <row r="376" spans="1:9">
      <c r="A376" s="803"/>
      <c r="B376" s="803"/>
      <c r="C376" s="803"/>
      <c r="D376" s="2018"/>
      <c r="E376" s="2018"/>
      <c r="F376" s="2018"/>
      <c r="G376" s="779"/>
    </row>
    <row r="377" spans="1:9" s="1605" customFormat="1">
      <c r="A377" s="1610"/>
      <c r="B377" s="1610"/>
      <c r="C377" s="1610"/>
      <c r="D377" s="1611"/>
      <c r="E377" s="1611"/>
      <c r="F377" s="1611"/>
      <c r="I377" s="1607"/>
    </row>
    <row r="378" spans="1:9" s="1605" customFormat="1">
      <c r="A378" s="1610"/>
      <c r="B378" s="1608" t="s">
        <v>2783</v>
      </c>
      <c r="C378" s="1610"/>
      <c r="D378" s="1605" t="s">
        <v>2090</v>
      </c>
      <c r="E378" s="1611"/>
      <c r="F378" s="1611"/>
      <c r="I378" s="1607"/>
    </row>
    <row r="379" spans="1:9" s="1605" customFormat="1">
      <c r="A379" s="1610"/>
      <c r="B379" s="1610"/>
      <c r="C379" s="1610"/>
      <c r="D379" s="1605" t="s">
        <v>2091</v>
      </c>
      <c r="E379" s="1611"/>
      <c r="F379" s="1611"/>
      <c r="I379" s="1607"/>
    </row>
    <row r="380" spans="1:9" s="1605" customFormat="1">
      <c r="A380" s="1610"/>
      <c r="B380" s="1610"/>
      <c r="C380" s="1610"/>
      <c r="D380" s="1605" t="s">
        <v>2092</v>
      </c>
      <c r="E380" s="1611"/>
      <c r="F380" s="1611"/>
      <c r="I380" s="1607"/>
    </row>
    <row r="381" spans="1:9" s="1605" customFormat="1">
      <c r="A381" s="1610"/>
      <c r="B381" s="1610"/>
      <c r="C381" s="1610"/>
      <c r="D381" s="1605" t="s">
        <v>2093</v>
      </c>
      <c r="E381" s="1611"/>
      <c r="F381" s="1611"/>
      <c r="I381" s="1607"/>
    </row>
    <row r="382" spans="1:9" s="1605" customFormat="1">
      <c r="A382" s="1610"/>
      <c r="B382" s="1610"/>
      <c r="C382" s="1610"/>
      <c r="D382" s="1605" t="s">
        <v>2094</v>
      </c>
      <c r="E382" s="1611"/>
      <c r="F382" s="1611"/>
      <c r="I382" s="1607"/>
    </row>
    <row r="383" spans="1:9" s="1605" customFormat="1">
      <c r="A383" s="1610"/>
      <c r="B383" s="1610"/>
      <c r="C383" s="1610"/>
      <c r="D383" s="1605" t="s">
        <v>2095</v>
      </c>
      <c r="E383" s="1611"/>
      <c r="F383" s="1611"/>
      <c r="I383" s="1607"/>
    </row>
    <row r="384" spans="1:9">
      <c r="A384" s="803"/>
      <c r="B384" s="803"/>
      <c r="C384" s="803"/>
      <c r="D384" s="779"/>
      <c r="E384" s="775"/>
      <c r="F384" s="789"/>
      <c r="G384" s="779"/>
    </row>
    <row r="385" spans="1:7" ht="14.25">
      <c r="A385" s="786"/>
      <c r="B385" s="787" t="s">
        <v>2783</v>
      </c>
      <c r="C385" s="803"/>
      <c r="D385" s="1994" t="s">
        <v>1261</v>
      </c>
      <c r="E385" s="1994"/>
      <c r="F385" s="1994"/>
      <c r="G385" s="779"/>
    </row>
    <row r="386" spans="1:7">
      <c r="A386" s="803"/>
      <c r="B386" s="803"/>
      <c r="C386" s="803"/>
      <c r="D386" s="1994"/>
      <c r="E386" s="1994"/>
      <c r="F386" s="1994"/>
      <c r="G386" s="779"/>
    </row>
    <row r="387" spans="1:7">
      <c r="A387" s="803"/>
      <c r="B387" s="803"/>
      <c r="C387" s="803"/>
      <c r="D387" s="1994"/>
      <c r="E387" s="1994"/>
      <c r="F387" s="1994"/>
      <c r="G387" s="779"/>
    </row>
    <row r="388" spans="1:7">
      <c r="A388" s="803"/>
      <c r="B388" s="803"/>
      <c r="C388" s="803"/>
      <c r="D388" s="1994"/>
      <c r="E388" s="1994"/>
      <c r="F388" s="1994"/>
      <c r="G388" s="779"/>
    </row>
    <row r="389" spans="1:7">
      <c r="A389" s="803"/>
      <c r="B389" s="803"/>
      <c r="C389" s="803"/>
      <c r="D389" s="815"/>
      <c r="E389" s="775"/>
      <c r="F389" s="789"/>
      <c r="G389" s="779"/>
    </row>
    <row r="390" spans="1:7">
      <c r="A390" s="803"/>
      <c r="B390" s="803"/>
      <c r="C390" s="803"/>
      <c r="D390" s="1994" t="s">
        <v>1262</v>
      </c>
      <c r="E390" s="1994"/>
      <c r="F390" s="1994"/>
      <c r="G390" s="779"/>
    </row>
    <row r="391" spans="1:7">
      <c r="A391" s="803"/>
      <c r="B391" s="803"/>
      <c r="C391" s="803"/>
      <c r="D391" s="1994"/>
      <c r="E391" s="1994"/>
      <c r="F391" s="1994"/>
      <c r="G391" s="779"/>
    </row>
    <row r="392" spans="1:7">
      <c r="A392" s="803"/>
      <c r="B392" s="803"/>
      <c r="C392" s="803"/>
      <c r="D392" s="1994"/>
      <c r="E392" s="1994"/>
      <c r="F392" s="1994"/>
      <c r="G392" s="779"/>
    </row>
    <row r="393" spans="1:7">
      <c r="A393" s="803"/>
      <c r="B393" s="803"/>
      <c r="C393" s="803"/>
      <c r="D393" s="1994"/>
      <c r="E393" s="1994"/>
      <c r="F393" s="1994"/>
      <c r="G393" s="779"/>
    </row>
    <row r="394" spans="1:7" ht="18" customHeight="1">
      <c r="A394" s="803"/>
      <c r="B394" s="803"/>
      <c r="C394" s="803"/>
      <c r="D394" s="1994"/>
      <c r="E394" s="1994"/>
      <c r="F394" s="1994"/>
      <c r="G394" s="779"/>
    </row>
    <row r="395" spans="1:7">
      <c r="A395" s="803"/>
      <c r="B395" s="803"/>
      <c r="C395" s="803"/>
      <c r="D395" s="1994"/>
      <c r="E395" s="1994"/>
      <c r="F395" s="1994"/>
      <c r="G395" s="779"/>
    </row>
    <row r="396" spans="1:7">
      <c r="A396" s="803"/>
      <c r="B396" s="803"/>
      <c r="C396" s="803"/>
      <c r="D396" s="1994"/>
      <c r="E396" s="1994"/>
      <c r="F396" s="1994"/>
      <c r="G396" s="779"/>
    </row>
    <row r="397" spans="1:7">
      <c r="A397" s="803"/>
      <c r="B397" s="803"/>
      <c r="C397" s="803"/>
      <c r="D397" s="1994"/>
      <c r="E397" s="1994"/>
      <c r="F397" s="1994"/>
      <c r="G397" s="779"/>
    </row>
    <row r="398" spans="1:7" ht="8.25" customHeight="1">
      <c r="A398" s="803"/>
      <c r="B398" s="803"/>
      <c r="C398" s="803"/>
      <c r="D398" s="1994"/>
      <c r="E398" s="1994"/>
      <c r="F398" s="1994"/>
      <c r="G398" s="779"/>
    </row>
    <row r="399" spans="1:7" ht="13.7" customHeight="1">
      <c r="A399" s="803"/>
      <c r="B399" s="803"/>
      <c r="C399" s="803"/>
      <c r="D399" s="1987" t="s">
        <v>1263</v>
      </c>
      <c r="E399" s="1987"/>
      <c r="F399" s="1987"/>
      <c r="G399" s="779"/>
    </row>
    <row r="400" spans="1:7">
      <c r="A400" s="803"/>
      <c r="B400" s="803"/>
      <c r="C400" s="803"/>
      <c r="D400" s="1987"/>
      <c r="E400" s="1987"/>
      <c r="F400" s="1987"/>
      <c r="G400" s="779"/>
    </row>
    <row r="401" spans="1:7">
      <c r="A401" s="803"/>
      <c r="B401" s="803"/>
      <c r="C401" s="803"/>
      <c r="D401" s="1987"/>
      <c r="E401" s="1987"/>
      <c r="F401" s="1987"/>
      <c r="G401" s="779"/>
    </row>
    <row r="402" spans="1:7">
      <c r="A402" s="803"/>
      <c r="B402" s="803"/>
      <c r="C402" s="803"/>
      <c r="D402" s="1987"/>
      <c r="E402" s="1987"/>
      <c r="F402" s="1987"/>
      <c r="G402" s="779"/>
    </row>
    <row r="403" spans="1:7">
      <c r="A403" s="803"/>
      <c r="B403" s="803"/>
      <c r="C403" s="803"/>
      <c r="D403" s="1987"/>
      <c r="E403" s="1987"/>
      <c r="F403" s="1987"/>
      <c r="G403" s="779"/>
    </row>
    <row r="404" spans="1:7">
      <c r="A404" s="803"/>
      <c r="B404" s="803"/>
      <c r="C404" s="803"/>
      <c r="D404" s="1987"/>
      <c r="E404" s="1987"/>
      <c r="F404" s="1987"/>
      <c r="G404" s="779"/>
    </row>
    <row r="405" spans="1:7">
      <c r="A405" s="803"/>
      <c r="B405" s="803"/>
      <c r="C405" s="803"/>
      <c r="D405" s="1987"/>
      <c r="E405" s="1987"/>
      <c r="F405" s="1987"/>
      <c r="G405" s="779"/>
    </row>
    <row r="406" spans="1:7">
      <c r="A406" s="803"/>
      <c r="B406" s="803"/>
      <c r="C406" s="803"/>
      <c r="D406" s="1987"/>
      <c r="E406" s="1987"/>
      <c r="F406" s="1987"/>
      <c r="G406" s="779"/>
    </row>
    <row r="407" spans="1:7">
      <c r="A407" s="803"/>
      <c r="B407" s="803"/>
      <c r="C407" s="803"/>
      <c r="D407" s="1987"/>
      <c r="E407" s="1987"/>
      <c r="F407" s="1987"/>
      <c r="G407" s="779"/>
    </row>
    <row r="408" spans="1:7">
      <c r="A408" s="803"/>
      <c r="B408" s="803"/>
      <c r="C408" s="803"/>
      <c r="D408" s="1987"/>
      <c r="E408" s="1987"/>
      <c r="F408" s="1987"/>
      <c r="G408" s="779"/>
    </row>
    <row r="409" spans="1:7">
      <c r="A409" s="803"/>
      <c r="B409" s="803"/>
      <c r="C409" s="803"/>
      <c r="D409" s="1987"/>
      <c r="E409" s="1987"/>
      <c r="F409" s="1987"/>
      <c r="G409" s="779"/>
    </row>
    <row r="410" spans="1:7">
      <c r="A410" s="803"/>
      <c r="B410" s="803"/>
      <c r="C410" s="803"/>
      <c r="D410" s="1987"/>
      <c r="E410" s="1987"/>
      <c r="F410" s="1987"/>
      <c r="G410" s="779"/>
    </row>
    <row r="411" spans="1:7">
      <c r="A411" s="803"/>
      <c r="B411" s="803"/>
      <c r="C411" s="816"/>
      <c r="D411" s="1987"/>
      <c r="E411" s="1987"/>
      <c r="F411" s="1987"/>
      <c r="G411" s="779"/>
    </row>
    <row r="412" spans="1:7">
      <c r="A412" s="803"/>
      <c r="B412" s="803"/>
      <c r="C412" s="816"/>
      <c r="D412" s="1987"/>
      <c r="E412" s="1987"/>
      <c r="F412" s="1987"/>
      <c r="G412" s="779"/>
    </row>
    <row r="413" spans="1:7">
      <c r="A413" s="803"/>
      <c r="B413" s="803"/>
      <c r="C413" s="803"/>
      <c r="D413" s="1987"/>
      <c r="E413" s="1987"/>
      <c r="F413" s="1987"/>
      <c r="G413" s="779"/>
    </row>
    <row r="414" spans="1:7">
      <c r="A414" s="803"/>
      <c r="B414" s="803"/>
      <c r="C414" s="816"/>
      <c r="D414" s="1987"/>
      <c r="E414" s="1987"/>
      <c r="F414" s="1987"/>
      <c r="G414" s="779"/>
    </row>
    <row r="415" spans="1:7">
      <c r="A415" s="803"/>
      <c r="B415" s="803"/>
      <c r="C415" s="816"/>
      <c r="D415" s="1987"/>
      <c r="E415" s="1987"/>
      <c r="F415" s="1987"/>
      <c r="G415" s="779"/>
    </row>
    <row r="416" spans="1:7">
      <c r="A416" s="803"/>
      <c r="B416" s="803"/>
      <c r="C416" s="816"/>
      <c r="D416" s="1987"/>
      <c r="E416" s="1987"/>
      <c r="F416" s="1987"/>
      <c r="G416" s="779"/>
    </row>
    <row r="417" spans="1:7">
      <c r="A417" s="803"/>
      <c r="B417" s="803"/>
      <c r="C417" s="803"/>
      <c r="D417" s="815"/>
      <c r="E417" s="775"/>
      <c r="F417" s="789"/>
      <c r="G417" s="779"/>
    </row>
    <row r="418" spans="1:7">
      <c r="A418" s="803"/>
      <c r="B418" s="787" t="s">
        <v>2783</v>
      </c>
      <c r="C418" s="803"/>
      <c r="D418" s="1987" t="s">
        <v>1264</v>
      </c>
      <c r="E418" s="1987"/>
      <c r="F418" s="1987"/>
      <c r="G418" s="779"/>
    </row>
    <row r="419" spans="1:7">
      <c r="A419" s="803"/>
      <c r="B419" s="803"/>
      <c r="C419" s="803"/>
      <c r="D419" s="1987"/>
      <c r="E419" s="1987"/>
      <c r="F419" s="1987"/>
      <c r="G419" s="779"/>
    </row>
    <row r="420" spans="1:7">
      <c r="A420" s="803"/>
      <c r="B420" s="803"/>
      <c r="C420" s="803"/>
      <c r="D420" s="884"/>
      <c r="E420" s="884"/>
      <c r="F420" s="884"/>
      <c r="G420" s="779"/>
    </row>
    <row r="421" spans="1:7" ht="14.45" customHeight="1">
      <c r="A421" s="786"/>
      <c r="B421" s="787" t="s">
        <v>2783</v>
      </c>
      <c r="D421" s="1987" t="s">
        <v>2198</v>
      </c>
      <c r="E421" s="1987"/>
      <c r="F421" s="1987"/>
    </row>
    <row r="422" spans="1:7" ht="14.45" customHeight="1">
      <c r="A422" s="786"/>
      <c r="D422" s="1987"/>
      <c r="E422" s="1987"/>
      <c r="F422" s="1987"/>
    </row>
    <row r="423" spans="1:7" ht="14.45" customHeight="1">
      <c r="A423" s="786"/>
      <c r="D423" s="1987"/>
      <c r="E423" s="1987"/>
      <c r="F423" s="1987"/>
    </row>
    <row r="424" spans="1:7" ht="14.45" customHeight="1">
      <c r="A424" s="786"/>
      <c r="D424" s="1987"/>
      <c r="E424" s="1987"/>
      <c r="F424" s="1987"/>
    </row>
    <row r="425" spans="1:7" ht="14.45" customHeight="1">
      <c r="A425" s="786"/>
      <c r="D425" s="1987"/>
      <c r="E425" s="1987"/>
      <c r="F425" s="1987"/>
    </row>
    <row r="426" spans="1:7" ht="14.45" customHeight="1">
      <c r="A426" s="786"/>
      <c r="D426" s="859"/>
      <c r="E426" s="859"/>
      <c r="F426" s="859"/>
    </row>
    <row r="427" spans="1:7" ht="13.7" customHeight="1">
      <c r="A427" s="786"/>
      <c r="B427" s="787" t="s">
        <v>2783</v>
      </c>
      <c r="C427" s="803"/>
      <c r="D427" s="1975" t="s">
        <v>1387</v>
      </c>
      <c r="E427" s="1975"/>
      <c r="F427" s="1975"/>
      <c r="G427" s="779"/>
    </row>
    <row r="428" spans="1:7" ht="14.25">
      <c r="A428" s="817"/>
      <c r="B428" s="817"/>
      <c r="C428" s="803"/>
      <c r="D428" s="1975"/>
      <c r="E428" s="1975"/>
      <c r="F428" s="1975"/>
      <c r="G428" s="779"/>
    </row>
    <row r="429" spans="1:7" ht="14.25">
      <c r="A429" s="817"/>
      <c r="B429" s="817"/>
      <c r="C429" s="803"/>
      <c r="D429" s="1975"/>
      <c r="E429" s="1975"/>
      <c r="F429" s="1975"/>
      <c r="G429" s="779"/>
    </row>
    <row r="430" spans="1:7" ht="14.25">
      <c r="A430" s="817"/>
      <c r="B430" s="817"/>
      <c r="C430" s="803"/>
      <c r="D430" s="1975"/>
      <c r="E430" s="1975"/>
      <c r="F430" s="1975"/>
      <c r="G430" s="779"/>
    </row>
    <row r="431" spans="1:7" ht="15.75" customHeight="1">
      <c r="A431" s="817"/>
      <c r="B431" s="817"/>
      <c r="C431" s="803"/>
      <c r="D431" s="2024" t="s">
        <v>2466</v>
      </c>
      <c r="E431" s="1975"/>
      <c r="F431" s="1975"/>
      <c r="G431" s="779"/>
    </row>
    <row r="432" spans="1:7">
      <c r="D432" s="789"/>
      <c r="E432" s="789"/>
      <c r="F432" s="789"/>
      <c r="G432" s="779"/>
    </row>
    <row r="433" spans="1:7" ht="14.25">
      <c r="A433" s="786"/>
      <c r="B433" s="787" t="s">
        <v>2783</v>
      </c>
      <c r="C433" s="818"/>
      <c r="D433" s="1979" t="s">
        <v>2448</v>
      </c>
      <c r="E433" s="1979"/>
      <c r="F433" s="1979"/>
      <c r="G433" s="779"/>
    </row>
    <row r="434" spans="1:7" ht="14.25">
      <c r="A434" s="786"/>
      <c r="B434" s="786"/>
      <c r="D434" s="1979"/>
      <c r="E434" s="1979"/>
      <c r="F434" s="1979"/>
      <c r="G434" s="779"/>
    </row>
    <row r="435" spans="1:7">
      <c r="D435" s="1979"/>
      <c r="E435" s="1979"/>
      <c r="F435" s="1979"/>
      <c r="G435" s="779"/>
    </row>
    <row r="436" spans="1:7">
      <c r="D436" s="1979"/>
      <c r="E436" s="1979"/>
      <c r="F436" s="1979"/>
      <c r="G436" s="779"/>
    </row>
    <row r="437" spans="1:7">
      <c r="D437" s="1979"/>
      <c r="E437" s="1979"/>
      <c r="F437" s="1979"/>
      <c r="G437" s="779"/>
    </row>
    <row r="438" spans="1:7">
      <c r="D438" s="1979"/>
      <c r="E438" s="1979"/>
      <c r="F438" s="1979"/>
      <c r="G438" s="779"/>
    </row>
    <row r="439" spans="1:7">
      <c r="D439" s="1979"/>
      <c r="E439" s="1979"/>
      <c r="F439" s="1979"/>
      <c r="G439" s="779"/>
    </row>
    <row r="440" spans="1:7">
      <c r="D440" s="1979"/>
      <c r="E440" s="1979"/>
      <c r="F440" s="1979"/>
      <c r="G440" s="779"/>
    </row>
    <row r="441" spans="1:7">
      <c r="D441" s="1979"/>
      <c r="E441" s="1979"/>
      <c r="F441" s="1979"/>
      <c r="G441" s="779"/>
    </row>
    <row r="442" spans="1:7">
      <c r="D442" s="1979"/>
      <c r="E442" s="1979"/>
      <c r="F442" s="1979"/>
      <c r="G442" s="779"/>
    </row>
    <row r="443" spans="1:7">
      <c r="D443" s="1979"/>
      <c r="E443" s="1979"/>
      <c r="F443" s="1979"/>
      <c r="G443" s="779"/>
    </row>
    <row r="444" spans="1:7">
      <c r="D444" s="1979"/>
      <c r="E444" s="1979"/>
      <c r="F444" s="1979"/>
      <c r="G444" s="779"/>
    </row>
    <row r="445" spans="1:7">
      <c r="D445" s="1979"/>
      <c r="E445" s="1979"/>
      <c r="F445" s="1979"/>
      <c r="G445" s="779"/>
    </row>
    <row r="446" spans="1:7">
      <c r="A446" s="779"/>
      <c r="B446" s="779"/>
      <c r="C446" s="779"/>
      <c r="D446" s="1979"/>
      <c r="E446" s="1979"/>
      <c r="F446" s="1979"/>
      <c r="G446" s="779"/>
    </row>
    <row r="447" spans="1:7">
      <c r="A447" s="779"/>
      <c r="B447" s="779"/>
      <c r="C447" s="779"/>
      <c r="D447" s="1979"/>
      <c r="E447" s="1979"/>
      <c r="F447" s="1979"/>
      <c r="G447" s="779"/>
    </row>
    <row r="448" spans="1:7">
      <c r="A448" s="779"/>
      <c r="B448" s="779"/>
      <c r="C448" s="779"/>
      <c r="D448" s="1979"/>
      <c r="E448" s="1979"/>
      <c r="F448" s="1979"/>
      <c r="G448" s="779"/>
    </row>
    <row r="449" spans="1:9">
      <c r="A449" s="779"/>
      <c r="B449" s="779"/>
      <c r="C449" s="779"/>
      <c r="D449" s="1979"/>
      <c r="E449" s="1979"/>
      <c r="F449" s="1979"/>
      <c r="G449" s="779"/>
    </row>
    <row r="450" spans="1:9">
      <c r="A450" s="779"/>
      <c r="B450" s="779"/>
      <c r="C450" s="779"/>
      <c r="D450" s="1979"/>
      <c r="E450" s="1979"/>
      <c r="F450" s="1979"/>
      <c r="G450" s="779"/>
    </row>
    <row r="451" spans="1:9">
      <c r="A451" s="779"/>
      <c r="B451" s="779"/>
      <c r="C451" s="779"/>
      <c r="D451" s="1979"/>
      <c r="E451" s="1979"/>
      <c r="F451" s="1979"/>
      <c r="G451" s="779"/>
    </row>
    <row r="452" spans="1:9">
      <c r="A452" s="779"/>
      <c r="B452" s="779"/>
      <c r="C452" s="779"/>
      <c r="D452" s="1979"/>
      <c r="E452" s="1979"/>
      <c r="F452" s="1979"/>
      <c r="G452" s="779"/>
    </row>
    <row r="453" spans="1:9">
      <c r="A453" s="779"/>
      <c r="B453" s="779"/>
      <c r="C453" s="779"/>
      <c r="D453" s="1979"/>
      <c r="E453" s="1979"/>
      <c r="F453" s="1979"/>
      <c r="G453" s="779"/>
    </row>
    <row r="454" spans="1:9">
      <c r="A454" s="779"/>
      <c r="B454" s="779"/>
      <c r="C454" s="779"/>
      <c r="D454" s="1979"/>
      <c r="E454" s="1979"/>
      <c r="F454" s="1979"/>
      <c r="G454" s="779"/>
    </row>
    <row r="455" spans="1:9">
      <c r="A455" s="779"/>
      <c r="B455" s="779"/>
      <c r="C455" s="779"/>
      <c r="D455" s="1979"/>
      <c r="E455" s="1979"/>
      <c r="F455" s="1979"/>
      <c r="G455" s="779"/>
    </row>
    <row r="456" spans="1:9">
      <c r="A456" s="779"/>
      <c r="B456" s="779"/>
      <c r="C456" s="779"/>
      <c r="D456" s="1979"/>
      <c r="E456" s="1979"/>
      <c r="F456" s="1979"/>
      <c r="G456" s="779"/>
    </row>
    <row r="457" spans="1:9">
      <c r="A457" s="779"/>
      <c r="B457" s="779"/>
      <c r="C457" s="779"/>
      <c r="D457" s="1979"/>
      <c r="E457" s="1979"/>
      <c r="F457" s="1979"/>
      <c r="G457" s="779"/>
    </row>
    <row r="458" spans="1:9">
      <c r="A458" s="779"/>
      <c r="B458" s="779"/>
      <c r="C458" s="779"/>
      <c r="D458" s="1979"/>
      <c r="E458" s="1979"/>
      <c r="F458" s="1979"/>
      <c r="G458" s="779"/>
    </row>
    <row r="459" spans="1:9">
      <c r="A459" s="779"/>
      <c r="B459" s="779"/>
      <c r="C459" s="779"/>
      <c r="D459" s="1979"/>
      <c r="E459" s="1979"/>
      <c r="F459" s="1979"/>
      <c r="G459" s="779"/>
    </row>
    <row r="460" spans="1:9">
      <c r="A460" s="779"/>
      <c r="B460" s="779"/>
      <c r="C460" s="779"/>
      <c r="D460" s="1979"/>
      <c r="E460" s="1979"/>
      <c r="F460" s="1979"/>
      <c r="G460" s="779"/>
    </row>
    <row r="461" spans="1:9">
      <c r="A461" s="779"/>
      <c r="B461" s="779"/>
      <c r="C461" s="779"/>
      <c r="D461" s="1979"/>
      <c r="E461" s="1979"/>
      <c r="F461" s="1979"/>
      <c r="G461" s="779"/>
    </row>
    <row r="462" spans="1:9" s="820" customFormat="1">
      <c r="A462" s="777"/>
      <c r="B462" s="777"/>
      <c r="C462" s="777"/>
      <c r="D462" s="1979"/>
      <c r="E462" s="1979"/>
      <c r="F462" s="1979"/>
      <c r="G462" s="819"/>
      <c r="I462" s="1668"/>
    </row>
    <row r="463" spans="1:9" s="820" customFormat="1" ht="40.700000000000003" customHeight="1">
      <c r="A463" s="777"/>
      <c r="B463" s="777"/>
      <c r="C463" s="777"/>
      <c r="D463" s="1979"/>
      <c r="E463" s="1979"/>
      <c r="F463" s="1979"/>
      <c r="G463" s="819"/>
      <c r="I463" s="1668"/>
    </row>
    <row r="464" spans="1:9">
      <c r="D464" s="789"/>
      <c r="E464" s="789"/>
      <c r="F464" s="789"/>
      <c r="G464" s="779"/>
    </row>
    <row r="465" spans="1:7" ht="14.25">
      <c r="A465" s="786"/>
      <c r="B465" s="787" t="s">
        <v>2783</v>
      </c>
      <c r="C465" s="818"/>
      <c r="D465" s="1979" t="s">
        <v>1269</v>
      </c>
      <c r="E465" s="1979"/>
      <c r="F465" s="1979"/>
      <c r="G465" s="779"/>
    </row>
    <row r="466" spans="1:7">
      <c r="D466" s="1979"/>
      <c r="E466" s="1979"/>
      <c r="F466" s="1979"/>
      <c r="G466" s="779"/>
    </row>
    <row r="467" spans="1:7">
      <c r="D467" s="1979"/>
      <c r="E467" s="1979"/>
      <c r="F467" s="1979"/>
      <c r="G467" s="779"/>
    </row>
    <row r="468" spans="1:7">
      <c r="D468" s="773"/>
      <c r="E468" s="773"/>
      <c r="F468" s="773"/>
      <c r="G468" s="779"/>
    </row>
    <row r="469" spans="1:7" ht="14.25">
      <c r="B469" s="787" t="s">
        <v>2783</v>
      </c>
      <c r="C469" s="786"/>
      <c r="D469" s="2015" t="s">
        <v>1339</v>
      </c>
      <c r="E469" s="2015"/>
      <c r="F469" s="2015"/>
      <c r="G469" s="779"/>
    </row>
    <row r="470" spans="1:7">
      <c r="D470" s="2015"/>
      <c r="E470" s="2015"/>
      <c r="F470" s="2015"/>
      <c r="G470" s="779"/>
    </row>
    <row r="471" spans="1:7">
      <c r="D471" s="789"/>
      <c r="E471" s="789"/>
      <c r="F471" s="789"/>
      <c r="G471" s="779"/>
    </row>
    <row r="472" spans="1:7" ht="14.25">
      <c r="B472" s="787" t="s">
        <v>2783</v>
      </c>
      <c r="C472" s="786"/>
      <c r="D472" s="2015" t="s">
        <v>1271</v>
      </c>
      <c r="E472" s="2015"/>
      <c r="F472" s="2015"/>
      <c r="G472" s="779"/>
    </row>
    <row r="473" spans="1:7">
      <c r="D473" s="2015"/>
      <c r="E473" s="2015"/>
      <c r="F473" s="2015"/>
      <c r="G473" s="779"/>
    </row>
    <row r="474" spans="1:7">
      <c r="D474" s="2015"/>
      <c r="E474" s="2015"/>
      <c r="F474" s="2015"/>
      <c r="G474" s="779"/>
    </row>
    <row r="475" spans="1:7">
      <c r="D475" s="2015"/>
      <c r="E475" s="2015"/>
      <c r="F475" s="2015"/>
      <c r="G475" s="779"/>
    </row>
    <row r="476" spans="1:7">
      <c r="B476" s="787" t="s">
        <v>2783</v>
      </c>
      <c r="D476" s="2015"/>
      <c r="E476" s="2015"/>
      <c r="F476" s="2015"/>
      <c r="G476" s="779"/>
    </row>
    <row r="477" spans="1:7">
      <c r="A477" s="779"/>
      <c r="B477" s="779"/>
      <c r="C477" s="779"/>
      <c r="D477" s="2015"/>
      <c r="E477" s="2015"/>
      <c r="F477" s="2015"/>
      <c r="G477" s="779"/>
    </row>
    <row r="478" spans="1:7">
      <c r="A478" s="779"/>
      <c r="C478" s="779"/>
      <c r="D478" s="2015"/>
      <c r="E478" s="2015"/>
      <c r="F478" s="2015"/>
      <c r="G478" s="779"/>
    </row>
    <row r="479" spans="1:7">
      <c r="A479" s="779"/>
      <c r="B479" s="787" t="s">
        <v>2783</v>
      </c>
      <c r="C479" s="779"/>
      <c r="D479" s="2015"/>
      <c r="E479" s="2015"/>
      <c r="F479" s="2015"/>
      <c r="G479" s="779"/>
    </row>
    <row r="480" spans="1:7">
      <c r="A480" s="779"/>
      <c r="B480" s="779"/>
      <c r="C480" s="779"/>
      <c r="D480" s="2015"/>
      <c r="E480" s="2015"/>
      <c r="F480" s="2015"/>
      <c r="G480" s="779"/>
    </row>
    <row r="481" spans="1:9">
      <c r="A481" s="779"/>
      <c r="C481" s="779"/>
      <c r="D481" s="2015"/>
      <c r="E481" s="2015"/>
      <c r="F481" s="2015"/>
      <c r="G481" s="779"/>
    </row>
    <row r="482" spans="1:9">
      <c r="A482" s="779"/>
      <c r="C482" s="779"/>
      <c r="D482" s="2015"/>
      <c r="E482" s="2015"/>
      <c r="F482" s="2015"/>
      <c r="G482" s="779"/>
    </row>
    <row r="483" spans="1:9">
      <c r="A483" s="779"/>
      <c r="C483" s="779"/>
      <c r="D483" s="2015"/>
      <c r="E483" s="2015"/>
      <c r="F483" s="2015"/>
      <c r="G483" s="779"/>
    </row>
    <row r="484" spans="1:9">
      <c r="A484" s="779"/>
      <c r="B484" s="787" t="s">
        <v>2783</v>
      </c>
      <c r="C484" s="779"/>
      <c r="D484" s="2015"/>
      <c r="E484" s="2015"/>
      <c r="F484" s="2015"/>
      <c r="G484" s="779"/>
    </row>
    <row r="485" spans="1:9">
      <c r="A485" s="779"/>
      <c r="C485" s="779"/>
      <c r="D485" s="2015"/>
      <c r="E485" s="2015"/>
      <c r="F485" s="2015"/>
      <c r="G485" s="779"/>
    </row>
    <row r="486" spans="1:9">
      <c r="A486" s="779"/>
      <c r="B486" s="787" t="s">
        <v>2783</v>
      </c>
      <c r="C486" s="779"/>
      <c r="D486" s="2015" t="s">
        <v>1272</v>
      </c>
      <c r="E486" s="2015"/>
      <c r="F486" s="2015"/>
      <c r="G486" s="779"/>
    </row>
    <row r="487" spans="1:9">
      <c r="A487" s="779"/>
      <c r="B487" s="779"/>
      <c r="C487" s="779"/>
      <c r="D487" s="2015"/>
      <c r="E487" s="2015"/>
      <c r="F487" s="2015"/>
      <c r="G487" s="779"/>
    </row>
    <row r="488" spans="1:9">
      <c r="A488" s="779"/>
      <c r="B488" s="779"/>
      <c r="C488" s="779"/>
      <c r="D488" s="2015"/>
      <c r="E488" s="2015"/>
      <c r="F488" s="2015"/>
      <c r="G488" s="779"/>
    </row>
    <row r="489" spans="1:9">
      <c r="A489" s="779"/>
      <c r="B489" s="779"/>
      <c r="C489" s="779"/>
      <c r="D489" s="2015"/>
      <c r="E489" s="2015"/>
      <c r="F489" s="2015"/>
      <c r="G489" s="779"/>
    </row>
    <row r="490" spans="1:9">
      <c r="D490" s="2015"/>
      <c r="E490" s="2015"/>
      <c r="F490" s="2015"/>
    </row>
    <row r="491" spans="1:9">
      <c r="D491" s="789"/>
      <c r="E491" s="789"/>
      <c r="F491" s="789"/>
    </row>
    <row r="492" spans="1:9">
      <c r="B492" s="787" t="s">
        <v>2783</v>
      </c>
      <c r="D492" s="2017" t="s">
        <v>1273</v>
      </c>
      <c r="E492" s="2017"/>
      <c r="F492" s="2017"/>
    </row>
    <row r="493" spans="1:9">
      <c r="A493" s="789"/>
      <c r="B493" s="789"/>
    </row>
    <row r="494" spans="1:9">
      <c r="A494" s="1944" t="s">
        <v>1114</v>
      </c>
      <c r="B494" s="1944"/>
      <c r="C494" s="1944"/>
      <c r="D494" s="1944"/>
      <c r="E494" s="1944"/>
      <c r="F494" s="1944"/>
      <c r="G494" s="1944"/>
      <c r="H494" s="1681"/>
      <c r="I494" s="1682"/>
    </row>
    <row r="495" spans="1:9">
      <c r="A495" s="789"/>
      <c r="B495" s="789"/>
    </row>
    <row r="496" spans="1:9">
      <c r="D496" s="1995" t="s">
        <v>912</v>
      </c>
      <c r="E496" s="1995"/>
      <c r="F496" s="1995"/>
    </row>
    <row r="497" spans="1:9" s="780" customFormat="1" ht="14.25">
      <c r="A497" s="794"/>
      <c r="B497" s="794"/>
      <c r="C497" s="790"/>
      <c r="D497" s="1996" t="s">
        <v>1274</v>
      </c>
      <c r="E497" s="1996"/>
      <c r="F497" s="1996"/>
      <c r="G497" s="791"/>
      <c r="I497" s="1665"/>
    </row>
    <row r="498" spans="1:9" s="780" customFormat="1" ht="14.25">
      <c r="A498" s="794"/>
      <c r="B498" s="794"/>
      <c r="C498" s="790"/>
      <c r="D498" s="776"/>
      <c r="E498" s="661"/>
      <c r="F498" s="661"/>
      <c r="G498" s="791"/>
      <c r="I498" s="1665"/>
    </row>
    <row r="499" spans="1:9" s="780" customFormat="1" ht="14.25">
      <c r="A499" s="786"/>
      <c r="B499" s="787" t="s">
        <v>2783</v>
      </c>
      <c r="C499" s="790"/>
      <c r="D499" s="1997" t="s">
        <v>1275</v>
      </c>
      <c r="E499" s="1997"/>
      <c r="F499" s="1997"/>
      <c r="G499" s="791"/>
      <c r="I499" s="1665" t="s">
        <v>2162</v>
      </c>
    </row>
    <row r="500" spans="1:9" s="780" customFormat="1" ht="14.25">
      <c r="A500" s="786"/>
      <c r="B500" s="786"/>
      <c r="C500" s="790"/>
      <c r="D500" s="1997"/>
      <c r="E500" s="1997"/>
      <c r="F500" s="1997"/>
      <c r="G500" s="791"/>
      <c r="I500" s="1665"/>
    </row>
    <row r="501" spans="1:9" s="780" customFormat="1" ht="14.25">
      <c r="A501" s="786"/>
      <c r="B501" s="786"/>
      <c r="C501" s="790"/>
      <c r="D501" s="774"/>
      <c r="E501" s="661"/>
      <c r="F501" s="661"/>
      <c r="G501" s="791"/>
      <c r="I501" s="1665"/>
    </row>
    <row r="502" spans="1:9" ht="12.75" customHeight="1">
      <c r="B502" s="787" t="s">
        <v>2783</v>
      </c>
      <c r="D502" s="1967" t="s">
        <v>1430</v>
      </c>
      <c r="E502" s="1967"/>
      <c r="F502" s="1967"/>
      <c r="I502" s="1607" t="s">
        <v>2163</v>
      </c>
    </row>
    <row r="503" spans="1:9" ht="14.25">
      <c r="A503" s="786"/>
      <c r="D503" s="1967"/>
      <c r="E503" s="1967"/>
      <c r="F503" s="1967"/>
    </row>
    <row r="504" spans="1:9" ht="14.25">
      <c r="A504" s="786"/>
      <c r="B504" s="786"/>
      <c r="D504" s="1967"/>
      <c r="E504" s="1967"/>
      <c r="F504" s="1967"/>
    </row>
    <row r="505" spans="1:9" ht="14.25">
      <c r="A505" s="786"/>
      <c r="B505" s="786"/>
      <c r="D505" s="1967"/>
      <c r="E505" s="1967"/>
      <c r="F505" s="1967"/>
    </row>
    <row r="506" spans="1:9" ht="14.25">
      <c r="A506" s="786"/>
      <c r="D506" s="874"/>
      <c r="E506" s="874"/>
      <c r="F506" s="874"/>
      <c r="G506" s="779"/>
    </row>
    <row r="507" spans="1:9" ht="14.25">
      <c r="A507" s="786"/>
      <c r="B507" s="787" t="s">
        <v>2783</v>
      </c>
      <c r="D507" s="1984" t="s">
        <v>1278</v>
      </c>
      <c r="E507" s="1984"/>
      <c r="F507" s="1984"/>
      <c r="G507" s="779"/>
      <c r="I507" s="1607" t="s">
        <v>2164</v>
      </c>
    </row>
    <row r="508" spans="1:9" ht="14.25">
      <c r="A508" s="786"/>
      <c r="B508" s="786"/>
      <c r="D508" s="774"/>
      <c r="E508" s="661"/>
      <c r="F508" s="661"/>
      <c r="G508" s="779"/>
    </row>
    <row r="509" spans="1:9" ht="14.25">
      <c r="A509" s="786"/>
      <c r="B509" s="787" t="s">
        <v>2783</v>
      </c>
      <c r="D509" s="1979" t="s">
        <v>1279</v>
      </c>
      <c r="E509" s="1979"/>
      <c r="F509" s="1979"/>
      <c r="G509" s="779"/>
      <c r="I509" s="1607" t="s">
        <v>2164</v>
      </c>
    </row>
    <row r="510" spans="1:9" ht="14.25">
      <c r="A510" s="786"/>
      <c r="D510" s="1979"/>
      <c r="E510" s="1979"/>
      <c r="F510" s="1979"/>
      <c r="G510" s="779"/>
    </row>
    <row r="511" spans="1:9">
      <c r="A511" s="805"/>
      <c r="B511" s="805"/>
      <c r="D511" s="722"/>
      <c r="E511" s="661"/>
      <c r="F511" s="661"/>
      <c r="G511" s="779"/>
    </row>
    <row r="512" spans="1:9">
      <c r="A512" s="805"/>
      <c r="B512" s="787" t="s">
        <v>2783</v>
      </c>
      <c r="D512" s="1984" t="s">
        <v>1280</v>
      </c>
      <c r="E512" s="1984"/>
      <c r="F512" s="1984"/>
      <c r="G512" s="779"/>
      <c r="I512" s="1607" t="s">
        <v>2217</v>
      </c>
    </row>
    <row r="513" spans="1:9" ht="14.25">
      <c r="A513" s="786"/>
      <c r="B513" s="786"/>
      <c r="D513" s="789"/>
    </row>
    <row r="514" spans="1:9">
      <c r="A514" s="1944" t="s">
        <v>1115</v>
      </c>
      <c r="B514" s="1944"/>
      <c r="C514" s="1944"/>
      <c r="D514" s="1944"/>
      <c r="E514" s="1944"/>
      <c r="F514" s="1944"/>
      <c r="G514" s="1944"/>
      <c r="H514" s="1681"/>
      <c r="I514" s="1682"/>
    </row>
    <row r="515" spans="1:9" s="711" customFormat="1" ht="12" customHeight="1">
      <c r="A515" s="786"/>
      <c r="B515" s="786"/>
      <c r="C515" s="793"/>
      <c r="D515" s="774"/>
      <c r="E515" s="661"/>
      <c r="F515" s="661"/>
      <c r="G515" s="661"/>
      <c r="I515" s="613"/>
    </row>
    <row r="516" spans="1:9" s="711" customFormat="1">
      <c r="A516" s="790"/>
      <c r="B516" s="790"/>
      <c r="C516" s="821"/>
      <c r="D516" s="2019" t="s">
        <v>817</v>
      </c>
      <c r="E516" s="2019"/>
      <c r="F516" s="2019"/>
      <c r="G516" s="682"/>
      <c r="I516" s="613"/>
    </row>
    <row r="517" spans="1:9" s="711" customFormat="1">
      <c r="A517" s="790"/>
      <c r="B517" s="790"/>
      <c r="C517" s="821"/>
      <c r="D517" s="844" t="s">
        <v>1341</v>
      </c>
      <c r="E517" s="844"/>
      <c r="F517" s="844"/>
      <c r="G517" s="682"/>
      <c r="I517" s="613"/>
    </row>
    <row r="518" spans="1:9" s="711" customFormat="1">
      <c r="A518" s="790"/>
      <c r="B518" s="790"/>
      <c r="C518" s="821"/>
      <c r="D518" s="844" t="s">
        <v>1342</v>
      </c>
      <c r="E518" s="844"/>
      <c r="F518" s="844"/>
      <c r="G518" s="682"/>
      <c r="I518" s="613"/>
    </row>
    <row r="519" spans="1:9" s="711" customFormat="1">
      <c r="A519" s="790"/>
      <c r="B519" s="790"/>
      <c r="C519" s="821"/>
      <c r="D519" s="843"/>
      <c r="E519" s="843"/>
      <c r="F519" s="843"/>
      <c r="G519" s="682"/>
      <c r="I519" s="613"/>
    </row>
    <row r="520" spans="1:9" s="711" customFormat="1" ht="13.7" customHeight="1">
      <c r="A520" s="784"/>
      <c r="B520" s="787" t="s">
        <v>2796</v>
      </c>
      <c r="C520" s="788"/>
      <c r="D520" s="1978" t="s">
        <v>2449</v>
      </c>
      <c r="E520" s="1978"/>
      <c r="F520" s="1978"/>
      <c r="G520" s="661"/>
      <c r="I520" s="613" t="s">
        <v>2199</v>
      </c>
    </row>
    <row r="521" spans="1:9" s="711" customFormat="1">
      <c r="A521" s="784"/>
      <c r="B521" s="784"/>
      <c r="C521" s="788"/>
      <c r="D521" s="1978"/>
      <c r="E521" s="1978"/>
      <c r="F521" s="1978"/>
      <c r="G521" s="661"/>
      <c r="I521" s="613"/>
    </row>
    <row r="522" spans="1:9" s="711" customFormat="1">
      <c r="A522" s="784"/>
      <c r="B522" s="784"/>
      <c r="C522" s="788"/>
      <c r="D522" s="1542"/>
      <c r="E522" s="1542"/>
      <c r="F522" s="1542"/>
      <c r="G522" s="661"/>
    </row>
    <row r="523" spans="1:9" s="711" customFormat="1" ht="12.75" customHeight="1">
      <c r="A523" s="784"/>
      <c r="B523" s="787" t="s">
        <v>2783</v>
      </c>
      <c r="C523" s="793"/>
      <c r="D523" s="1696" t="s">
        <v>2275</v>
      </c>
      <c r="E523" s="859"/>
      <c r="F523" s="859"/>
      <c r="G523" s="661"/>
      <c r="I523" s="613" t="s">
        <v>2165</v>
      </c>
    </row>
    <row r="524" spans="1:9" s="1602" customFormat="1">
      <c r="A524" s="784"/>
      <c r="B524" s="784"/>
      <c r="C524" s="784"/>
      <c r="D524" s="859"/>
      <c r="E524" s="1564" t="s">
        <v>2276</v>
      </c>
      <c r="F524" s="1604"/>
      <c r="G524" s="661"/>
      <c r="I524" s="613"/>
    </row>
    <row r="525" spans="1:9" s="711" customFormat="1">
      <c r="A525" s="784"/>
      <c r="B525" s="784"/>
      <c r="C525" s="793"/>
      <c r="D525" s="2030" t="s">
        <v>2450</v>
      </c>
      <c r="E525" s="2030"/>
      <c r="F525" s="2030"/>
      <c r="G525" s="661"/>
      <c r="I525" s="613"/>
    </row>
    <row r="526" spans="1:9" s="1602" customFormat="1">
      <c r="A526" s="784"/>
      <c r="B526" s="784"/>
      <c r="C526" s="793"/>
      <c r="D526" s="2030"/>
      <c r="E526" s="2030"/>
      <c r="F526" s="2030"/>
      <c r="G526" s="661"/>
      <c r="I526" s="613"/>
    </row>
    <row r="527" spans="1:9" s="711" customFormat="1">
      <c r="A527" s="784"/>
      <c r="B527" s="784"/>
      <c r="C527" s="788"/>
      <c r="D527" s="2030"/>
      <c r="E527" s="2030"/>
      <c r="F527" s="2030"/>
      <c r="G527" s="661"/>
      <c r="I527" s="613"/>
    </row>
    <row r="528" spans="1:9" s="711" customFormat="1">
      <c r="A528" s="784"/>
      <c r="B528" s="784"/>
      <c r="C528" s="788"/>
      <c r="D528" s="822"/>
      <c r="E528" s="661"/>
      <c r="F528" s="774"/>
      <c r="G528" s="661"/>
      <c r="I528" s="613"/>
    </row>
    <row r="529" spans="1:9" s="711" customFormat="1" ht="13.15" customHeight="1">
      <c r="A529" s="784"/>
      <c r="B529" s="787" t="s">
        <v>2783</v>
      </c>
      <c r="C529" s="788"/>
      <c r="D529" s="2023" t="s">
        <v>2451</v>
      </c>
      <c r="E529" s="2023"/>
      <c r="F529" s="2023"/>
      <c r="G529" s="661"/>
      <c r="I529" s="613" t="s">
        <v>2165</v>
      </c>
    </row>
    <row r="530" spans="1:9" s="711" customFormat="1">
      <c r="A530" s="784"/>
      <c r="B530" s="784"/>
      <c r="C530" s="788"/>
      <c r="D530" s="2023"/>
      <c r="E530" s="2023"/>
      <c r="F530" s="2023"/>
      <c r="G530" s="661"/>
      <c r="I530" s="613"/>
    </row>
    <row r="531" spans="1:9" s="711" customFormat="1" ht="12" customHeight="1">
      <c r="A531" s="789"/>
      <c r="B531" s="789"/>
      <c r="C531" s="797"/>
      <c r="D531" s="789"/>
      <c r="E531" s="661"/>
      <c r="F531" s="824"/>
      <c r="G531" s="661"/>
      <c r="I531" s="613"/>
    </row>
    <row r="532" spans="1:9">
      <c r="A532" s="1944" t="s">
        <v>1116</v>
      </c>
      <c r="B532" s="1944"/>
      <c r="C532" s="1944"/>
      <c r="D532" s="1944"/>
      <c r="E532" s="1944"/>
      <c r="F532" s="1944"/>
      <c r="G532" s="1944"/>
      <c r="H532" s="1681"/>
      <c r="I532" s="1682"/>
    </row>
    <row r="533" spans="1:9">
      <c r="A533" s="789"/>
      <c r="B533" s="789"/>
      <c r="C533" s="818"/>
      <c r="F533" s="825"/>
    </row>
    <row r="534" spans="1:9">
      <c r="B534" s="2032" t="s">
        <v>449</v>
      </c>
      <c r="C534" s="2032"/>
      <c r="D534" s="2032"/>
      <c r="E534" s="2032"/>
      <c r="F534" s="2032"/>
    </row>
    <row r="535" spans="1:9">
      <c r="A535" s="789"/>
      <c r="B535" s="789"/>
      <c r="C535" s="818"/>
      <c r="D535" s="789"/>
      <c r="F535" s="789"/>
    </row>
    <row r="536" spans="1:9">
      <c r="A536" s="1945" t="s">
        <v>1117</v>
      </c>
      <c r="B536" s="1945"/>
      <c r="C536" s="1945"/>
      <c r="D536" s="1945"/>
      <c r="E536" s="1945"/>
      <c r="F536" s="1945"/>
      <c r="G536" s="1945"/>
      <c r="H536" s="1681"/>
      <c r="I536" s="1682"/>
    </row>
    <row r="537" spans="1:9">
      <c r="A537" s="789"/>
      <c r="B537" s="789"/>
      <c r="C537" s="818"/>
      <c r="D537" s="789"/>
      <c r="F537" s="789"/>
    </row>
    <row r="538" spans="1:9">
      <c r="C538" s="818"/>
      <c r="D538" s="1934" t="s">
        <v>692</v>
      </c>
      <c r="E538" s="1934"/>
      <c r="F538" s="1934"/>
    </row>
    <row r="539" spans="1:9">
      <c r="C539" s="818"/>
      <c r="D539" s="1984" t="s">
        <v>1174</v>
      </c>
      <c r="E539" s="1984"/>
      <c r="F539" s="1984"/>
    </row>
    <row r="540" spans="1:9">
      <c r="C540" s="818"/>
      <c r="D540" s="774"/>
      <c r="E540" s="774"/>
      <c r="F540" s="774"/>
    </row>
    <row r="541" spans="1:9" ht="13.7" customHeight="1">
      <c r="A541" s="786"/>
      <c r="B541" s="787" t="s">
        <v>2796</v>
      </c>
      <c r="C541" s="818"/>
      <c r="D541" s="1984" t="s">
        <v>913</v>
      </c>
      <c r="E541" s="1984"/>
      <c r="F541" s="1984"/>
      <c r="G541" s="779"/>
      <c r="I541" s="1607" t="s">
        <v>2215</v>
      </c>
    </row>
    <row r="542" spans="1:9" ht="13.7" customHeight="1">
      <c r="A542" s="818"/>
      <c r="B542" s="818"/>
      <c r="C542" s="818"/>
      <c r="D542" s="774"/>
      <c r="E542" s="609"/>
      <c r="F542" s="609"/>
      <c r="G542" s="779"/>
    </row>
    <row r="543" spans="1:9" ht="14.25">
      <c r="A543" s="786"/>
      <c r="B543" s="787" t="s">
        <v>2796</v>
      </c>
      <c r="C543" s="818"/>
      <c r="D543" s="1979" t="s">
        <v>1175</v>
      </c>
      <c r="E543" s="1979"/>
      <c r="F543" s="1979"/>
      <c r="G543" s="779"/>
      <c r="I543" s="1607" t="s">
        <v>2215</v>
      </c>
    </row>
    <row r="544" spans="1:9">
      <c r="A544" s="818"/>
      <c r="B544" s="818"/>
      <c r="C544" s="818"/>
      <c r="D544" s="1979"/>
      <c r="E544" s="1979"/>
      <c r="F544" s="1979"/>
      <c r="G544" s="779"/>
    </row>
    <row r="545" spans="1:9">
      <c r="A545" s="818"/>
      <c r="B545" s="818"/>
      <c r="C545" s="818"/>
      <c r="D545" s="789"/>
      <c r="E545" s="789"/>
      <c r="F545" s="789"/>
      <c r="G545" s="779"/>
    </row>
    <row r="546" spans="1:9" ht="14.25">
      <c r="A546" s="786"/>
      <c r="B546" s="787" t="s">
        <v>2796</v>
      </c>
      <c r="C546" s="818"/>
      <c r="D546" s="1979" t="s">
        <v>1176</v>
      </c>
      <c r="E546" s="1979"/>
      <c r="F546" s="1979"/>
      <c r="G546" s="779"/>
      <c r="I546" s="1607" t="s">
        <v>2166</v>
      </c>
    </row>
    <row r="547" spans="1:9">
      <c r="A547" s="818"/>
      <c r="B547" s="818"/>
      <c r="C547" s="818"/>
      <c r="D547" s="1979"/>
      <c r="E547" s="1979"/>
      <c r="F547" s="1979"/>
      <c r="G547" s="779"/>
    </row>
    <row r="548" spans="1:9">
      <c r="A548" s="818"/>
      <c r="B548" s="818"/>
      <c r="C548" s="818"/>
      <c r="D548" s="789"/>
      <c r="E548" s="789"/>
      <c r="F548" s="789"/>
      <c r="G548" s="779"/>
    </row>
    <row r="549" spans="1:9" ht="14.25">
      <c r="A549" s="786"/>
      <c r="B549" s="787" t="s">
        <v>2796</v>
      </c>
      <c r="C549" s="818"/>
      <c r="D549" s="1979" t="s">
        <v>1177</v>
      </c>
      <c r="E549" s="1979"/>
      <c r="F549" s="1979"/>
      <c r="G549" s="779"/>
      <c r="I549" s="1607" t="s">
        <v>2167</v>
      </c>
    </row>
    <row r="550" spans="1:9">
      <c r="A550" s="818"/>
      <c r="B550" s="818"/>
      <c r="C550" s="818"/>
      <c r="D550" s="1979"/>
      <c r="E550" s="1979"/>
      <c r="F550" s="1979"/>
      <c r="G550" s="779"/>
    </row>
    <row r="551" spans="1:9">
      <c r="A551" s="818"/>
      <c r="B551" s="818"/>
      <c r="C551" s="818"/>
      <c r="D551" s="789"/>
      <c r="E551" s="789"/>
      <c r="F551" s="789"/>
      <c r="G551" s="779"/>
    </row>
    <row r="552" spans="1:9" ht="14.25">
      <c r="A552" s="786"/>
      <c r="B552" s="787" t="s">
        <v>2796</v>
      </c>
      <c r="C552" s="818"/>
      <c r="D552" s="1979" t="s">
        <v>1178</v>
      </c>
      <c r="E552" s="1979"/>
      <c r="F552" s="1979"/>
      <c r="G552" s="779"/>
      <c r="I552" s="1607" t="s">
        <v>2216</v>
      </c>
    </row>
    <row r="553" spans="1:9">
      <c r="A553" s="818"/>
      <c r="B553" s="818"/>
      <c r="C553" s="818"/>
      <c r="D553" s="1979"/>
      <c r="E553" s="1979"/>
      <c r="F553" s="1979"/>
      <c r="G553" s="779"/>
    </row>
    <row r="554" spans="1:9">
      <c r="A554" s="818"/>
      <c r="B554" s="818"/>
      <c r="C554" s="818"/>
      <c r="D554" s="1979"/>
      <c r="E554" s="1979"/>
      <c r="F554" s="1979"/>
      <c r="G554" s="779"/>
    </row>
    <row r="555" spans="1:9">
      <c r="A555" s="818"/>
      <c r="B555" s="818"/>
      <c r="C555" s="818"/>
      <c r="D555" s="789"/>
      <c r="E555" s="789"/>
      <c r="F555" s="789"/>
    </row>
    <row r="556" spans="1:9" ht="14.25">
      <c r="A556" s="786"/>
      <c r="B556" s="787" t="s">
        <v>2783</v>
      </c>
      <c r="C556" s="818"/>
      <c r="D556" s="2023" t="s">
        <v>1296</v>
      </c>
      <c r="E556" s="2023"/>
      <c r="F556" s="2023"/>
      <c r="I556" s="1607" t="s">
        <v>2215</v>
      </c>
    </row>
    <row r="557" spans="1:9">
      <c r="A557" s="818"/>
      <c r="B557" s="818"/>
      <c r="C557" s="818"/>
      <c r="D557" s="2023"/>
      <c r="E557" s="2023"/>
      <c r="F557" s="2023"/>
    </row>
    <row r="558" spans="1:9">
      <c r="A558" s="818"/>
      <c r="B558" s="818"/>
      <c r="C558" s="818"/>
      <c r="D558" s="789"/>
      <c r="E558" s="789"/>
      <c r="F558" s="789"/>
    </row>
    <row r="559" spans="1:9" ht="14.25">
      <c r="A559" s="786"/>
      <c r="B559" s="787" t="s">
        <v>2796</v>
      </c>
      <c r="C559" s="818"/>
      <c r="D559" s="1979" t="s">
        <v>1180</v>
      </c>
      <c r="E559" s="1979"/>
      <c r="F559" s="1979"/>
      <c r="I559" s="1607" t="s">
        <v>2215</v>
      </c>
    </row>
    <row r="560" spans="1:9">
      <c r="A560" s="818"/>
      <c r="B560" s="818"/>
      <c r="C560" s="818"/>
      <c r="D560" s="1979"/>
      <c r="E560" s="1979"/>
      <c r="F560" s="1979"/>
      <c r="G560" s="808"/>
    </row>
    <row r="561" spans="1:16">
      <c r="A561" s="818"/>
      <c r="B561" s="818"/>
      <c r="C561" s="818"/>
      <c r="D561" s="789"/>
      <c r="E561" s="789"/>
      <c r="F561" s="789"/>
      <c r="G561" s="808"/>
    </row>
    <row r="562" spans="1:16" ht="14.25">
      <c r="A562" s="786"/>
      <c r="B562" s="787" t="s">
        <v>2796</v>
      </c>
      <c r="C562" s="818"/>
      <c r="D562" s="1984" t="s">
        <v>1181</v>
      </c>
      <c r="E562" s="1984"/>
      <c r="F562" s="1984"/>
      <c r="G562" s="808"/>
      <c r="I562" s="1607" t="s">
        <v>2218</v>
      </c>
      <c r="P562" s="1605"/>
    </row>
    <row r="563" spans="1:16">
      <c r="A563" s="805"/>
      <c r="B563" s="805"/>
      <c r="C563" s="818"/>
      <c r="D563" s="1984" t="s">
        <v>2278</v>
      </c>
      <c r="E563" s="1984"/>
      <c r="F563" s="1984"/>
      <c r="G563" s="808"/>
    </row>
    <row r="564" spans="1:16">
      <c r="A564" s="805"/>
      <c r="B564" s="805"/>
      <c r="C564" s="818"/>
      <c r="D564" s="779"/>
      <c r="E564" s="1564" t="s">
        <v>2277</v>
      </c>
      <c r="F564" s="1699"/>
      <c r="G564" s="808"/>
    </row>
    <row r="565" spans="1:16" ht="14.25">
      <c r="A565" s="786"/>
      <c r="B565" s="786"/>
      <c r="C565" s="818"/>
      <c r="E565" s="789"/>
      <c r="F565" s="789"/>
      <c r="G565" s="808"/>
    </row>
    <row r="566" spans="1:16" ht="14.25">
      <c r="A566" s="786"/>
      <c r="B566" s="787" t="s">
        <v>2796</v>
      </c>
      <c r="C566" s="818"/>
      <c r="D566" s="2025" t="s">
        <v>1183</v>
      </c>
      <c r="E566" s="2025"/>
      <c r="F566" s="2025"/>
      <c r="G566" s="808"/>
      <c r="I566" s="1607" t="s">
        <v>2168</v>
      </c>
    </row>
    <row r="567" spans="1:16">
      <c r="C567" s="818"/>
      <c r="D567" s="1979" t="s">
        <v>1184</v>
      </c>
      <c r="E567" s="1979"/>
      <c r="F567" s="1979"/>
      <c r="G567" s="808"/>
    </row>
    <row r="568" spans="1:16">
      <c r="A568" s="818"/>
      <c r="B568" s="818"/>
      <c r="C568" s="818"/>
      <c r="D568" s="1979"/>
      <c r="E568" s="1979"/>
      <c r="F568" s="1979"/>
      <c r="G568" s="808"/>
    </row>
    <row r="569" spans="1:16">
      <c r="A569" s="818"/>
      <c r="B569" s="818"/>
      <c r="C569" s="818"/>
      <c r="D569" s="1979"/>
      <c r="E569" s="1979"/>
      <c r="F569" s="1979"/>
      <c r="G569" s="808"/>
    </row>
    <row r="570" spans="1:16">
      <c r="A570" s="818"/>
      <c r="B570" s="818"/>
      <c r="C570" s="818"/>
      <c r="D570" s="789"/>
      <c r="E570" s="789"/>
      <c r="F570" s="789"/>
      <c r="G570" s="808"/>
    </row>
    <row r="571" spans="1:16" ht="14.25">
      <c r="A571" s="786"/>
      <c r="B571" s="787" t="s">
        <v>2796</v>
      </c>
      <c r="C571" s="818"/>
      <c r="D571" s="1979" t="s">
        <v>2452</v>
      </c>
      <c r="E571" s="1979"/>
      <c r="F571" s="1979"/>
      <c r="G571" s="808"/>
      <c r="I571" s="1607" t="s">
        <v>2169</v>
      </c>
    </row>
    <row r="572" spans="1:16" ht="14.25">
      <c r="A572" s="786"/>
      <c r="B572" s="786"/>
      <c r="C572" s="818"/>
      <c r="D572" s="1979"/>
      <c r="E572" s="1979"/>
      <c r="F572" s="1979"/>
      <c r="G572" s="808"/>
    </row>
    <row r="573" spans="1:16" ht="14.25">
      <c r="A573" s="786"/>
      <c r="B573" s="786"/>
      <c r="C573" s="818"/>
      <c r="D573" s="1979"/>
      <c r="E573" s="1979"/>
      <c r="F573" s="1979"/>
      <c r="G573" s="808"/>
    </row>
    <row r="574" spans="1:16" ht="14.25">
      <c r="A574" s="786"/>
      <c r="B574" s="786"/>
      <c r="C574" s="818"/>
      <c r="D574" s="1979"/>
      <c r="E574" s="1979"/>
      <c r="F574" s="1979"/>
      <c r="G574" s="808"/>
    </row>
    <row r="575" spans="1:16" ht="14.25">
      <c r="A575" s="786"/>
      <c r="B575" s="786"/>
      <c r="C575" s="818"/>
      <c r="D575" s="789"/>
      <c r="E575" s="789"/>
      <c r="F575" s="789"/>
      <c r="G575" s="808"/>
    </row>
    <row r="576" spans="1:16">
      <c r="A576" s="1944" t="s">
        <v>1118</v>
      </c>
      <c r="B576" s="1944"/>
      <c r="C576" s="1944"/>
      <c r="D576" s="1944"/>
      <c r="E576" s="1944"/>
      <c r="F576" s="1944"/>
      <c r="G576" s="1944"/>
      <c r="H576" s="1681"/>
      <c r="I576" s="1682"/>
    </row>
    <row r="577" spans="1:9">
      <c r="A577" s="818"/>
      <c r="B577" s="818"/>
      <c r="C577" s="818"/>
      <c r="E577" s="789"/>
      <c r="F577" s="789"/>
      <c r="G577" s="808"/>
    </row>
    <row r="578" spans="1:9" ht="12.75" customHeight="1">
      <c r="C578" s="782"/>
      <c r="D578" s="2016" t="s">
        <v>211</v>
      </c>
      <c r="E578" s="2016"/>
      <c r="F578" s="2016"/>
      <c r="G578" s="808"/>
    </row>
    <row r="579" spans="1:9">
      <c r="A579" s="784"/>
      <c r="B579" s="784"/>
      <c r="C579" s="784"/>
      <c r="D579" s="1966" t="s">
        <v>1134</v>
      </c>
      <c r="E579" s="1966"/>
      <c r="F579" s="1966"/>
      <c r="G579" s="808"/>
    </row>
    <row r="580" spans="1:9">
      <c r="A580" s="779"/>
      <c r="B580" s="779"/>
      <c r="C580" s="784"/>
      <c r="D580" s="826"/>
      <c r="G580" s="808"/>
      <c r="I580" s="1607" t="s">
        <v>2170</v>
      </c>
    </row>
    <row r="581" spans="1:9">
      <c r="A581" s="784"/>
      <c r="B581" s="787" t="s">
        <v>2796</v>
      </c>
      <c r="D581" s="1966" t="s">
        <v>919</v>
      </c>
      <c r="E581" s="1966"/>
      <c r="F581" s="1966"/>
      <c r="G581" s="808"/>
    </row>
    <row r="582" spans="1:9">
      <c r="A582" s="805"/>
      <c r="B582" s="805"/>
      <c r="D582" s="803"/>
    </row>
    <row r="583" spans="1:9">
      <c r="A583" s="805"/>
      <c r="B583" s="787" t="s">
        <v>2796</v>
      </c>
      <c r="D583" s="1967" t="s">
        <v>2453</v>
      </c>
      <c r="E583" s="1967"/>
      <c r="F583" s="1967"/>
      <c r="I583" s="1607" t="s">
        <v>2172</v>
      </c>
    </row>
    <row r="584" spans="1:9">
      <c r="A584" s="805"/>
      <c r="B584" s="805"/>
      <c r="D584" s="1967"/>
      <c r="E584" s="1967"/>
      <c r="F584" s="1967"/>
      <c r="G584" s="779"/>
      <c r="I584" s="1607" t="s">
        <v>2171</v>
      </c>
    </row>
    <row r="585" spans="1:9">
      <c r="A585" s="805"/>
      <c r="B585" s="805"/>
      <c r="D585" s="1967"/>
      <c r="E585" s="1967"/>
      <c r="F585" s="1967"/>
      <c r="G585" s="779"/>
    </row>
    <row r="586" spans="1:9">
      <c r="A586" s="805"/>
      <c r="B586" s="805"/>
      <c r="D586" s="1967"/>
      <c r="E586" s="1967"/>
      <c r="F586" s="1967"/>
      <c r="G586" s="779"/>
    </row>
    <row r="587" spans="1:9">
      <c r="A587" s="805"/>
      <c r="B587" s="787" t="s">
        <v>2783</v>
      </c>
      <c r="D587" s="1967" t="s">
        <v>1136</v>
      </c>
      <c r="E587" s="1967"/>
      <c r="F587" s="1967"/>
      <c r="G587" s="779"/>
    </row>
    <row r="588" spans="1:9">
      <c r="A588" s="805"/>
      <c r="B588" s="805"/>
      <c r="D588" s="1967"/>
      <c r="E588" s="1967"/>
      <c r="F588" s="1967"/>
      <c r="G588" s="779"/>
    </row>
    <row r="589" spans="1:9">
      <c r="A589" s="805"/>
      <c r="B589" s="805"/>
      <c r="D589" s="1967"/>
      <c r="E589" s="1967"/>
      <c r="F589" s="1967"/>
      <c r="G589" s="779"/>
    </row>
    <row r="590" spans="1:9">
      <c r="A590" s="805"/>
      <c r="B590" s="805"/>
      <c r="D590" s="1967"/>
      <c r="E590" s="1967"/>
      <c r="F590" s="1967"/>
      <c r="G590" s="779"/>
    </row>
    <row r="591" spans="1:9">
      <c r="A591" s="805"/>
      <c r="B591" s="805"/>
      <c r="D591" s="772"/>
      <c r="E591" s="772"/>
      <c r="F591" s="772"/>
      <c r="G591" s="779"/>
    </row>
    <row r="592" spans="1:9">
      <c r="A592" s="805"/>
      <c r="B592" s="787" t="s">
        <v>2796</v>
      </c>
      <c r="D592" s="1967" t="s">
        <v>2454</v>
      </c>
      <c r="E592" s="1967"/>
      <c r="F592" s="1967"/>
      <c r="G592" s="779"/>
    </row>
    <row r="593" spans="1:9">
      <c r="A593" s="805"/>
      <c r="B593" s="805"/>
      <c r="D593" s="1967"/>
      <c r="E593" s="1967"/>
      <c r="F593" s="1967"/>
      <c r="G593" s="779"/>
    </row>
    <row r="594" spans="1:9">
      <c r="A594" s="805"/>
      <c r="B594" s="805"/>
      <c r="D594" s="826"/>
      <c r="G594" s="779"/>
    </row>
    <row r="595" spans="1:9">
      <c r="A595" s="805"/>
      <c r="B595" s="787" t="s">
        <v>2783</v>
      </c>
      <c r="D595" s="1966" t="s">
        <v>1138</v>
      </c>
      <c r="E595" s="1966"/>
      <c r="F595" s="1966"/>
      <c r="G595" s="779"/>
      <c r="I595" s="1607" t="s">
        <v>2219</v>
      </c>
    </row>
    <row r="596" spans="1:9">
      <c r="A596" s="805"/>
      <c r="B596" s="805"/>
      <c r="D596" s="1966"/>
      <c r="E596" s="1966"/>
      <c r="F596" s="1966"/>
      <c r="G596" s="779"/>
    </row>
    <row r="597" spans="1:9" ht="14.25">
      <c r="A597" s="786"/>
      <c r="B597" s="786"/>
      <c r="D597" s="826"/>
      <c r="G597" s="779"/>
    </row>
    <row r="598" spans="1:9">
      <c r="A598" s="1944" t="s">
        <v>1119</v>
      </c>
      <c r="B598" s="1944"/>
      <c r="C598" s="1944"/>
      <c r="D598" s="1944"/>
      <c r="E598" s="1944"/>
      <c r="F598" s="1944"/>
      <c r="G598" s="1944"/>
      <c r="H598" s="1681"/>
      <c r="I598" s="1682"/>
    </row>
    <row r="599" spans="1:9"/>
    <row r="600" spans="1:9">
      <c r="D600" s="1934" t="s">
        <v>1219</v>
      </c>
      <c r="E600" s="1934"/>
      <c r="F600" s="1934"/>
    </row>
    <row r="601" spans="1:9">
      <c r="D601" s="1935" t="s">
        <v>1220</v>
      </c>
      <c r="E601" s="1935"/>
      <c r="F601" s="1935"/>
    </row>
    <row r="602" spans="1:9">
      <c r="D602" s="769"/>
      <c r="E602" s="711"/>
      <c r="F602" s="711"/>
    </row>
    <row r="603" spans="1:9" s="780" customFormat="1" ht="14.25" customHeight="1">
      <c r="A603" s="794"/>
      <c r="B603" s="787" t="s">
        <v>2796</v>
      </c>
      <c r="C603" s="790"/>
      <c r="D603" s="2048" t="s">
        <v>2279</v>
      </c>
      <c r="E603" s="2048"/>
      <c r="F603" s="2048"/>
      <c r="G603" s="791"/>
      <c r="I603" s="1665" t="s">
        <v>2200</v>
      </c>
    </row>
    <row r="604" spans="1:9">
      <c r="D604" s="2048"/>
      <c r="E604" s="2048"/>
      <c r="F604" s="2048"/>
    </row>
    <row r="605" spans="1:9">
      <c r="D605" s="1700"/>
      <c r="E605" s="1697" t="s">
        <v>2280</v>
      </c>
      <c r="F605" s="1700"/>
    </row>
    <row r="606" spans="1:9"/>
    <row r="607" spans="1:9">
      <c r="A607" s="1944" t="s">
        <v>1120</v>
      </c>
      <c r="B607" s="1944"/>
      <c r="C607" s="1944"/>
      <c r="D607" s="1944"/>
      <c r="E607" s="1944"/>
      <c r="F607" s="1944"/>
      <c r="G607" s="1944"/>
      <c r="H607" s="1681"/>
      <c r="I607" s="1682"/>
    </row>
    <row r="608" spans="1:9">
      <c r="A608" s="789"/>
      <c r="B608" s="789"/>
      <c r="G608" s="808"/>
    </row>
    <row r="609" spans="1:13">
      <c r="A609" s="827"/>
      <c r="B609" s="827"/>
      <c r="C609" s="782"/>
      <c r="D609" s="1937" t="s">
        <v>1222</v>
      </c>
      <c r="E609" s="1937"/>
      <c r="F609" s="1937"/>
      <c r="G609" s="808"/>
    </row>
    <row r="610" spans="1:13">
      <c r="A610" s="827"/>
      <c r="B610" s="827"/>
      <c r="C610" s="782"/>
      <c r="D610" s="1937"/>
      <c r="E610" s="1937"/>
      <c r="F610" s="1937"/>
      <c r="G610" s="808"/>
    </row>
    <row r="611" spans="1:13">
      <c r="C611" s="784"/>
      <c r="D611" s="1935" t="s">
        <v>1223</v>
      </c>
      <c r="E611" s="1935"/>
      <c r="F611" s="1935"/>
      <c r="G611" s="808"/>
    </row>
    <row r="612" spans="1:13">
      <c r="C612" s="784"/>
      <c r="D612" s="769"/>
      <c r="E612" s="769"/>
      <c r="F612" s="769"/>
      <c r="G612" s="808"/>
    </row>
    <row r="613" spans="1:13" ht="12.75" customHeight="1">
      <c r="A613" s="805"/>
      <c r="B613" s="787" t="s">
        <v>2796</v>
      </c>
      <c r="D613" s="1938" t="s">
        <v>1224</v>
      </c>
      <c r="E613" s="1938"/>
      <c r="F613" s="1938"/>
      <c r="G613" s="808"/>
      <c r="I613" s="1607" t="s">
        <v>2220</v>
      </c>
    </row>
    <row r="614" spans="1:13">
      <c r="D614" s="1938"/>
      <c r="E614" s="1938"/>
      <c r="F614" s="1938"/>
      <c r="G614" s="808"/>
    </row>
    <row r="615" spans="1:13">
      <c r="D615" s="779"/>
      <c r="G615" s="808"/>
    </row>
    <row r="616" spans="1:13">
      <c r="B616" s="787" t="s">
        <v>2796</v>
      </c>
      <c r="D616" s="1938" t="s">
        <v>1225</v>
      </c>
      <c r="E616" s="1938"/>
      <c r="F616" s="1938"/>
      <c r="G616" s="808"/>
      <c r="I616" s="1607" t="s">
        <v>2173</v>
      </c>
    </row>
    <row r="617" spans="1:13">
      <c r="C617" s="828"/>
      <c r="D617" s="1938"/>
      <c r="E617" s="1938"/>
      <c r="F617" s="1938"/>
      <c r="G617" s="808"/>
    </row>
    <row r="618" spans="1:13">
      <c r="C618" s="828"/>
      <c r="G618" s="808"/>
    </row>
    <row r="619" spans="1:13">
      <c r="B619" s="787" t="s">
        <v>2796</v>
      </c>
      <c r="C619" s="828"/>
      <c r="D619" s="1938" t="s">
        <v>1226</v>
      </c>
      <c r="E619" s="1938"/>
      <c r="F619" s="1938"/>
      <c r="G619" s="808"/>
      <c r="I619" s="1607" t="s">
        <v>2221</v>
      </c>
    </row>
    <row r="620" spans="1:13">
      <c r="C620" s="828"/>
      <c r="D620" s="1938"/>
      <c r="E620" s="1938"/>
      <c r="F620" s="1938"/>
      <c r="G620" s="808"/>
      <c r="I620" s="1678" t="s">
        <v>2222</v>
      </c>
    </row>
    <row r="621" spans="1:13">
      <c r="C621" s="828"/>
      <c r="G621" s="808"/>
    </row>
    <row r="622" spans="1:13">
      <c r="A622" s="1944" t="s">
        <v>1121</v>
      </c>
      <c r="B622" s="1944"/>
      <c r="C622" s="1944"/>
      <c r="D622" s="1944"/>
      <c r="E622" s="1944"/>
      <c r="F622" s="1944"/>
      <c r="G622" s="1944"/>
      <c r="H622" s="1681"/>
      <c r="I622" s="1682"/>
    </row>
    <row r="623" spans="1:13">
      <c r="A623" s="829"/>
      <c r="B623" s="829"/>
      <c r="C623" s="829"/>
      <c r="G623" s="808"/>
    </row>
    <row r="624" spans="1:13">
      <c r="C624" s="805"/>
      <c r="D624" s="1934" t="s">
        <v>1227</v>
      </c>
      <c r="E624" s="1934"/>
      <c r="F624" s="1934"/>
      <c r="G624" s="808"/>
      <c r="M624" s="1605"/>
    </row>
    <row r="625" spans="1:13">
      <c r="A625" s="805"/>
      <c r="B625" s="805"/>
      <c r="C625" s="807"/>
      <c r="D625" s="783"/>
      <c r="G625" s="808"/>
      <c r="M625" s="1605"/>
    </row>
    <row r="626" spans="1:13" ht="14.25" customHeight="1">
      <c r="A626" s="786"/>
      <c r="B626" s="787" t="s">
        <v>2796</v>
      </c>
      <c r="C626" s="807"/>
      <c r="D626" s="2049" t="s">
        <v>2455</v>
      </c>
      <c r="E626" s="2049"/>
      <c r="F626" s="2049"/>
      <c r="G626" s="808"/>
      <c r="I626" s="1607" t="s">
        <v>2201</v>
      </c>
      <c r="M626" s="1605"/>
    </row>
    <row r="627" spans="1:13">
      <c r="C627" s="807"/>
      <c r="D627" s="2049"/>
      <c r="E627" s="2049"/>
      <c r="F627" s="2049"/>
      <c r="G627" s="808"/>
      <c r="M627" s="1605"/>
    </row>
    <row r="628" spans="1:13">
      <c r="C628" s="807"/>
      <c r="D628" s="859"/>
      <c r="E628" s="1697" t="s">
        <v>2282</v>
      </c>
      <c r="F628" s="859"/>
      <c r="G628" s="808"/>
      <c r="M628" s="1605"/>
    </row>
    <row r="629" spans="1:13">
      <c r="C629" s="807"/>
      <c r="D629" s="1979" t="s">
        <v>2281</v>
      </c>
      <c r="E629" s="1979"/>
      <c r="F629" s="1979"/>
      <c r="G629" s="808"/>
      <c r="M629" s="1605"/>
    </row>
    <row r="630" spans="1:13">
      <c r="C630" s="807"/>
      <c r="D630" s="1979"/>
      <c r="E630" s="1979"/>
      <c r="F630" s="1979"/>
      <c r="G630" s="808"/>
    </row>
    <row r="631" spans="1:13">
      <c r="C631" s="807"/>
      <c r="D631" s="1979"/>
      <c r="E631" s="1979"/>
      <c r="F631" s="1979"/>
      <c r="G631" s="808"/>
    </row>
    <row r="632" spans="1:13">
      <c r="C632" s="807"/>
      <c r="D632" s="773"/>
      <c r="E632" s="773"/>
      <c r="F632" s="773"/>
      <c r="G632" s="808"/>
    </row>
    <row r="633" spans="1:13" ht="14.25">
      <c r="A633" s="786"/>
      <c r="B633" s="787" t="s">
        <v>2783</v>
      </c>
      <c r="C633" s="807"/>
      <c r="D633" s="1979" t="s">
        <v>1229</v>
      </c>
      <c r="E633" s="1979"/>
      <c r="F633" s="1979"/>
      <c r="G633" s="808"/>
      <c r="I633" s="1607" t="s">
        <v>2223</v>
      </c>
    </row>
    <row r="634" spans="1:13">
      <c r="A634" s="818"/>
      <c r="B634" s="818"/>
      <c r="C634" s="818"/>
      <c r="D634" s="1979"/>
      <c r="E634" s="1979"/>
      <c r="F634" s="1979"/>
      <c r="G634" s="808"/>
    </row>
    <row r="635" spans="1:13">
      <c r="A635" s="818"/>
      <c r="B635" s="818"/>
      <c r="C635" s="818"/>
      <c r="D635" s="774"/>
      <c r="E635" s="830"/>
      <c r="F635" s="830"/>
      <c r="G635" s="808"/>
    </row>
    <row r="636" spans="1:13" ht="14.25">
      <c r="A636" s="786"/>
      <c r="B636" s="787" t="s">
        <v>2783</v>
      </c>
      <c r="C636" s="818"/>
      <c r="D636" s="1936" t="s">
        <v>1371</v>
      </c>
      <c r="E636" s="1936"/>
      <c r="F636" s="1936"/>
      <c r="G636" s="808"/>
      <c r="I636" s="1607" t="s">
        <v>2174</v>
      </c>
    </row>
    <row r="637" spans="1:13" ht="14.25">
      <c r="A637" s="786"/>
      <c r="B637" s="786"/>
      <c r="C637" s="818"/>
      <c r="D637" s="1936"/>
      <c r="E637" s="1936"/>
      <c r="F637" s="1936"/>
      <c r="G637" s="808"/>
    </row>
    <row r="638" spans="1:13" ht="14.25">
      <c r="A638" s="786"/>
      <c r="B638" s="786"/>
      <c r="C638" s="818"/>
      <c r="D638" s="1936"/>
      <c r="E638" s="1936"/>
      <c r="F638" s="1936"/>
      <c r="G638" s="808"/>
    </row>
    <row r="639" spans="1:13">
      <c r="A639" s="818"/>
      <c r="B639" s="787" t="s">
        <v>2783</v>
      </c>
      <c r="C639" s="818"/>
      <c r="D639" s="1984" t="s">
        <v>1231</v>
      </c>
      <c r="E639" s="1984"/>
      <c r="F639" s="1984"/>
      <c r="G639" s="808"/>
      <c r="I639" s="1607" t="s">
        <v>2174</v>
      </c>
    </row>
    <row r="640" spans="1:13">
      <c r="A640" s="818"/>
      <c r="B640" s="818"/>
      <c r="C640" s="818"/>
      <c r="D640" s="716"/>
      <c r="E640" s="716"/>
      <c r="F640" s="716"/>
      <c r="G640" s="808"/>
    </row>
    <row r="641" spans="1:9">
      <c r="A641" s="1944" t="s">
        <v>1122</v>
      </c>
      <c r="B641" s="1944"/>
      <c r="C641" s="1944"/>
      <c r="D641" s="1944"/>
      <c r="E641" s="1944"/>
      <c r="F641" s="1944"/>
      <c r="G641" s="1944"/>
      <c r="H641" s="1681"/>
      <c r="I641" s="1682"/>
    </row>
    <row r="642" spans="1:9">
      <c r="A642" s="789"/>
      <c r="B642" s="789"/>
      <c r="C642" s="818"/>
      <c r="D642" s="830"/>
      <c r="E642" s="830"/>
      <c r="F642" s="830"/>
      <c r="G642" s="808"/>
    </row>
    <row r="643" spans="1:9">
      <c r="C643" s="829"/>
      <c r="D643" s="2044" t="s">
        <v>1281</v>
      </c>
      <c r="E643" s="2044"/>
      <c r="F643" s="2044"/>
      <c r="G643" s="808"/>
    </row>
    <row r="644" spans="1:9">
      <c r="A644" s="784"/>
      <c r="B644" s="784"/>
      <c r="C644" s="784"/>
      <c r="D644" s="2045" t="s">
        <v>1282</v>
      </c>
      <c r="E644" s="2045"/>
      <c r="F644" s="2045"/>
      <c r="G644" s="808"/>
    </row>
    <row r="645" spans="1:9">
      <c r="A645" s="784"/>
      <c r="B645" s="784"/>
      <c r="C645" s="784"/>
      <c r="D645" s="716"/>
      <c r="E645" s="716"/>
      <c r="F645" s="716"/>
      <c r="G645" s="808"/>
    </row>
    <row r="646" spans="1:9" ht="12.75" customHeight="1">
      <c r="B646" s="787" t="s">
        <v>2796</v>
      </c>
      <c r="C646" s="818"/>
      <c r="D646" s="2020" t="s">
        <v>1444</v>
      </c>
      <c r="E646" s="2020"/>
      <c r="F646" s="2020"/>
      <c r="I646" s="1607" t="s">
        <v>2226</v>
      </c>
    </row>
    <row r="647" spans="1:9">
      <c r="D647" s="2020"/>
      <c r="E647" s="2020"/>
      <c r="F647" s="2020"/>
    </row>
    <row r="648" spans="1:9">
      <c r="D648" s="2020"/>
      <c r="E648" s="2020"/>
      <c r="F648" s="2020"/>
    </row>
    <row r="649" spans="1:9">
      <c r="D649" s="2020"/>
      <c r="E649" s="2020"/>
      <c r="F649" s="2020"/>
    </row>
    <row r="650" spans="1:9" ht="14.45" customHeight="1">
      <c r="A650" s="786"/>
      <c r="B650" s="786"/>
      <c r="C650" s="818"/>
      <c r="D650" s="881"/>
      <c r="E650" s="881"/>
      <c r="F650" s="881"/>
      <c r="G650" s="808"/>
    </row>
    <row r="651" spans="1:9" ht="12.75" customHeight="1">
      <c r="A651" s="784"/>
      <c r="B651" s="787" t="s">
        <v>2796</v>
      </c>
      <c r="C651" s="818"/>
      <c r="D651" s="2020" t="s">
        <v>1446</v>
      </c>
      <c r="E651" s="2020"/>
      <c r="F651" s="2020"/>
      <c r="G651" s="808"/>
      <c r="I651" s="1607" t="s">
        <v>2226</v>
      </c>
    </row>
    <row r="652" spans="1:9" ht="14.25">
      <c r="A652" s="784"/>
      <c r="B652" s="786"/>
      <c r="C652" s="818"/>
      <c r="D652" s="2020"/>
      <c r="E652" s="2020"/>
      <c r="F652" s="2020"/>
      <c r="G652" s="808"/>
    </row>
    <row r="653" spans="1:9" ht="14.25">
      <c r="A653" s="784"/>
      <c r="B653" s="786"/>
      <c r="C653" s="818"/>
      <c r="D653" s="2020"/>
      <c r="E653" s="2020"/>
      <c r="F653" s="2020"/>
      <c r="G653" s="808"/>
    </row>
    <row r="654" spans="1:9" ht="14.25">
      <c r="A654" s="784"/>
      <c r="B654" s="786"/>
      <c r="C654" s="818"/>
      <c r="D654" s="2020"/>
      <c r="E654" s="2020"/>
      <c r="F654" s="2020"/>
      <c r="G654" s="808"/>
    </row>
    <row r="655" spans="1:9" ht="14.25">
      <c r="A655" s="784"/>
      <c r="B655" s="786"/>
      <c r="C655" s="818"/>
      <c r="D655" s="2020"/>
      <c r="E655" s="2020"/>
      <c r="F655" s="2020"/>
      <c r="G655" s="808"/>
    </row>
    <row r="656" spans="1:9" ht="14.25" customHeight="1">
      <c r="A656" s="784"/>
      <c r="B656" s="786"/>
      <c r="C656" s="818"/>
      <c r="F656" s="882"/>
      <c r="G656" s="808"/>
    </row>
    <row r="657" spans="1:11" ht="12.75" customHeight="1">
      <c r="A657" s="784"/>
      <c r="B657" s="787" t="s">
        <v>2783</v>
      </c>
      <c r="C657" s="818"/>
      <c r="D657" s="2020" t="s">
        <v>1445</v>
      </c>
      <c r="E657" s="2020"/>
      <c r="F657" s="2020"/>
      <c r="G657" s="808"/>
      <c r="I657" s="1607" t="s">
        <v>2226</v>
      </c>
    </row>
    <row r="658" spans="1:11" ht="14.25">
      <c r="A658" s="784"/>
      <c r="B658" s="786"/>
      <c r="C658" s="818"/>
      <c r="D658" s="2020"/>
      <c r="E658" s="2020"/>
      <c r="F658" s="2020"/>
      <c r="G658" s="808"/>
    </row>
    <row r="659" spans="1:11" ht="14.25">
      <c r="A659" s="786"/>
      <c r="B659" s="786"/>
      <c r="C659" s="818"/>
      <c r="D659" s="2020"/>
      <c r="E659" s="2020"/>
      <c r="F659" s="2020"/>
      <c r="G659" s="808"/>
    </row>
    <row r="660" spans="1:11" ht="14.25">
      <c r="A660" s="786"/>
      <c r="B660" s="786"/>
      <c r="C660" s="818"/>
      <c r="D660" s="2020"/>
      <c r="E660" s="2020"/>
      <c r="F660" s="2020"/>
      <c r="G660" s="808"/>
    </row>
    <row r="661" spans="1:11" ht="14.25">
      <c r="A661" s="786"/>
      <c r="B661" s="786"/>
      <c r="C661" s="818"/>
      <c r="D661" s="873"/>
      <c r="E661" s="873"/>
      <c r="F661" s="873"/>
      <c r="G661" s="808"/>
    </row>
    <row r="662" spans="1:11" ht="12.75" customHeight="1">
      <c r="A662" s="784"/>
      <c r="B662" s="787" t="s">
        <v>2783</v>
      </c>
      <c r="C662" s="818"/>
      <c r="D662" s="2020" t="s">
        <v>2456</v>
      </c>
      <c r="E662" s="2020"/>
      <c r="F662" s="2020"/>
      <c r="G662" s="808"/>
      <c r="I662" s="1607" t="s">
        <v>2226</v>
      </c>
    </row>
    <row r="663" spans="1:11" ht="12.75" customHeight="1">
      <c r="A663" s="784"/>
      <c r="B663" s="786"/>
      <c r="C663" s="818"/>
      <c r="D663" s="2020"/>
      <c r="E663" s="2020"/>
      <c r="F663" s="2020"/>
      <c r="G663" s="808"/>
    </row>
    <row r="664" spans="1:11" ht="12.75" customHeight="1">
      <c r="A664" s="784"/>
      <c r="B664" s="786"/>
      <c r="C664" s="818"/>
      <c r="D664" s="2020"/>
      <c r="E664" s="2020"/>
      <c r="F664" s="2020"/>
      <c r="G664" s="808"/>
    </row>
    <row r="665" spans="1:11" ht="12.75" customHeight="1">
      <c r="A665" s="784"/>
      <c r="B665" s="786"/>
      <c r="C665" s="818"/>
      <c r="D665" s="2020"/>
      <c r="E665" s="2020"/>
      <c r="F665" s="2020"/>
      <c r="G665" s="808"/>
    </row>
    <row r="666" spans="1:11" ht="12.75" customHeight="1">
      <c r="A666" s="784"/>
      <c r="B666" s="786"/>
      <c r="C666" s="818"/>
      <c r="D666" s="2020"/>
      <c r="E666" s="2020"/>
      <c r="F666" s="2020"/>
      <c r="G666" s="808"/>
    </row>
    <row r="667" spans="1:11" ht="12.75" customHeight="1">
      <c r="A667" s="784"/>
      <c r="B667" s="786"/>
      <c r="C667" s="818"/>
      <c r="D667" s="2020"/>
      <c r="E667" s="2020"/>
      <c r="F667" s="2020"/>
      <c r="G667" s="808"/>
    </row>
    <row r="668" spans="1:11" ht="12.75" customHeight="1">
      <c r="A668" s="784"/>
      <c r="B668" s="786"/>
      <c r="C668" s="818"/>
      <c r="D668" s="2020"/>
      <c r="E668" s="2020"/>
      <c r="F668" s="2020"/>
      <c r="G668" s="808"/>
    </row>
    <row r="669" spans="1:11" ht="12.75" customHeight="1">
      <c r="A669" s="784"/>
      <c r="B669" s="786"/>
      <c r="C669" s="818"/>
      <c r="D669" s="2020"/>
      <c r="E669" s="2020"/>
      <c r="F669" s="2020"/>
      <c r="G669" s="808"/>
    </row>
    <row r="670" spans="1:11" ht="12.75" customHeight="1">
      <c r="A670" s="784"/>
      <c r="B670" s="786"/>
      <c r="C670" s="818"/>
      <c r="D670" s="2020"/>
      <c r="E670" s="2020"/>
      <c r="F670" s="2020"/>
      <c r="G670" s="808"/>
    </row>
    <row r="671" spans="1:11">
      <c r="A671" s="818"/>
      <c r="B671" s="818"/>
      <c r="C671" s="818"/>
      <c r="D671" s="830"/>
      <c r="E671" s="830"/>
      <c r="F671" s="830"/>
      <c r="G671" s="808"/>
    </row>
    <row r="672" spans="1:11">
      <c r="A672" s="1944" t="s">
        <v>1123</v>
      </c>
      <c r="B672" s="1944"/>
      <c r="C672" s="1944"/>
      <c r="D672" s="1944"/>
      <c r="E672" s="1944"/>
      <c r="F672" s="1944"/>
      <c r="G672" s="1944"/>
      <c r="H672" s="1683"/>
      <c r="I672" s="1684"/>
      <c r="J672" s="831"/>
      <c r="K672" s="831"/>
    </row>
    <row r="673" spans="1:11">
      <c r="A673" s="724"/>
      <c r="B673" s="724"/>
      <c r="C673" s="724"/>
      <c r="D673" s="724"/>
      <c r="E673" s="724"/>
      <c r="F673" s="724"/>
      <c r="G673" s="724"/>
      <c r="H673" s="831"/>
      <c r="I673" s="1669"/>
      <c r="J673" s="831"/>
      <c r="K673" s="831"/>
    </row>
    <row r="674" spans="1:11">
      <c r="C674" s="829"/>
      <c r="D674" s="1934" t="s">
        <v>100</v>
      </c>
      <c r="E674" s="1934"/>
      <c r="F674" s="1934"/>
      <c r="G674" s="808"/>
      <c r="H674" s="831"/>
      <c r="I674" s="1669"/>
      <c r="J674" s="831"/>
      <c r="K674" s="831"/>
    </row>
    <row r="675" spans="1:11">
      <c r="A675" s="829"/>
      <c r="B675" s="829"/>
      <c r="C675" s="829"/>
      <c r="D675" s="1934" t="s">
        <v>124</v>
      </c>
      <c r="E675" s="1934"/>
      <c r="F675" s="1934"/>
      <c r="G675" s="808"/>
      <c r="H675" s="831"/>
      <c r="I675" s="1669"/>
      <c r="J675" s="831"/>
      <c r="K675" s="831"/>
    </row>
    <row r="676" spans="1:11">
      <c r="A676" s="784"/>
      <c r="B676" s="784"/>
      <c r="C676" s="784"/>
      <c r="D676" s="1984" t="s">
        <v>1159</v>
      </c>
      <c r="E676" s="1984"/>
      <c r="F676" s="1984"/>
      <c r="G676" s="808"/>
      <c r="H676" s="831"/>
      <c r="I676" s="1669"/>
      <c r="J676" s="831"/>
      <c r="K676" s="831"/>
    </row>
    <row r="677" spans="1:11">
      <c r="A677" s="784"/>
      <c r="B677" s="784"/>
      <c r="C677" s="784"/>
      <c r="G677" s="808"/>
      <c r="H677" s="831"/>
      <c r="I677" s="1669"/>
      <c r="J677" s="831"/>
      <c r="K677" s="831"/>
    </row>
    <row r="678" spans="1:11" ht="14.25">
      <c r="A678" s="786"/>
      <c r="B678" s="787" t="s">
        <v>2796</v>
      </c>
      <c r="C678" s="784"/>
      <c r="D678" s="1984" t="s">
        <v>915</v>
      </c>
      <c r="E678" s="1984"/>
      <c r="F678" s="1984"/>
      <c r="G678" s="808"/>
      <c r="H678" s="831"/>
      <c r="I678" s="1669" t="s">
        <v>2202</v>
      </c>
      <c r="J678" s="831"/>
      <c r="K678" s="831"/>
    </row>
    <row r="679" spans="1:11">
      <c r="A679" s="784"/>
      <c r="B679" s="784"/>
      <c r="C679" s="784"/>
      <c r="D679" s="1984" t="s">
        <v>926</v>
      </c>
      <c r="E679" s="1984"/>
      <c r="F679" s="1984"/>
      <c r="G679" s="808"/>
      <c r="H679" s="831"/>
      <c r="I679" s="1669"/>
      <c r="J679" s="831"/>
      <c r="K679" s="831"/>
    </row>
    <row r="680" spans="1:11" ht="12.75" customHeight="1">
      <c r="A680" s="784"/>
      <c r="B680" s="784"/>
      <c r="C680" s="784"/>
      <c r="D680" s="661"/>
      <c r="E680" s="1697" t="s">
        <v>2284</v>
      </c>
      <c r="F680" s="636"/>
      <c r="G680" s="808"/>
      <c r="H680" s="831"/>
      <c r="I680" s="1669"/>
      <c r="J680" s="831"/>
      <c r="K680" s="831"/>
    </row>
    <row r="681" spans="1:11">
      <c r="A681" s="784"/>
      <c r="B681" s="784"/>
      <c r="C681" s="784"/>
      <c r="D681" s="661"/>
      <c r="E681" s="831" t="s">
        <v>2283</v>
      </c>
      <c r="F681" s="636"/>
      <c r="G681" s="808"/>
      <c r="I681" s="1669"/>
      <c r="J681" s="831"/>
      <c r="K681" s="831"/>
    </row>
    <row r="682" spans="1:11">
      <c r="A682" s="784"/>
      <c r="B682" s="784"/>
      <c r="C682" s="784"/>
      <c r="D682" s="832"/>
      <c r="E682" s="789"/>
      <c r="G682" s="808"/>
      <c r="H682" s="831"/>
      <c r="I682" s="1669"/>
      <c r="J682" s="831"/>
      <c r="K682" s="831"/>
    </row>
    <row r="683" spans="1:11" ht="14.25">
      <c r="A683" s="786"/>
      <c r="B683" s="787" t="s">
        <v>2796</v>
      </c>
      <c r="C683" s="784"/>
      <c r="D683" s="1979" t="s">
        <v>2457</v>
      </c>
      <c r="E683" s="1979"/>
      <c r="F683" s="1979"/>
      <c r="G683" s="808"/>
      <c r="H683" s="831"/>
      <c r="I683" s="1669" t="s">
        <v>2224</v>
      </c>
      <c r="J683" s="831"/>
      <c r="K683" s="831"/>
    </row>
    <row r="684" spans="1:11">
      <c r="A684" s="805"/>
      <c r="B684" s="805"/>
      <c r="C684" s="784"/>
      <c r="D684" s="1979"/>
      <c r="E684" s="1979"/>
      <c r="F684" s="1979"/>
      <c r="G684" s="808"/>
      <c r="H684" s="831"/>
      <c r="I684" s="1669"/>
      <c r="J684" s="831"/>
      <c r="K684" s="831"/>
    </row>
    <row r="685" spans="1:11">
      <c r="A685" s="784"/>
      <c r="B685" s="784"/>
      <c r="C685" s="784"/>
      <c r="D685" s="1979"/>
      <c r="E685" s="1979"/>
      <c r="F685" s="1979"/>
      <c r="G685" s="808"/>
      <c r="H685" s="831"/>
      <c r="I685" s="1669"/>
      <c r="J685" s="831"/>
      <c r="K685" s="831"/>
    </row>
    <row r="686" spans="1:11">
      <c r="A686" s="784"/>
      <c r="B686" s="784"/>
      <c r="C686" s="784"/>
      <c r="G686" s="808"/>
      <c r="H686" s="831"/>
      <c r="I686" s="1669" t="s">
        <v>2203</v>
      </c>
      <c r="J686" s="831"/>
      <c r="K686" s="831"/>
    </row>
    <row r="687" spans="1:11" ht="14.25">
      <c r="A687" s="786"/>
      <c r="B687" s="787" t="s">
        <v>2796</v>
      </c>
      <c r="C687" s="784"/>
      <c r="D687" s="1984" t="s">
        <v>954</v>
      </c>
      <c r="E687" s="1984"/>
      <c r="F687" s="1984"/>
      <c r="G687" s="808"/>
      <c r="H687" s="831"/>
      <c r="I687" s="1669"/>
      <c r="J687" s="831"/>
      <c r="K687" s="831"/>
    </row>
    <row r="688" spans="1:11" ht="14.25">
      <c r="A688" s="786"/>
      <c r="B688" s="786"/>
      <c r="C688" s="784"/>
      <c r="D688" s="1984" t="s">
        <v>926</v>
      </c>
      <c r="E688" s="1984"/>
      <c r="F688" s="1984"/>
      <c r="G688" s="808"/>
      <c r="H688" s="831"/>
      <c r="I688" s="1669"/>
      <c r="J688" s="831"/>
      <c r="K688" s="831"/>
    </row>
    <row r="689" spans="1:11">
      <c r="A689" s="784"/>
      <c r="B689" s="784"/>
      <c r="C689" s="784"/>
      <c r="D689" s="661"/>
      <c r="E689" s="1697" t="s">
        <v>2285</v>
      </c>
      <c r="F689" s="1699"/>
      <c r="G689" s="808"/>
      <c r="H689" s="831"/>
      <c r="I689" s="1669"/>
      <c r="J689" s="831"/>
      <c r="K689" s="831"/>
    </row>
    <row r="690" spans="1:11">
      <c r="A690" s="784"/>
      <c r="B690" s="784"/>
      <c r="C690" s="784"/>
      <c r="D690" s="783"/>
      <c r="G690" s="808"/>
      <c r="H690" s="831"/>
      <c r="I690" s="1669"/>
      <c r="J690" s="831"/>
      <c r="K690" s="831"/>
    </row>
    <row r="691" spans="1:11" ht="14.25">
      <c r="A691" s="786"/>
      <c r="B691" s="787" t="s">
        <v>2796</v>
      </c>
      <c r="C691" s="784"/>
      <c r="D691" s="2023" t="s">
        <v>1172</v>
      </c>
      <c r="E691" s="2023"/>
      <c r="F691" s="2023"/>
      <c r="G691" s="808"/>
      <c r="H691" s="831"/>
      <c r="I691" s="1669" t="s">
        <v>2175</v>
      </c>
      <c r="J691" s="831"/>
      <c r="K691" s="831"/>
    </row>
    <row r="692" spans="1:11">
      <c r="A692" s="784"/>
      <c r="B692" s="784"/>
      <c r="C692" s="784"/>
      <c r="D692" s="2023"/>
      <c r="E692" s="2023"/>
      <c r="F692" s="2023"/>
      <c r="G692" s="808"/>
      <c r="H692" s="831"/>
      <c r="I692" s="1669"/>
      <c r="J692" s="831"/>
      <c r="K692" s="831"/>
    </row>
    <row r="693" spans="1:11">
      <c r="A693" s="784"/>
      <c r="B693" s="784"/>
      <c r="C693" s="784"/>
      <c r="D693" s="2023"/>
      <c r="E693" s="2023"/>
      <c r="F693" s="2023"/>
      <c r="G693" s="808"/>
      <c r="H693" s="831"/>
      <c r="I693" s="1669"/>
      <c r="J693" s="831"/>
      <c r="K693" s="831"/>
    </row>
    <row r="694" spans="1:11">
      <c r="A694" s="784"/>
      <c r="B694" s="784"/>
      <c r="C694" s="784"/>
      <c r="D694" s="2023"/>
      <c r="E694" s="2023"/>
      <c r="F694" s="2023"/>
      <c r="G694" s="808"/>
      <c r="H694" s="831"/>
      <c r="I694" s="1669"/>
      <c r="J694" s="831"/>
      <c r="K694" s="831"/>
    </row>
    <row r="695" spans="1:11">
      <c r="A695" s="784"/>
      <c r="B695" s="784"/>
      <c r="C695" s="784"/>
      <c r="D695" s="2023"/>
      <c r="E695" s="2023"/>
      <c r="F695" s="2023"/>
      <c r="G695" s="808"/>
      <c r="H695" s="831"/>
      <c r="I695" s="1669"/>
      <c r="J695" s="831"/>
      <c r="K695" s="831"/>
    </row>
    <row r="696" spans="1:11" s="780" customFormat="1">
      <c r="A696" s="823"/>
      <c r="B696" s="823"/>
      <c r="C696" s="823"/>
      <c r="D696" s="2023"/>
      <c r="E696" s="2023"/>
      <c r="F696" s="2023"/>
      <c r="G696" s="833"/>
      <c r="H696" s="834"/>
      <c r="I696" s="1670"/>
      <c r="J696" s="834"/>
      <c r="K696" s="834"/>
    </row>
    <row r="697" spans="1:11" s="780" customFormat="1">
      <c r="A697" s="823"/>
      <c r="B697" s="823"/>
      <c r="C697" s="823"/>
      <c r="D697" s="835"/>
      <c r="E697" s="835"/>
      <c r="F697" s="835"/>
      <c r="G697" s="833"/>
      <c r="H697" s="834"/>
      <c r="I697" s="1670"/>
      <c r="J697" s="834"/>
      <c r="K697" s="834"/>
    </row>
    <row r="698" spans="1:11" s="780" customFormat="1">
      <c r="A698" s="823"/>
      <c r="B698" s="787" t="s">
        <v>2796</v>
      </c>
      <c r="C698" s="823"/>
      <c r="D698" s="2023" t="s">
        <v>1343</v>
      </c>
      <c r="E698" s="2023"/>
      <c r="F698" s="2023"/>
      <c r="G698" s="833"/>
      <c r="H698" s="834"/>
      <c r="I698" s="1670" t="s">
        <v>2175</v>
      </c>
      <c r="J698" s="834"/>
      <c r="K698" s="834"/>
    </row>
    <row r="699" spans="1:11" s="780" customFormat="1">
      <c r="A699" s="823"/>
      <c r="B699" s="823"/>
      <c r="C699" s="823"/>
      <c r="D699" s="2023"/>
      <c r="E699" s="2023"/>
      <c r="F699" s="2023"/>
      <c r="G699" s="833"/>
      <c r="H699" s="834"/>
      <c r="I699" s="1670"/>
      <c r="J699" s="834"/>
      <c r="K699" s="834"/>
    </row>
    <row r="700" spans="1:11" s="780" customFormat="1">
      <c r="A700" s="823"/>
      <c r="B700" s="823"/>
      <c r="C700" s="823"/>
      <c r="D700" s="835"/>
      <c r="E700" s="835"/>
      <c r="F700" s="835"/>
      <c r="G700" s="833"/>
      <c r="H700" s="834"/>
      <c r="I700" s="1670"/>
      <c r="J700" s="834"/>
      <c r="K700" s="834"/>
    </row>
    <row r="701" spans="1:11" ht="14.25">
      <c r="A701" s="786"/>
      <c r="B701" s="787" t="s">
        <v>2783</v>
      </c>
      <c r="C701" s="784"/>
      <c r="D701" s="2023" t="s">
        <v>1163</v>
      </c>
      <c r="E701" s="2023"/>
      <c r="F701" s="2023"/>
      <c r="G701" s="808"/>
      <c r="H701" s="831"/>
      <c r="I701" s="1669" t="s">
        <v>2175</v>
      </c>
      <c r="J701" s="831"/>
      <c r="K701" s="831"/>
    </row>
    <row r="702" spans="1:11">
      <c r="A702" s="784"/>
      <c r="B702" s="784"/>
      <c r="C702" s="784"/>
      <c r="D702" s="2023"/>
      <c r="E702" s="2023"/>
      <c r="F702" s="2023"/>
      <c r="G702" s="808"/>
      <c r="H702" s="831"/>
      <c r="I702" s="1669"/>
      <c r="J702" s="831"/>
      <c r="K702" s="831"/>
    </row>
    <row r="703" spans="1:11">
      <c r="A703" s="784"/>
      <c r="B703" s="784"/>
      <c r="C703" s="784"/>
      <c r="D703" s="2023"/>
      <c r="E703" s="2023"/>
      <c r="F703" s="2023"/>
      <c r="G703" s="808"/>
      <c r="H703" s="831"/>
      <c r="I703" s="1669"/>
      <c r="J703" s="831"/>
      <c r="K703" s="831"/>
    </row>
    <row r="704" spans="1:11" ht="15" customHeight="1">
      <c r="A704" s="784"/>
      <c r="B704" s="784"/>
      <c r="C704" s="784"/>
      <c r="D704" s="2023"/>
      <c r="E704" s="2023"/>
      <c r="F704" s="2023"/>
      <c r="G704" s="808"/>
      <c r="H704" s="831"/>
      <c r="I704" s="1669"/>
      <c r="J704" s="831"/>
      <c r="K704" s="831"/>
    </row>
    <row r="705" spans="1:11" ht="15" customHeight="1">
      <c r="A705" s="784"/>
      <c r="B705" s="784"/>
      <c r="C705" s="784"/>
      <c r="D705" s="2023"/>
      <c r="E705" s="2023"/>
      <c r="F705" s="2023"/>
      <c r="G705" s="808"/>
      <c r="H705" s="831"/>
      <c r="I705" s="1669"/>
      <c r="J705" s="831"/>
      <c r="K705" s="831"/>
    </row>
    <row r="706" spans="1:11">
      <c r="A706" s="784"/>
      <c r="B706" s="784"/>
      <c r="C706" s="784"/>
      <c r="D706" s="2023"/>
      <c r="E706" s="2023"/>
      <c r="F706" s="2023"/>
      <c r="G706" s="808"/>
      <c r="H706" s="831"/>
      <c r="I706" s="1669"/>
      <c r="J706" s="831"/>
      <c r="K706" s="831"/>
    </row>
    <row r="707" spans="1:11">
      <c r="A707" s="784"/>
      <c r="B707" s="784"/>
      <c r="C707" s="784"/>
      <c r="D707" s="2023"/>
      <c r="E707" s="2023"/>
      <c r="F707" s="2023"/>
      <c r="G707" s="808"/>
      <c r="H707" s="831"/>
      <c r="I707" s="1669"/>
      <c r="J707" s="831"/>
      <c r="K707" s="831"/>
    </row>
    <row r="708" spans="1:11">
      <c r="A708" s="784"/>
      <c r="B708" s="784"/>
      <c r="C708" s="784"/>
      <c r="D708" s="2023"/>
      <c r="E708" s="2023"/>
      <c r="F708" s="2023"/>
      <c r="G708" s="808"/>
      <c r="H708" s="831"/>
      <c r="I708" s="1669"/>
      <c r="J708" s="831"/>
      <c r="K708" s="831"/>
    </row>
    <row r="709" spans="1:11" ht="15" customHeight="1">
      <c r="A709" s="784"/>
      <c r="B709" s="784"/>
      <c r="C709" s="784"/>
      <c r="D709" s="2023"/>
      <c r="E709" s="2023"/>
      <c r="F709" s="2023"/>
      <c r="G709" s="808"/>
      <c r="H709" s="831"/>
      <c r="I709" s="1669"/>
      <c r="J709" s="831"/>
      <c r="K709" s="831"/>
    </row>
    <row r="710" spans="1:11">
      <c r="A710" s="784"/>
      <c r="B710" s="784"/>
      <c r="C710" s="784"/>
      <c r="D710" s="2023"/>
      <c r="E710" s="2023"/>
      <c r="F710" s="2023"/>
      <c r="G710" s="808"/>
      <c r="H710" s="831"/>
      <c r="I710" s="1669"/>
      <c r="J710" s="831"/>
      <c r="K710" s="831"/>
    </row>
    <row r="711" spans="1:11">
      <c r="A711" s="784"/>
      <c r="B711" s="784"/>
      <c r="C711" s="784"/>
      <c r="D711" s="2023"/>
      <c r="E711" s="2023"/>
      <c r="F711" s="2023"/>
      <c r="G711" s="808"/>
      <c r="H711" s="831"/>
      <c r="I711" s="1669"/>
      <c r="J711" s="831"/>
      <c r="K711" s="831"/>
    </row>
    <row r="712" spans="1:11">
      <c r="A712" s="784"/>
      <c r="B712" s="784"/>
      <c r="C712" s="784"/>
      <c r="D712" s="2023"/>
      <c r="E712" s="2023"/>
      <c r="F712" s="2023"/>
      <c r="G712" s="808"/>
      <c r="H712" s="831"/>
      <c r="I712" s="1669"/>
      <c r="J712" s="831"/>
      <c r="K712" s="831"/>
    </row>
    <row r="713" spans="1:11">
      <c r="A713" s="784"/>
      <c r="B713" s="784"/>
      <c r="C713" s="784"/>
      <c r="D713" s="2023"/>
      <c r="E713" s="2023"/>
      <c r="F713" s="2023"/>
      <c r="G713" s="808"/>
      <c r="H713" s="831"/>
      <c r="I713" s="1669"/>
      <c r="J713" s="831"/>
      <c r="K713" s="831"/>
    </row>
    <row r="714" spans="1:11">
      <c r="A714" s="784"/>
      <c r="B714" s="787" t="s">
        <v>2783</v>
      </c>
      <c r="C714" s="784"/>
      <c r="D714" s="2023" t="s">
        <v>1170</v>
      </c>
      <c r="E714" s="2023"/>
      <c r="F714" s="2023"/>
      <c r="G714" s="808"/>
      <c r="H714" s="831"/>
      <c r="I714" s="1669" t="s">
        <v>2225</v>
      </c>
      <c r="J714" s="831"/>
      <c r="K714" s="831"/>
    </row>
    <row r="715" spans="1:11">
      <c r="A715" s="784"/>
      <c r="B715" s="784"/>
      <c r="C715" s="784"/>
      <c r="D715" s="2023"/>
      <c r="E715" s="2023"/>
      <c r="F715" s="2023"/>
      <c r="G715" s="808"/>
      <c r="H715" s="831"/>
      <c r="I715" s="1669"/>
      <c r="J715" s="831"/>
      <c r="K715" s="831"/>
    </row>
    <row r="716" spans="1:11">
      <c r="A716" s="784"/>
      <c r="B716" s="784"/>
      <c r="C716" s="784"/>
      <c r="D716" s="835"/>
      <c r="E716" s="835"/>
      <c r="F716" s="835"/>
      <c r="G716" s="808"/>
      <c r="H716" s="831"/>
      <c r="I716" s="1669"/>
      <c r="J716" s="831"/>
      <c r="K716" s="831"/>
    </row>
    <row r="717" spans="1:11">
      <c r="A717" s="784"/>
      <c r="B717" s="787" t="s">
        <v>2783</v>
      </c>
      <c r="C717" s="784"/>
      <c r="D717" s="2023" t="s">
        <v>1164</v>
      </c>
      <c r="E717" s="2023"/>
      <c r="F717" s="2023"/>
      <c r="G717" s="808"/>
      <c r="H717" s="831"/>
      <c r="I717" s="1669" t="s">
        <v>2225</v>
      </c>
      <c r="J717" s="831"/>
      <c r="K717" s="831"/>
    </row>
    <row r="718" spans="1:11">
      <c r="A718" s="784"/>
      <c r="B718" s="784"/>
      <c r="C718" s="784"/>
      <c r="D718" s="2023"/>
      <c r="E718" s="2023"/>
      <c r="F718" s="2023"/>
      <c r="G718" s="808"/>
      <c r="H718" s="831"/>
      <c r="I718" s="1669"/>
      <c r="J718" s="831"/>
      <c r="K718" s="831"/>
    </row>
    <row r="719" spans="1:11">
      <c r="A719" s="784"/>
      <c r="B719" s="784"/>
      <c r="C719" s="784"/>
      <c r="D719" s="2023"/>
      <c r="E719" s="2023"/>
      <c r="F719" s="2023"/>
      <c r="G719" s="808"/>
      <c r="H719" s="831"/>
      <c r="I719" s="1669"/>
      <c r="J719" s="831"/>
      <c r="K719" s="831"/>
    </row>
    <row r="720" spans="1:11">
      <c r="A720" s="784"/>
      <c r="B720" s="784"/>
      <c r="C720" s="784"/>
      <c r="D720" s="791"/>
      <c r="G720" s="808"/>
      <c r="H720" s="831"/>
      <c r="I720" s="1669"/>
      <c r="J720" s="831"/>
      <c r="K720" s="831"/>
    </row>
    <row r="721" spans="1:11">
      <c r="A721" s="784"/>
      <c r="B721" s="787" t="s">
        <v>2783</v>
      </c>
      <c r="C721" s="784"/>
      <c r="D721" s="2023" t="s">
        <v>1165</v>
      </c>
      <c r="E721" s="2023"/>
      <c r="F721" s="2023"/>
      <c r="G721" s="808"/>
      <c r="H721" s="831"/>
      <c r="I721" s="1669" t="s">
        <v>2225</v>
      </c>
      <c r="J721" s="831"/>
      <c r="K721" s="831"/>
    </row>
    <row r="722" spans="1:11">
      <c r="A722" s="784"/>
      <c r="B722" s="784"/>
      <c r="C722" s="784"/>
      <c r="D722" s="2023"/>
      <c r="E722" s="2023"/>
      <c r="F722" s="2023"/>
      <c r="G722" s="808"/>
      <c r="H722" s="831"/>
      <c r="I722" s="1669"/>
      <c r="J722" s="831"/>
      <c r="K722" s="831"/>
    </row>
    <row r="723" spans="1:11">
      <c r="A723" s="784"/>
      <c r="B723" s="784"/>
      <c r="C723" s="784"/>
      <c r="D723" s="2023"/>
      <c r="E723" s="2023"/>
      <c r="F723" s="2023"/>
      <c r="G723" s="808"/>
      <c r="H723" s="831"/>
      <c r="I723" s="1669"/>
      <c r="J723" s="831"/>
      <c r="K723" s="831"/>
    </row>
    <row r="724" spans="1:11">
      <c r="A724" s="784"/>
      <c r="B724" s="784"/>
      <c r="C724" s="784"/>
      <c r="D724" s="779"/>
      <c r="G724" s="808"/>
      <c r="H724" s="831"/>
      <c r="I724" s="1669"/>
      <c r="J724" s="831"/>
      <c r="K724" s="831"/>
    </row>
    <row r="725" spans="1:11" ht="14.25">
      <c r="A725" s="786"/>
      <c r="B725" s="787" t="s">
        <v>2783</v>
      </c>
      <c r="C725" s="784"/>
      <c r="D725" s="1979" t="s">
        <v>1166</v>
      </c>
      <c r="E725" s="1979"/>
      <c r="F725" s="1979"/>
      <c r="G725" s="808"/>
      <c r="H725" s="831"/>
      <c r="I725" s="1669" t="s">
        <v>2176</v>
      </c>
      <c r="J725" s="831"/>
      <c r="K725" s="831"/>
    </row>
    <row r="726" spans="1:11">
      <c r="A726" s="784"/>
      <c r="B726" s="784"/>
      <c r="C726" s="784"/>
      <c r="D726" s="1979"/>
      <c r="E726" s="1979"/>
      <c r="F726" s="1979"/>
      <c r="G726" s="808"/>
      <c r="H726" s="831"/>
      <c r="I726" s="1669"/>
      <c r="J726" s="831"/>
      <c r="K726" s="831"/>
    </row>
    <row r="727" spans="1:11">
      <c r="A727" s="784"/>
      <c r="B727" s="784"/>
      <c r="C727" s="784"/>
      <c r="D727" s="1979"/>
      <c r="E727" s="1979"/>
      <c r="F727" s="1979"/>
      <c r="G727" s="808"/>
      <c r="H727" s="831"/>
      <c r="I727" s="1669"/>
      <c r="J727" s="831"/>
      <c r="K727" s="831"/>
    </row>
    <row r="728" spans="1:11">
      <c r="A728" s="784"/>
      <c r="B728" s="784"/>
      <c r="C728" s="784"/>
      <c r="D728" s="1979"/>
      <c r="E728" s="1979"/>
      <c r="F728" s="1979"/>
      <c r="G728" s="808"/>
      <c r="H728" s="831"/>
      <c r="I728" s="1669"/>
      <c r="J728" s="831"/>
      <c r="K728" s="831"/>
    </row>
    <row r="729" spans="1:11">
      <c r="A729" s="784"/>
      <c r="B729" s="784"/>
      <c r="C729" s="784"/>
      <c r="D729" s="811"/>
      <c r="G729" s="808"/>
      <c r="H729" s="831"/>
      <c r="I729" s="1669"/>
      <c r="J729" s="831"/>
      <c r="K729" s="831"/>
    </row>
    <row r="730" spans="1:11" ht="14.25">
      <c r="A730" s="786"/>
      <c r="B730" s="787" t="s">
        <v>2796</v>
      </c>
      <c r="C730" s="784"/>
      <c r="D730" s="2023" t="s">
        <v>2458</v>
      </c>
      <c r="E730" s="2023"/>
      <c r="F730" s="2023"/>
      <c r="G730" s="808"/>
      <c r="H730" s="831"/>
      <c r="I730" s="1669" t="s">
        <v>2192</v>
      </c>
      <c r="J730" s="831"/>
      <c r="K730" s="831"/>
    </row>
    <row r="731" spans="1:11">
      <c r="A731" s="784"/>
      <c r="B731" s="784"/>
      <c r="C731" s="784"/>
      <c r="D731" s="2023"/>
      <c r="E731" s="2023"/>
      <c r="F731" s="2023"/>
      <c r="G731" s="808"/>
      <c r="H731" s="831"/>
      <c r="I731" s="1669"/>
      <c r="J731" s="831"/>
      <c r="K731" s="831"/>
    </row>
    <row r="732" spans="1:11">
      <c r="A732" s="784"/>
      <c r="B732" s="784"/>
      <c r="C732" s="784"/>
      <c r="D732" s="2023"/>
      <c r="E732" s="2023"/>
      <c r="F732" s="2023"/>
      <c r="G732" s="808"/>
      <c r="H732" s="831"/>
      <c r="I732" s="1669"/>
      <c r="J732" s="831"/>
      <c r="K732" s="831"/>
    </row>
    <row r="733" spans="1:11">
      <c r="A733" s="784"/>
      <c r="B733" s="784"/>
      <c r="C733" s="784"/>
      <c r="D733" s="2023"/>
      <c r="E733" s="2023"/>
      <c r="F733" s="2023"/>
      <c r="G733" s="808"/>
      <c r="H733" s="831"/>
      <c r="I733" s="1669"/>
      <c r="J733" s="831"/>
      <c r="K733" s="831"/>
    </row>
    <row r="734" spans="1:11">
      <c r="A734" s="784"/>
      <c r="B734" s="784"/>
      <c r="C734" s="784"/>
      <c r="D734" s="2023"/>
      <c r="E734" s="2023"/>
      <c r="F734" s="2023"/>
      <c r="G734" s="808"/>
      <c r="H734" s="831"/>
      <c r="I734" s="1669"/>
      <c r="J734" s="831"/>
      <c r="K734" s="831"/>
    </row>
    <row r="735" spans="1:11">
      <c r="A735" s="784"/>
      <c r="B735" s="784"/>
      <c r="C735" s="784"/>
      <c r="D735" s="2023"/>
      <c r="E735" s="2023"/>
      <c r="F735" s="2023"/>
      <c r="G735" s="808"/>
      <c r="H735" s="831"/>
      <c r="I735" s="1669"/>
      <c r="J735" s="831"/>
      <c r="K735" s="831"/>
    </row>
    <row r="736" spans="1:11">
      <c r="A736" s="784"/>
      <c r="B736" s="784"/>
      <c r="C736" s="784"/>
      <c r="D736" s="2023"/>
      <c r="E736" s="2023"/>
      <c r="F736" s="2023"/>
      <c r="G736" s="808"/>
      <c r="H736" s="831"/>
      <c r="I736" s="1669"/>
      <c r="J736" s="831"/>
      <c r="K736" s="831"/>
    </row>
    <row r="737" spans="1:11">
      <c r="A737" s="784"/>
      <c r="B737" s="784"/>
      <c r="C737" s="784"/>
      <c r="D737" s="1952" t="s">
        <v>2467</v>
      </c>
      <c r="E737" s="1952"/>
      <c r="F737" s="1952"/>
      <c r="G737" s="808"/>
      <c r="H737" s="831"/>
      <c r="I737" s="1669"/>
      <c r="J737" s="831"/>
      <c r="K737" s="831"/>
    </row>
    <row r="738" spans="1:11">
      <c r="A738" s="784"/>
      <c r="B738" s="784"/>
      <c r="C738" s="784"/>
      <c r="D738" s="771"/>
      <c r="G738" s="808"/>
      <c r="H738" s="831"/>
      <c r="I738" s="1669"/>
      <c r="J738" s="831"/>
      <c r="K738" s="831"/>
    </row>
    <row r="739" spans="1:11">
      <c r="A739" s="1945" t="s">
        <v>1124</v>
      </c>
      <c r="B739" s="1945"/>
      <c r="C739" s="1945"/>
      <c r="D739" s="1945"/>
      <c r="E739" s="1945"/>
      <c r="F739" s="1945"/>
      <c r="G739" s="1945"/>
      <c r="H739" s="1683"/>
      <c r="I739" s="1684"/>
      <c r="J739" s="831"/>
      <c r="K739" s="831"/>
    </row>
    <row r="740" spans="1:11">
      <c r="A740" s="784"/>
      <c r="B740" s="784"/>
      <c r="C740" s="784"/>
      <c r="D740" s="811"/>
      <c r="G740" s="836"/>
      <c r="H740" s="831"/>
      <c r="I740" s="1669"/>
      <c r="J740" s="831"/>
      <c r="K740" s="831"/>
    </row>
    <row r="741" spans="1:11" ht="13.7" customHeight="1">
      <c r="C741" s="784"/>
      <c r="D741" s="2016" t="s">
        <v>1140</v>
      </c>
      <c r="E741" s="2016"/>
      <c r="F741" s="2016"/>
      <c r="G741" s="836"/>
      <c r="H741" s="831"/>
      <c r="I741" s="1669"/>
      <c r="J741" s="831"/>
      <c r="K741" s="831"/>
    </row>
    <row r="742" spans="1:11">
      <c r="A742" s="784"/>
      <c r="B742" s="784"/>
      <c r="C742" s="784"/>
      <c r="D742" s="1958" t="s">
        <v>1141</v>
      </c>
      <c r="E742" s="1958"/>
      <c r="F742" s="1958"/>
      <c r="G742" s="836"/>
      <c r="H742" s="831"/>
      <c r="I742" s="1669"/>
      <c r="J742" s="831"/>
      <c r="K742" s="831"/>
    </row>
    <row r="743" spans="1:11">
      <c r="A743" s="784"/>
      <c r="B743" s="784"/>
      <c r="C743" s="784"/>
      <c r="G743" s="836"/>
      <c r="H743" s="831"/>
      <c r="I743" s="1669"/>
      <c r="J743" s="831"/>
      <c r="K743" s="831"/>
    </row>
    <row r="744" spans="1:11" s="780" customFormat="1" ht="14.25">
      <c r="A744" s="786"/>
      <c r="B744" s="787" t="s">
        <v>2796</v>
      </c>
      <c r="C744" s="777"/>
      <c r="D744" s="1979" t="s">
        <v>1142</v>
      </c>
      <c r="E744" s="1979"/>
      <c r="F744" s="1979"/>
      <c r="G744" s="836"/>
      <c r="H744" s="834"/>
      <c r="I744" s="1670" t="s">
        <v>2177</v>
      </c>
      <c r="J744" s="834"/>
      <c r="K744" s="834"/>
    </row>
    <row r="745" spans="1:11" s="780" customFormat="1" ht="10.5" customHeight="1">
      <c r="A745" s="777"/>
      <c r="B745" s="777"/>
      <c r="C745" s="777"/>
      <c r="D745" s="1979"/>
      <c r="E745" s="1979"/>
      <c r="F745" s="1979"/>
      <c r="G745" s="836"/>
      <c r="H745" s="834"/>
      <c r="I745" s="1670"/>
      <c r="J745" s="834"/>
      <c r="K745" s="834"/>
    </row>
    <row r="746" spans="1:11" s="780" customFormat="1">
      <c r="A746" s="777"/>
      <c r="B746" s="777"/>
      <c r="C746" s="777"/>
      <c r="D746" s="1979"/>
      <c r="E746" s="1979"/>
      <c r="F746" s="1979"/>
      <c r="G746" s="836"/>
      <c r="H746" s="834"/>
      <c r="I746" s="1670"/>
      <c r="J746" s="834"/>
      <c r="K746" s="834"/>
    </row>
    <row r="747" spans="1:11">
      <c r="D747" s="1979"/>
      <c r="E747" s="1979"/>
      <c r="F747" s="1979"/>
      <c r="G747" s="836"/>
      <c r="H747" s="831"/>
      <c r="I747" s="1669"/>
      <c r="J747" s="831"/>
      <c r="K747" s="831"/>
    </row>
    <row r="748" spans="1:11">
      <c r="A748" s="790"/>
      <c r="B748" s="790"/>
      <c r="C748" s="790"/>
      <c r="D748" s="1979"/>
      <c r="E748" s="1979"/>
      <c r="F748" s="1979"/>
      <c r="G748" s="837"/>
      <c r="H748" s="831"/>
      <c r="I748" s="1669"/>
      <c r="J748" s="831"/>
      <c r="K748" s="831"/>
    </row>
    <row r="749" spans="1:11" ht="15.6" customHeight="1">
      <c r="A749" s="790"/>
      <c r="B749" s="790"/>
      <c r="C749" s="790"/>
      <c r="D749" s="1979"/>
      <c r="E749" s="1979"/>
      <c r="F749" s="1979"/>
      <c r="G749" s="837"/>
      <c r="H749" s="831"/>
      <c r="I749" s="1669"/>
      <c r="J749" s="831"/>
      <c r="K749" s="831"/>
    </row>
    <row r="750" spans="1:11">
      <c r="A750" s="790"/>
      <c r="B750" s="790"/>
      <c r="C750" s="790"/>
      <c r="D750" s="826"/>
      <c r="E750" s="838"/>
      <c r="F750" s="838"/>
      <c r="G750" s="837"/>
      <c r="H750" s="831"/>
      <c r="I750" s="1669"/>
      <c r="J750" s="831"/>
      <c r="K750" s="831"/>
    </row>
    <row r="751" spans="1:11" s="842" customFormat="1" ht="14.25">
      <c r="A751" s="839"/>
      <c r="B751" s="787" t="s">
        <v>2796</v>
      </c>
      <c r="C751" s="840"/>
      <c r="D751" s="1936" t="s">
        <v>1388</v>
      </c>
      <c r="E751" s="1936"/>
      <c r="F751" s="1936"/>
      <c r="G751" s="841"/>
      <c r="I751" s="1671" t="s">
        <v>2177</v>
      </c>
    </row>
    <row r="752" spans="1:11" s="842" customFormat="1">
      <c r="A752" s="840"/>
      <c r="B752" s="840"/>
      <c r="C752" s="840"/>
      <c r="D752" s="1936"/>
      <c r="E752" s="1936"/>
      <c r="F752" s="1936"/>
      <c r="G752" s="841"/>
      <c r="I752" s="1671"/>
    </row>
    <row r="753" spans="1:11" s="842" customFormat="1">
      <c r="A753" s="840"/>
      <c r="B753" s="840"/>
      <c r="C753" s="840"/>
      <c r="D753" s="1936"/>
      <c r="E753" s="1936"/>
      <c r="F753" s="1936"/>
      <c r="G753" s="841"/>
      <c r="I753" s="1671"/>
    </row>
    <row r="754" spans="1:11" s="842" customFormat="1">
      <c r="A754" s="840"/>
      <c r="B754" s="840"/>
      <c r="C754" s="840"/>
      <c r="D754" s="1936"/>
      <c r="E754" s="1936"/>
      <c r="F754" s="1936"/>
      <c r="G754" s="841"/>
      <c r="I754" s="1671"/>
    </row>
    <row r="755" spans="1:11" s="842" customFormat="1">
      <c r="A755" s="840"/>
      <c r="B755" s="840"/>
      <c r="C755" s="840"/>
      <c r="D755" s="826"/>
      <c r="E755" s="841"/>
      <c r="F755" s="841"/>
      <c r="G755" s="841"/>
      <c r="I755" s="1671"/>
    </row>
    <row r="756" spans="1:11" s="842" customFormat="1" ht="14.25">
      <c r="A756" s="786"/>
      <c r="B756" s="787" t="s">
        <v>2783</v>
      </c>
      <c r="C756" s="840"/>
      <c r="D756" s="2029" t="s">
        <v>1389</v>
      </c>
      <c r="E756" s="2029"/>
      <c r="F756" s="2029"/>
      <c r="G756" s="841"/>
      <c r="I756" s="1671" t="s">
        <v>2178</v>
      </c>
    </row>
    <row r="757" spans="1:11" s="842" customFormat="1">
      <c r="A757" s="840"/>
      <c r="B757" s="840"/>
      <c r="C757" s="840"/>
      <c r="D757" s="2029"/>
      <c r="E757" s="2029"/>
      <c r="F757" s="2029"/>
      <c r="G757" s="841"/>
      <c r="I757" s="1671"/>
    </row>
    <row r="758" spans="1:11" s="842" customFormat="1">
      <c r="A758" s="840"/>
      <c r="B758" s="840"/>
      <c r="C758" s="840"/>
      <c r="D758" s="2029"/>
      <c r="E758" s="2029"/>
      <c r="F758" s="2029"/>
      <c r="G758" s="841"/>
      <c r="I758" s="1671"/>
    </row>
    <row r="759" spans="1:11">
      <c r="A759" s="790"/>
      <c r="B759" s="790"/>
      <c r="C759" s="790"/>
      <c r="D759" s="826"/>
      <c r="E759" s="838"/>
      <c r="F759" s="838"/>
      <c r="G759" s="837"/>
      <c r="H759" s="831"/>
      <c r="I759" s="1669"/>
      <c r="J759" s="831"/>
      <c r="K759" s="831"/>
    </row>
    <row r="760" spans="1:11" ht="14.25">
      <c r="A760" s="786"/>
      <c r="B760" s="787" t="s">
        <v>2783</v>
      </c>
      <c r="C760" s="790"/>
      <c r="D760" s="1936" t="s">
        <v>1340</v>
      </c>
      <c r="E760" s="1936"/>
      <c r="F760" s="1936"/>
      <c r="G760" s="837"/>
      <c r="H760" s="831"/>
      <c r="I760" s="1669" t="s">
        <v>2177</v>
      </c>
      <c r="J760" s="831"/>
      <c r="K760" s="831"/>
    </row>
    <row r="761" spans="1:11">
      <c r="A761" s="790"/>
      <c r="B761" s="790"/>
      <c r="C761" s="790"/>
      <c r="D761" s="1936"/>
      <c r="E761" s="1936"/>
      <c r="F761" s="1936"/>
      <c r="G761" s="837"/>
      <c r="H761" s="831"/>
      <c r="I761" s="1669"/>
      <c r="J761" s="831"/>
      <c r="K761" s="831"/>
    </row>
    <row r="762" spans="1:11">
      <c r="A762" s="790"/>
      <c r="B762" s="790"/>
      <c r="C762" s="790"/>
      <c r="D762" s="770"/>
      <c r="E762" s="770"/>
      <c r="F762" s="770"/>
      <c r="G762" s="837"/>
      <c r="H762" s="831"/>
      <c r="I762" s="1669"/>
      <c r="J762" s="831"/>
      <c r="K762" s="831"/>
    </row>
    <row r="763" spans="1:11">
      <c r="A763" s="790"/>
      <c r="B763" s="787" t="s">
        <v>2783</v>
      </c>
      <c r="C763" s="790"/>
      <c r="D763" s="1936" t="s">
        <v>1357</v>
      </c>
      <c r="E763" s="1936"/>
      <c r="F763" s="1936"/>
      <c r="G763" s="837"/>
      <c r="H763" s="831"/>
      <c r="I763" s="1669" t="s">
        <v>2177</v>
      </c>
      <c r="J763" s="831"/>
      <c r="K763" s="831"/>
    </row>
    <row r="764" spans="1:11">
      <c r="A764" s="790"/>
      <c r="B764" s="790"/>
      <c r="C764" s="790"/>
      <c r="D764" s="1936"/>
      <c r="E764" s="1936"/>
      <c r="F764" s="1936"/>
      <c r="G764" s="837"/>
      <c r="H764" s="831"/>
      <c r="I764" s="1669"/>
      <c r="J764" s="831"/>
      <c r="K764" s="831"/>
    </row>
    <row r="765" spans="1:11">
      <c r="A765" s="790"/>
      <c r="B765" s="790"/>
      <c r="C765" s="790"/>
      <c r="D765" s="1936"/>
      <c r="E765" s="1936"/>
      <c r="F765" s="1936"/>
      <c r="G765" s="837"/>
      <c r="H765" s="831"/>
      <c r="I765" s="1669"/>
      <c r="J765" s="831"/>
      <c r="K765" s="831"/>
    </row>
    <row r="766" spans="1:11">
      <c r="A766" s="790"/>
      <c r="B766" s="790"/>
      <c r="C766" s="790"/>
      <c r="D766" s="770"/>
      <c r="E766" s="770"/>
      <c r="F766" s="770"/>
      <c r="G766" s="837"/>
      <c r="H766" s="831"/>
      <c r="I766" s="1669"/>
      <c r="J766" s="831"/>
      <c r="K766" s="831"/>
    </row>
    <row r="767" spans="1:11">
      <c r="A767" s="2027" t="s">
        <v>2057</v>
      </c>
      <c r="B767" s="2027"/>
      <c r="C767" s="2027"/>
      <c r="D767" s="2027"/>
      <c r="E767" s="2027"/>
      <c r="F767" s="2027"/>
      <c r="G767" s="2027"/>
      <c r="H767" s="1681"/>
      <c r="I767" s="1682"/>
    </row>
    <row r="768" spans="1:11">
      <c r="A768" s="93"/>
      <c r="B768" s="93"/>
      <c r="C768" s="1565"/>
      <c r="D768" s="155"/>
      <c r="E768" s="155"/>
      <c r="F768" s="155"/>
      <c r="G768" s="675"/>
    </row>
    <row r="769" spans="1:9">
      <c r="A769" s="93"/>
      <c r="B769" s="93"/>
      <c r="C769" s="1565"/>
      <c r="D769" s="2028" t="s">
        <v>2111</v>
      </c>
      <c r="E769" s="2028"/>
      <c r="F769" s="2028"/>
      <c r="G769" s="675"/>
    </row>
    <row r="770" spans="1:9">
      <c r="A770" s="93"/>
      <c r="B770" s="93"/>
      <c r="C770" s="1565"/>
      <c r="D770" s="2043" t="s">
        <v>2010</v>
      </c>
      <c r="E770" s="2043"/>
      <c r="F770" s="2043"/>
      <c r="G770" s="675"/>
    </row>
    <row r="771" spans="1:9">
      <c r="A771" s="93"/>
      <c r="B771" s="93"/>
      <c r="C771" s="1565"/>
      <c r="D771" s="722"/>
      <c r="E771" s="722"/>
      <c r="F771" s="722"/>
      <c r="G771" s="675"/>
    </row>
    <row r="772" spans="1:9">
      <c r="A772" s="93"/>
      <c r="B772" s="787" t="s">
        <v>2796</v>
      </c>
      <c r="C772" s="1565"/>
      <c r="D772" s="1963" t="s">
        <v>2011</v>
      </c>
      <c r="E772" s="1963"/>
      <c r="F772" s="1963"/>
      <c r="G772" s="675"/>
      <c r="I772" s="1669" t="s">
        <v>2227</v>
      </c>
    </row>
    <row r="773" spans="1:9">
      <c r="A773" s="93"/>
      <c r="B773" s="93"/>
      <c r="C773" s="1565"/>
      <c r="D773" s="1963"/>
      <c r="E773" s="1963"/>
      <c r="F773" s="1963"/>
      <c r="G773" s="675"/>
    </row>
    <row r="774" spans="1:9">
      <c r="A774" s="709"/>
      <c r="B774" s="709"/>
      <c r="C774" s="312"/>
      <c r="D774" s="1963"/>
      <c r="E774" s="1963"/>
      <c r="F774" s="1963"/>
      <c r="G774" s="1566"/>
    </row>
    <row r="775" spans="1:9">
      <c r="A775" s="1560"/>
      <c r="B775" s="1560"/>
      <c r="C775" s="1567"/>
      <c r="D775" s="1545"/>
      <c r="E775" s="675"/>
      <c r="F775" s="675"/>
      <c r="G775" s="675"/>
    </row>
    <row r="776" spans="1:9">
      <c r="A776" s="266"/>
      <c r="B776" s="787" t="s">
        <v>2783</v>
      </c>
      <c r="C776" s="1568"/>
      <c r="D776" s="1963" t="s">
        <v>2012</v>
      </c>
      <c r="E776" s="1963"/>
      <c r="F776" s="1963"/>
      <c r="G776" s="675"/>
      <c r="I776" s="1669" t="s">
        <v>2227</v>
      </c>
    </row>
    <row r="777" spans="1:9">
      <c r="A777" s="1569"/>
      <c r="B777" s="1569"/>
      <c r="C777" s="1570"/>
      <c r="D777" s="1963"/>
      <c r="E777" s="1963"/>
      <c r="F777" s="1963"/>
      <c r="G777" s="675"/>
    </row>
    <row r="778" spans="1:9">
      <c r="A778" s="266"/>
      <c r="B778" s="266"/>
      <c r="C778" s="1568"/>
      <c r="D778" s="1963"/>
      <c r="E778" s="1963"/>
      <c r="F778" s="1963"/>
      <c r="G778" s="675"/>
    </row>
    <row r="779" spans="1:9">
      <c r="A779" s="709"/>
      <c r="B779" s="709"/>
      <c r="C779" s="312"/>
      <c r="D779" s="6"/>
      <c r="E779" s="1571"/>
      <c r="F779" s="1571"/>
      <c r="G779" s="1572"/>
    </row>
    <row r="780" spans="1:9" ht="14.25">
      <c r="A780" s="703"/>
      <c r="B780" s="787" t="s">
        <v>2783</v>
      </c>
      <c r="C780" s="1573"/>
      <c r="D780" s="1963" t="s">
        <v>2013</v>
      </c>
      <c r="E780" s="1963"/>
      <c r="F780" s="1963"/>
      <c r="G780" s="1572"/>
      <c r="I780" s="1669" t="s">
        <v>2227</v>
      </c>
    </row>
    <row r="781" spans="1:9" ht="14.25">
      <c r="A781" s="703"/>
      <c r="B781" s="703"/>
      <c r="C781" s="1573"/>
      <c r="D781" s="1963"/>
      <c r="E781" s="1963"/>
      <c r="F781" s="1963"/>
      <c r="G781" s="1572"/>
    </row>
    <row r="782" spans="1:9" ht="14.25">
      <c r="A782" s="703"/>
      <c r="B782" s="703"/>
      <c r="C782" s="1573"/>
      <c r="D782" s="1963"/>
      <c r="E782" s="1963"/>
      <c r="F782" s="1963"/>
      <c r="G782" s="1572"/>
    </row>
    <row r="783" spans="1:9" ht="14.25">
      <c r="A783" s="703"/>
      <c r="B783" s="703"/>
      <c r="C783" s="1573"/>
      <c r="D783" s="1543"/>
      <c r="E783" s="6"/>
      <c r="F783" s="6"/>
      <c r="G783" s="1572"/>
    </row>
    <row r="784" spans="1:9" ht="14.25">
      <c r="A784" s="703"/>
      <c r="B784" s="787" t="s">
        <v>2783</v>
      </c>
      <c r="C784" s="1573"/>
      <c r="D784" s="1963" t="s">
        <v>2014</v>
      </c>
      <c r="E784" s="1963"/>
      <c r="F784" s="1963"/>
      <c r="G784" s="1572"/>
      <c r="I784" s="1669" t="s">
        <v>2227</v>
      </c>
    </row>
    <row r="785" spans="1:9" ht="14.25">
      <c r="A785" s="703"/>
      <c r="B785" s="703"/>
      <c r="C785" s="1573"/>
      <c r="D785" s="1963"/>
      <c r="E785" s="1963"/>
      <c r="F785" s="1963"/>
      <c r="G785" s="1572"/>
    </row>
    <row r="786" spans="1:9" ht="14.25">
      <c r="A786" s="703"/>
      <c r="B786" s="703"/>
      <c r="C786" s="1573"/>
      <c r="D786" s="1963"/>
      <c r="E786" s="1963"/>
      <c r="F786" s="1963"/>
      <c r="G786" s="1572"/>
    </row>
    <row r="787" spans="1:9" ht="14.25">
      <c r="A787" s="703"/>
      <c r="B787" s="703"/>
      <c r="C787" s="1573"/>
      <c r="D787" s="1963"/>
      <c r="E787" s="1963"/>
      <c r="F787" s="1963"/>
      <c r="G787" s="1572"/>
    </row>
    <row r="788" spans="1:9" ht="14.25">
      <c r="A788" s="703"/>
      <c r="B788" s="703"/>
      <c r="C788" s="1573"/>
      <c r="D788" s="1963"/>
      <c r="E788" s="1963"/>
      <c r="F788" s="1963"/>
      <c r="G788" s="1572"/>
    </row>
    <row r="789" spans="1:9" ht="14.25">
      <c r="A789" s="703"/>
      <c r="B789" s="703"/>
      <c r="C789" s="1573"/>
      <c r="D789" s="1963"/>
      <c r="E789" s="1963"/>
      <c r="F789" s="1963"/>
      <c r="G789" s="1572"/>
    </row>
    <row r="790" spans="1:9" ht="14.25">
      <c r="A790" s="703"/>
      <c r="B790" s="703"/>
      <c r="C790" s="1573"/>
      <c r="D790" s="1963" t="s">
        <v>2058</v>
      </c>
      <c r="E790" s="1963"/>
      <c r="F790" s="1963"/>
      <c r="G790" s="1572"/>
    </row>
    <row r="791" spans="1:9" ht="14.25">
      <c r="A791" s="703"/>
      <c r="B791" s="703"/>
      <c r="C791" s="1573"/>
      <c r="D791" s="1963"/>
      <c r="E791" s="1963"/>
      <c r="F791" s="1963"/>
      <c r="G791" s="1572"/>
    </row>
    <row r="792" spans="1:9" ht="14.25">
      <c r="A792" s="703"/>
      <c r="B792" s="703"/>
      <c r="C792" s="1573"/>
      <c r="D792" s="1963"/>
      <c r="E792" s="1963"/>
      <c r="F792" s="1963"/>
      <c r="G792" s="1572"/>
    </row>
    <row r="793" spans="1:9" ht="14.25">
      <c r="A793" s="703"/>
      <c r="B793" s="547"/>
      <c r="C793" s="1573"/>
      <c r="D793" s="1574"/>
      <c r="E793" s="1574"/>
      <c r="F793" s="1574"/>
      <c r="G793" s="1572"/>
    </row>
    <row r="794" spans="1:9" ht="14.25">
      <c r="A794" s="703"/>
      <c r="B794" s="787" t="s">
        <v>2783</v>
      </c>
      <c r="C794" s="1573"/>
      <c r="D794" s="1963" t="s">
        <v>2015</v>
      </c>
      <c r="E794" s="1963"/>
      <c r="F794" s="1963"/>
      <c r="G794" s="1572"/>
      <c r="I794" s="1669" t="s">
        <v>2227</v>
      </c>
    </row>
    <row r="795" spans="1:9" ht="14.25">
      <c r="A795" s="703"/>
      <c r="B795" s="703"/>
      <c r="C795" s="1573"/>
      <c r="D795" s="1963"/>
      <c r="E795" s="1963"/>
      <c r="F795" s="1963"/>
      <c r="G795" s="1572"/>
    </row>
    <row r="796" spans="1:9" ht="14.25">
      <c r="A796" s="703"/>
      <c r="B796" s="703"/>
      <c r="C796" s="1573"/>
      <c r="D796" s="1963"/>
      <c r="E796" s="1963"/>
      <c r="F796" s="1963"/>
      <c r="G796" s="1572"/>
    </row>
    <row r="797" spans="1:9" ht="14.25">
      <c r="A797" s="703"/>
      <c r="B797" s="703"/>
      <c r="C797" s="1573"/>
      <c r="D797" s="1963"/>
      <c r="E797" s="1963"/>
      <c r="F797" s="1963"/>
      <c r="G797" s="1572"/>
    </row>
    <row r="798" spans="1:9" ht="14.25">
      <c r="A798" s="703"/>
      <c r="B798" s="703"/>
      <c r="C798" s="1573"/>
      <c r="D798" s="1963"/>
      <c r="E798" s="1963"/>
      <c r="F798" s="1963"/>
      <c r="G798" s="1572"/>
    </row>
    <row r="799" spans="1:9" ht="14.25">
      <c r="A799" s="703"/>
      <c r="B799" s="703"/>
      <c r="C799" s="1573"/>
      <c r="D799" s="1963"/>
      <c r="E799" s="1963"/>
      <c r="F799" s="1963"/>
      <c r="G799" s="1572"/>
    </row>
    <row r="800" spans="1:9" ht="14.25">
      <c r="A800" s="703"/>
      <c r="B800" s="703"/>
      <c r="C800" s="1573"/>
      <c r="D800" s="1552"/>
      <c r="E800" s="1552"/>
      <c r="F800" s="1552"/>
      <c r="G800" s="1572"/>
    </row>
    <row r="801" spans="1:9" ht="14.25">
      <c r="A801" s="703"/>
      <c r="B801" s="787" t="s">
        <v>2783</v>
      </c>
      <c r="C801" s="1573"/>
      <c r="D801" s="1963" t="s">
        <v>2016</v>
      </c>
      <c r="E801" s="1963"/>
      <c r="F801" s="1963"/>
      <c r="G801" s="1572"/>
      <c r="I801" s="1669" t="s">
        <v>2227</v>
      </c>
    </row>
    <row r="802" spans="1:9" ht="14.25">
      <c r="A802" s="703"/>
      <c r="B802" s="703"/>
      <c r="C802" s="1573"/>
      <c r="D802" s="1963"/>
      <c r="E802" s="1963"/>
      <c r="F802" s="1963"/>
      <c r="G802" s="1572"/>
    </row>
    <row r="803" spans="1:9" ht="14.25">
      <c r="A803" s="703"/>
      <c r="B803" s="703"/>
      <c r="C803" s="1573"/>
      <c r="D803" s="1963"/>
      <c r="E803" s="1963"/>
      <c r="F803" s="1963"/>
      <c r="G803" s="1572"/>
    </row>
    <row r="804" spans="1:9" ht="14.25">
      <c r="A804" s="703"/>
      <c r="B804" s="703"/>
      <c r="C804" s="1573"/>
      <c r="D804" s="1963"/>
      <c r="E804" s="1963"/>
      <c r="F804" s="1963"/>
      <c r="G804" s="1572"/>
    </row>
    <row r="805" spans="1:9" ht="14.25">
      <c r="A805" s="703"/>
      <c r="B805" s="703"/>
      <c r="C805" s="1573"/>
      <c r="D805" s="1963"/>
      <c r="E805" s="1963"/>
      <c r="F805" s="1963"/>
      <c r="G805" s="1572"/>
    </row>
    <row r="806" spans="1:9" ht="14.25">
      <c r="A806" s="703"/>
      <c r="B806" s="703"/>
      <c r="C806" s="1573"/>
      <c r="D806" s="1963"/>
      <c r="E806" s="1963"/>
      <c r="F806" s="1963"/>
      <c r="G806" s="1572"/>
    </row>
    <row r="807" spans="1:9" ht="14.25">
      <c r="A807" s="703"/>
      <c r="B807" s="703"/>
      <c r="C807" s="1573"/>
      <c r="D807" s="1552"/>
      <c r="E807" s="1552"/>
      <c r="F807" s="1552"/>
      <c r="G807" s="1572"/>
    </row>
    <row r="808" spans="1:9" ht="14.25">
      <c r="A808" s="703"/>
      <c r="B808" s="787" t="s">
        <v>2783</v>
      </c>
      <c r="C808" s="1573"/>
      <c r="D808" s="1976" t="s">
        <v>2017</v>
      </c>
      <c r="E808" s="1976"/>
      <c r="F808" s="1976"/>
      <c r="G808" s="1572"/>
      <c r="I808" s="1669" t="s">
        <v>2227</v>
      </c>
    </row>
    <row r="809" spans="1:9" ht="14.25">
      <c r="A809" s="703"/>
      <c r="B809" s="703"/>
      <c r="C809" s="1573"/>
      <c r="D809" s="1976"/>
      <c r="E809" s="1976"/>
      <c r="F809" s="1976"/>
      <c r="G809" s="1572"/>
    </row>
    <row r="810" spans="1:9">
      <c r="A810" s="1559"/>
      <c r="B810" s="1559"/>
      <c r="C810" s="1573"/>
      <c r="D810" s="1976"/>
      <c r="E810" s="1976"/>
      <c r="F810" s="1976"/>
      <c r="G810" s="1572"/>
    </row>
    <row r="811" spans="1:9" ht="14.25">
      <c r="A811" s="703"/>
      <c r="B811" s="1559"/>
      <c r="C811" s="1573"/>
      <c r="D811" s="1976"/>
      <c r="E811" s="1976"/>
      <c r="F811" s="1976"/>
      <c r="G811" s="1572"/>
    </row>
    <row r="812" spans="1:9" ht="12.75" customHeight="1">
      <c r="A812" s="703"/>
      <c r="B812" s="1559"/>
      <c r="C812" s="1573"/>
      <c r="D812" s="1976"/>
      <c r="E812" s="1976"/>
      <c r="F812" s="1976"/>
      <c r="G812" s="1572"/>
    </row>
    <row r="813" spans="1:9" ht="12.75" customHeight="1">
      <c r="A813" s="703"/>
      <c r="B813" s="1559"/>
      <c r="C813" s="1573"/>
      <c r="D813" s="1976"/>
      <c r="E813" s="1976"/>
      <c r="F813" s="1976"/>
      <c r="G813" s="1572"/>
    </row>
    <row r="814" spans="1:9" ht="12.75" customHeight="1">
      <c r="A814" s="1559"/>
      <c r="B814" s="1559"/>
      <c r="C814" s="1573"/>
      <c r="D814" s="1571"/>
      <c r="E814" s="6"/>
      <c r="F814" s="6"/>
      <c r="G814" s="1572"/>
    </row>
    <row r="815" spans="1:9" ht="12.75" customHeight="1">
      <c r="A815" s="1953" t="s">
        <v>2018</v>
      </c>
      <c r="B815" s="1953"/>
      <c r="C815" s="1953"/>
      <c r="D815" s="1953"/>
      <c r="E815" s="1953"/>
      <c r="F815" s="1953"/>
      <c r="G815" s="1953"/>
      <c r="H815" s="1681"/>
      <c r="I815" s="1682"/>
    </row>
    <row r="816" spans="1:9" ht="12.75" customHeight="1">
      <c r="A816" s="1549"/>
      <c r="B816" s="1549"/>
      <c r="C816" s="1573"/>
      <c r="D816" s="1571"/>
      <c r="E816" s="1571"/>
      <c r="F816" s="1571"/>
      <c r="G816" s="1572"/>
    </row>
    <row r="817" spans="1:9" ht="12.75" customHeight="1">
      <c r="A817" s="703"/>
      <c r="B817" s="703"/>
      <c r="C817" s="547"/>
      <c r="D817" s="1960" t="s">
        <v>2059</v>
      </c>
      <c r="E817" s="1960"/>
      <c r="F817" s="1960"/>
      <c r="G817" s="667"/>
    </row>
    <row r="818" spans="1:9" ht="14.25" customHeight="1">
      <c r="A818" s="703"/>
      <c r="B818" s="703"/>
      <c r="C818" s="547"/>
      <c r="D818" s="1917" t="s">
        <v>2019</v>
      </c>
      <c r="E818" s="1917"/>
      <c r="F818" s="1917"/>
      <c r="G818" s="667"/>
    </row>
    <row r="819" spans="1:9" ht="12.75" customHeight="1">
      <c r="A819" s="703"/>
      <c r="B819" s="703"/>
      <c r="C819" s="547"/>
      <c r="D819" s="1538"/>
      <c r="E819" s="1538"/>
      <c r="F819" s="1538"/>
      <c r="G819" s="667"/>
    </row>
    <row r="820" spans="1:9" ht="12.75" customHeight="1">
      <c r="A820" s="1575"/>
      <c r="B820" s="787" t="s">
        <v>2796</v>
      </c>
      <c r="C820" s="1573"/>
      <c r="D820" s="1917" t="s">
        <v>2020</v>
      </c>
      <c r="E820" s="1917"/>
      <c r="F820" s="1917"/>
      <c r="G820" s="667"/>
      <c r="I820" s="1607" t="s">
        <v>2195</v>
      </c>
    </row>
    <row r="821" spans="1:9" ht="14.25" customHeight="1">
      <c r="A821" s="1559"/>
      <c r="B821" s="1559"/>
      <c r="C821" s="1573"/>
      <c r="D821" s="779"/>
      <c r="E821" s="1697" t="s">
        <v>2267</v>
      </c>
      <c r="F821" s="1701"/>
      <c r="G821" s="667"/>
    </row>
    <row r="822" spans="1:9" ht="12.75" customHeight="1">
      <c r="A822" s="1559"/>
      <c r="B822" s="1559"/>
      <c r="C822" s="1573"/>
      <c r="D822" s="1576"/>
      <c r="E822" s="6"/>
      <c r="F822" s="6"/>
      <c r="G822" s="667"/>
    </row>
    <row r="823" spans="1:9" ht="14.25" hidden="1" customHeight="1">
      <c r="A823" s="1559"/>
      <c r="B823" s="787" t="s">
        <v>308</v>
      </c>
      <c r="C823" s="1573"/>
      <c r="D823" s="2052" t="s">
        <v>2468</v>
      </c>
      <c r="E823" s="2052"/>
      <c r="F823" s="2052"/>
      <c r="G823" s="667"/>
    </row>
    <row r="824" spans="1:9" ht="12.75" hidden="1" customHeight="1">
      <c r="A824" s="1559"/>
      <c r="B824" s="1559"/>
      <c r="C824" s="1573"/>
      <c r="D824" s="2052"/>
      <c r="E824" s="2052"/>
      <c r="F824" s="2052"/>
      <c r="G824" s="667"/>
    </row>
    <row r="825" spans="1:9" ht="12.75" hidden="1" customHeight="1">
      <c r="A825" s="1559"/>
      <c r="B825" s="1559"/>
      <c r="C825" s="1573"/>
      <c r="D825" s="2052"/>
      <c r="E825" s="2052"/>
      <c r="F825" s="2052"/>
      <c r="G825" s="667"/>
    </row>
    <row r="826" spans="1:9" ht="12.75" hidden="1" customHeight="1">
      <c r="A826" s="1559"/>
      <c r="B826" s="1559"/>
      <c r="C826" s="1573"/>
      <c r="D826" s="2052"/>
      <c r="E826" s="2052"/>
      <c r="F826" s="2052"/>
      <c r="G826" s="667"/>
    </row>
    <row r="827" spans="1:9" ht="12.75" hidden="1" customHeight="1">
      <c r="A827" s="1559"/>
      <c r="B827" s="1559"/>
      <c r="C827" s="1573"/>
      <c r="D827" s="2052"/>
      <c r="E827" s="2052"/>
      <c r="F827" s="2052"/>
      <c r="G827" s="667"/>
    </row>
    <row r="828" spans="1:9" ht="12.75" hidden="1" customHeight="1">
      <c r="A828" s="1559"/>
      <c r="B828" s="1559"/>
      <c r="C828" s="1573"/>
      <c r="D828" s="2052"/>
      <c r="E828" s="2052"/>
      <c r="F828" s="2052"/>
      <c r="G828" s="667"/>
    </row>
    <row r="829" spans="1:9" ht="12.75" hidden="1" customHeight="1">
      <c r="A829" s="1559"/>
      <c r="B829" s="1559"/>
      <c r="C829" s="1573"/>
      <c r="D829" s="2052"/>
      <c r="E829" s="2052"/>
      <c r="F829" s="2052"/>
      <c r="G829" s="667"/>
    </row>
    <row r="830" spans="1:9" ht="12.75" hidden="1" customHeight="1">
      <c r="A830" s="1559"/>
      <c r="B830" s="1559"/>
      <c r="C830" s="1573"/>
      <c r="D830" s="2052"/>
      <c r="E830" s="2052"/>
      <c r="F830" s="2052"/>
      <c r="G830" s="667"/>
    </row>
    <row r="831" spans="1:9" ht="12.75" hidden="1" customHeight="1">
      <c r="A831" s="1559"/>
      <c r="B831" s="1559"/>
      <c r="C831" s="1573"/>
      <c r="D831" s="2052"/>
      <c r="E831" s="2052"/>
      <c r="F831" s="2052"/>
      <c r="G831" s="667"/>
    </row>
    <row r="832" spans="1:9" ht="12.75" hidden="1" customHeight="1">
      <c r="A832" s="1559"/>
      <c r="B832" s="1559"/>
      <c r="C832" s="1573"/>
      <c r="D832" s="2052"/>
      <c r="E832" s="2052"/>
      <c r="F832" s="2052"/>
      <c r="G832" s="667"/>
    </row>
    <row r="833" spans="1:9" ht="12.75" hidden="1" customHeight="1">
      <c r="A833" s="1559"/>
      <c r="B833" s="1559"/>
      <c r="C833" s="1573"/>
      <c r="D833" s="1576"/>
      <c r="E833" s="6"/>
      <c r="F833" s="6"/>
      <c r="G833" s="667"/>
    </row>
    <row r="834" spans="1:9" ht="12.75" customHeight="1">
      <c r="A834" s="703"/>
      <c r="B834" s="787" t="s">
        <v>2796</v>
      </c>
      <c r="C834" s="1573"/>
      <c r="D834" s="1917" t="s">
        <v>2021</v>
      </c>
      <c r="E834" s="1917"/>
      <c r="F834" s="1917"/>
      <c r="G834" s="667"/>
      <c r="I834" s="1607" t="s">
        <v>2213</v>
      </c>
    </row>
    <row r="835" spans="1:9" ht="12.75" customHeight="1">
      <c r="A835" s="703"/>
      <c r="B835" s="703"/>
      <c r="C835" s="1573"/>
      <c r="D835" s="1917"/>
      <c r="E835" s="1917"/>
      <c r="F835" s="1917"/>
      <c r="G835" s="667"/>
    </row>
    <row r="836" spans="1:9" ht="12.75" customHeight="1">
      <c r="A836" s="703"/>
      <c r="B836" s="703"/>
      <c r="C836" s="1573"/>
      <c r="D836" s="1917"/>
      <c r="E836" s="1917"/>
      <c r="F836" s="1917"/>
      <c r="G836" s="667"/>
    </row>
    <row r="837" spans="1:9" ht="12.75" customHeight="1">
      <c r="A837" s="398"/>
      <c r="B837" s="398"/>
      <c r="C837" s="1577"/>
      <c r="D837" s="1555"/>
      <c r="E837" s="667"/>
      <c r="F837" s="667"/>
      <c r="G837" s="667"/>
    </row>
    <row r="838" spans="1:9" ht="12.75" customHeight="1">
      <c r="A838" s="1578"/>
      <c r="B838" s="787" t="s">
        <v>2783</v>
      </c>
      <c r="C838" s="1577"/>
      <c r="D838" s="2050" t="s">
        <v>2022</v>
      </c>
      <c r="E838" s="2050"/>
      <c r="F838" s="2050"/>
      <c r="G838" s="667"/>
    </row>
    <row r="839" spans="1:9" ht="12.75" customHeight="1">
      <c r="A839" s="547"/>
      <c r="B839" s="1578"/>
      <c r="C839" s="1577"/>
      <c r="D839" s="2050"/>
      <c r="E839" s="2050"/>
      <c r="F839" s="2050"/>
      <c r="G839" s="667"/>
    </row>
    <row r="840" spans="1:9" ht="12.75" customHeight="1">
      <c r="A840" s="398"/>
      <c r="B840" s="547"/>
      <c r="C840" s="1577"/>
      <c r="D840" s="1920" t="s">
        <v>2459</v>
      </c>
      <c r="E840" s="1920"/>
      <c r="F840" s="1920"/>
      <c r="G840" s="667"/>
    </row>
    <row r="841" spans="1:9" ht="12.75" customHeight="1">
      <c r="A841" s="398"/>
      <c r="B841" s="398"/>
      <c r="C841" s="1577"/>
      <c r="D841" s="1920"/>
      <c r="E841" s="1920"/>
      <c r="F841" s="1920"/>
      <c r="G841" s="667"/>
    </row>
    <row r="842" spans="1:9" ht="12.75" customHeight="1">
      <c r="A842" s="398"/>
      <c r="B842" s="398"/>
      <c r="C842" s="1577"/>
      <c r="D842" s="1920"/>
      <c r="E842" s="1920"/>
      <c r="F842" s="1920"/>
      <c r="G842" s="667"/>
    </row>
    <row r="843" spans="1:9" ht="12.75" customHeight="1">
      <c r="A843" s="398"/>
      <c r="B843" s="398"/>
      <c r="C843" s="1577"/>
      <c r="D843" s="1920"/>
      <c r="E843" s="1920"/>
      <c r="F843" s="1920"/>
      <c r="G843" s="667"/>
    </row>
    <row r="844" spans="1:9" ht="12.75" customHeight="1">
      <c r="A844" s="398"/>
      <c r="B844" s="398"/>
      <c r="C844" s="1577"/>
      <c r="D844" s="1920"/>
      <c r="E844" s="1920"/>
      <c r="F844" s="1920"/>
      <c r="G844" s="667"/>
    </row>
    <row r="845" spans="1:9" ht="12.75" customHeight="1">
      <c r="A845" s="398"/>
      <c r="B845" s="398"/>
      <c r="C845" s="1577"/>
      <c r="D845" s="1920"/>
      <c r="E845" s="1920"/>
      <c r="F845" s="1920"/>
      <c r="G845" s="667"/>
    </row>
    <row r="846" spans="1:9" ht="12.75" customHeight="1">
      <c r="A846" s="398"/>
      <c r="B846" s="398"/>
      <c r="C846" s="1577"/>
      <c r="D846" s="1555"/>
      <c r="E846" s="667"/>
      <c r="F846" s="667"/>
      <c r="G846" s="667"/>
    </row>
    <row r="847" spans="1:9" ht="12.75" customHeight="1">
      <c r="A847" s="398"/>
      <c r="B847" s="787" t="s">
        <v>2783</v>
      </c>
      <c r="C847" s="1577"/>
      <c r="D847" s="1920" t="s">
        <v>2023</v>
      </c>
      <c r="E847" s="1920"/>
      <c r="F847" s="1920"/>
      <c r="G847" s="667"/>
      <c r="I847" s="1607" t="s">
        <v>2196</v>
      </c>
    </row>
    <row r="848" spans="1:9" ht="12.75" customHeight="1">
      <c r="A848" s="398"/>
      <c r="B848" s="398"/>
      <c r="C848" s="1577"/>
      <c r="D848" s="1920" t="s">
        <v>2024</v>
      </c>
      <c r="E848" s="1920"/>
      <c r="F848" s="1920"/>
      <c r="G848" s="667"/>
    </row>
    <row r="849" spans="1:9" ht="12.75" customHeight="1">
      <c r="A849" s="398"/>
      <c r="B849" s="398"/>
      <c r="C849" s="1577"/>
      <c r="D849" s="779"/>
      <c r="E849" s="1697" t="s">
        <v>2269</v>
      </c>
      <c r="F849" s="1702"/>
      <c r="G849" s="667"/>
    </row>
    <row r="850" spans="1:9" ht="12.75" customHeight="1">
      <c r="A850" s="398"/>
      <c r="B850" s="398"/>
      <c r="C850" s="1577"/>
      <c r="D850" s="1555"/>
      <c r="E850" s="667"/>
      <c r="F850" s="667"/>
      <c r="G850" s="667"/>
    </row>
    <row r="851" spans="1:9" ht="12.75" customHeight="1">
      <c r="A851" s="398"/>
      <c r="B851" s="787" t="s">
        <v>2783</v>
      </c>
      <c r="C851" s="1577"/>
      <c r="D851" s="1920" t="s">
        <v>2025</v>
      </c>
      <c r="E851" s="1920"/>
      <c r="F851" s="1920"/>
      <c r="G851" s="667"/>
      <c r="I851" s="1607" t="s">
        <v>2214</v>
      </c>
    </row>
    <row r="852" spans="1:9" ht="12.75" customHeight="1">
      <c r="A852" s="398"/>
      <c r="B852" s="398"/>
      <c r="C852" s="1577"/>
      <c r="D852" s="1920"/>
      <c r="E852" s="1920"/>
      <c r="F852" s="1920"/>
      <c r="G852" s="667"/>
    </row>
    <row r="853" spans="1:9" ht="12.75" customHeight="1">
      <c r="A853" s="398"/>
      <c r="B853" s="398"/>
      <c r="C853" s="1577"/>
      <c r="D853" s="1920"/>
      <c r="E853" s="1920"/>
      <c r="F853" s="1920"/>
      <c r="G853" s="667"/>
    </row>
    <row r="854" spans="1:9" ht="12.75" customHeight="1">
      <c r="A854" s="398"/>
      <c r="B854" s="398"/>
      <c r="C854" s="1577"/>
      <c r="D854" s="1920"/>
      <c r="E854" s="1920"/>
      <c r="F854" s="1920"/>
      <c r="G854" s="667"/>
    </row>
    <row r="855" spans="1:9" ht="12.75" customHeight="1">
      <c r="A855" s="1549"/>
      <c r="B855" s="1549"/>
      <c r="C855" s="1579"/>
      <c r="D855" s="1543"/>
      <c r="E855" s="6"/>
      <c r="F855" s="6"/>
      <c r="G855" s="667"/>
    </row>
    <row r="856" spans="1:9" ht="12.75" customHeight="1">
      <c r="A856" s="1554" t="s">
        <v>2026</v>
      </c>
      <c r="B856" s="1554"/>
      <c r="C856" s="1580"/>
      <c r="D856" s="1580"/>
      <c r="E856" s="1580"/>
      <c r="F856" s="1580"/>
      <c r="G856" s="1581"/>
      <c r="H856" s="1681"/>
      <c r="I856" s="1682"/>
    </row>
    <row r="857" spans="1:9" ht="12.75" customHeight="1">
      <c r="A857" s="1549"/>
      <c r="B857" s="1549"/>
      <c r="C857" s="1579"/>
      <c r="D857" s="1582"/>
      <c r="E857" s="6"/>
      <c r="F857" s="6"/>
      <c r="G857" s="667"/>
    </row>
    <row r="858" spans="1:9" ht="12.75" customHeight="1">
      <c r="A858" s="1575"/>
      <c r="B858" s="1575"/>
      <c r="C858" s="312"/>
      <c r="D858" s="1942" t="s">
        <v>2060</v>
      </c>
      <c r="E858" s="1942"/>
      <c r="F858" s="1942"/>
      <c r="G858" s="1572"/>
    </row>
    <row r="859" spans="1:9" ht="12.75" customHeight="1">
      <c r="A859" s="1575"/>
      <c r="B859" s="1575"/>
      <c r="C859" s="312"/>
      <c r="D859" s="2051" t="s">
        <v>2027</v>
      </c>
      <c r="E859" s="2051"/>
      <c r="F859" s="2051"/>
      <c r="G859" s="1572"/>
    </row>
    <row r="860" spans="1:9" ht="12.75" customHeight="1">
      <c r="A860" s="1575"/>
      <c r="B860" s="1575"/>
      <c r="C860" s="312"/>
      <c r="D860" s="1583"/>
      <c r="E860" s="1583"/>
      <c r="F860" s="1583"/>
      <c r="G860" s="1572"/>
    </row>
    <row r="861" spans="1:9" ht="12.75" customHeight="1">
      <c r="A861" s="703"/>
      <c r="B861" s="787" t="s">
        <v>2796</v>
      </c>
      <c r="C861" s="547"/>
      <c r="D861" s="1943" t="s">
        <v>2028</v>
      </c>
      <c r="E861" s="1943"/>
      <c r="F861" s="1943"/>
      <c r="G861" s="1572"/>
      <c r="I861" s="1607" t="s">
        <v>2196</v>
      </c>
    </row>
    <row r="862" spans="1:9" ht="12.75" customHeight="1">
      <c r="A862" s="1575"/>
      <c r="B862" s="1575"/>
      <c r="C862" s="547"/>
      <c r="D862" s="5" t="s">
        <v>2003</v>
      </c>
      <c r="E862" s="1697" t="s">
        <v>2269</v>
      </c>
      <c r="F862" s="1703"/>
      <c r="G862" s="1572"/>
    </row>
    <row r="863" spans="1:9" ht="12.75" customHeight="1">
      <c r="A863" s="1575"/>
      <c r="B863" s="1575"/>
      <c r="C863" s="547"/>
      <c r="D863" s="1543"/>
      <c r="E863" s="1571"/>
      <c r="F863" s="1571"/>
      <c r="G863" s="1572"/>
    </row>
    <row r="864" spans="1:9" ht="12.75" customHeight="1">
      <c r="A864" s="703"/>
      <c r="B864" s="787" t="s">
        <v>2796</v>
      </c>
      <c r="C864" s="547"/>
      <c r="D864" s="1917" t="s">
        <v>2029</v>
      </c>
      <c r="E864" s="1992"/>
      <c r="F864" s="1992"/>
      <c r="G864" s="667"/>
      <c r="I864" s="1607" t="s">
        <v>2214</v>
      </c>
    </row>
    <row r="865" spans="1:9" ht="12.75" customHeight="1">
      <c r="A865" s="1575"/>
      <c r="B865" s="1575"/>
      <c r="C865" s="547"/>
      <c r="D865" s="1992"/>
      <c r="E865" s="1992"/>
      <c r="F865" s="1992"/>
      <c r="G865" s="667"/>
    </row>
    <row r="866" spans="1:9" ht="12.75" customHeight="1">
      <c r="A866" s="1575"/>
      <c r="B866" s="1575"/>
      <c r="C866" s="547"/>
      <c r="D866" s="1543"/>
      <c r="E866" s="6"/>
      <c r="F866" s="6"/>
      <c r="G866" s="667"/>
    </row>
    <row r="867" spans="1:9" ht="12.75" customHeight="1">
      <c r="A867" s="547"/>
      <c r="B867" s="787" t="s">
        <v>2783</v>
      </c>
      <c r="C867" s="548"/>
      <c r="D867" s="2053" t="s">
        <v>2030</v>
      </c>
      <c r="E867" s="2053"/>
      <c r="F867" s="2053"/>
      <c r="G867" s="1572"/>
    </row>
    <row r="868" spans="1:9" ht="12.75" customHeight="1">
      <c r="A868" s="547"/>
      <c r="B868" s="1584"/>
      <c r="C868" s="548"/>
      <c r="D868" s="2053"/>
      <c r="E868" s="2053"/>
      <c r="F868" s="2053"/>
      <c r="G868" s="1572"/>
    </row>
    <row r="869" spans="1:9" ht="12.75" customHeight="1">
      <c r="A869" s="703"/>
      <c r="B869" s="666"/>
      <c r="C869" s="547"/>
      <c r="D869" s="1920" t="s">
        <v>2459</v>
      </c>
      <c r="E869" s="1920"/>
      <c r="F869" s="1920"/>
      <c r="G869" s="1572"/>
    </row>
    <row r="870" spans="1:9" ht="12.75" customHeight="1">
      <c r="A870" s="703"/>
      <c r="B870" s="703"/>
      <c r="C870" s="547"/>
      <c r="D870" s="1920"/>
      <c r="E870" s="1920"/>
      <c r="F870" s="1920"/>
      <c r="G870" s="1572"/>
    </row>
    <row r="871" spans="1:9" ht="12.75" customHeight="1">
      <c r="A871" s="703"/>
      <c r="B871" s="703"/>
      <c r="C871" s="547"/>
      <c r="D871" s="1920"/>
      <c r="E871" s="1920"/>
      <c r="F871" s="1920"/>
      <c r="G871" s="1572"/>
    </row>
    <row r="872" spans="1:9" ht="12.75" customHeight="1">
      <c r="A872" s="703"/>
      <c r="B872" s="703"/>
      <c r="C872" s="547"/>
      <c r="D872" s="1920"/>
      <c r="E872" s="1920"/>
      <c r="F872" s="1920"/>
      <c r="G872" s="1572"/>
    </row>
    <row r="873" spans="1:9" ht="12.75" customHeight="1">
      <c r="A873" s="703"/>
      <c r="B873" s="703"/>
      <c r="C873" s="547"/>
      <c r="D873" s="1920"/>
      <c r="E873" s="1920"/>
      <c r="F873" s="1920"/>
      <c r="G873" s="1572"/>
    </row>
    <row r="874" spans="1:9" ht="12.75" customHeight="1">
      <c r="A874" s="703"/>
      <c r="B874" s="703"/>
      <c r="C874" s="547"/>
      <c r="D874" s="1920"/>
      <c r="E874" s="1920"/>
      <c r="F874" s="1920"/>
      <c r="G874" s="1572"/>
    </row>
    <row r="875" spans="1:9" ht="12.75" customHeight="1">
      <c r="A875" s="703"/>
      <c r="B875" s="703"/>
      <c r="C875" s="547"/>
      <c r="D875" s="1543"/>
      <c r="E875" s="1571"/>
      <c r="F875" s="1571"/>
      <c r="G875" s="1572"/>
    </row>
    <row r="876" spans="1:9" ht="12.75" customHeight="1">
      <c r="A876" s="703"/>
      <c r="B876" s="787" t="s">
        <v>2783</v>
      </c>
      <c r="C876" s="547"/>
      <c r="D876" s="1947" t="s">
        <v>2023</v>
      </c>
      <c r="E876" s="1947"/>
      <c r="F876" s="1947"/>
      <c r="G876" s="1572"/>
      <c r="I876" s="1607" t="s">
        <v>2196</v>
      </c>
    </row>
    <row r="877" spans="1:9" ht="12.75" customHeight="1">
      <c r="A877" s="703"/>
      <c r="B877" s="703"/>
      <c r="C877" s="547"/>
      <c r="D877" s="1947" t="s">
        <v>2024</v>
      </c>
      <c r="E877" s="1947"/>
      <c r="F877" s="1947"/>
      <c r="G877" s="1572"/>
    </row>
    <row r="878" spans="1:9" ht="12.75" customHeight="1">
      <c r="A878" s="703"/>
      <c r="B878" s="703"/>
      <c r="C878" s="547"/>
      <c r="D878" s="5" t="s">
        <v>1427</v>
      </c>
      <c r="E878" s="1697" t="s">
        <v>2269</v>
      </c>
      <c r="F878" s="1704"/>
      <c r="G878" s="1572"/>
    </row>
    <row r="879" spans="1:9" ht="12.75" customHeight="1">
      <c r="A879" s="703"/>
      <c r="B879" s="703"/>
      <c r="C879" s="547"/>
      <c r="D879" s="1543"/>
      <c r="E879" s="1571"/>
      <c r="F879" s="1571"/>
      <c r="G879" s="1572"/>
    </row>
    <row r="880" spans="1:9" ht="12.75" customHeight="1">
      <c r="A880" s="703"/>
      <c r="B880" s="787" t="s">
        <v>2783</v>
      </c>
      <c r="C880" s="547"/>
      <c r="D880" s="1917" t="s">
        <v>2025</v>
      </c>
      <c r="E880" s="1917"/>
      <c r="F880" s="1917"/>
      <c r="G880" s="1572"/>
      <c r="I880" s="1607" t="s">
        <v>2214</v>
      </c>
    </row>
    <row r="881" spans="1:9" ht="12.75" customHeight="1">
      <c r="A881" s="703"/>
      <c r="B881" s="703"/>
      <c r="C881" s="547"/>
      <c r="D881" s="1917"/>
      <c r="E881" s="1917"/>
      <c r="F881" s="1917"/>
      <c r="G881" s="1572"/>
    </row>
    <row r="882" spans="1:9" ht="12.75" customHeight="1">
      <c r="A882" s="703"/>
      <c r="B882" s="703"/>
      <c r="C882" s="547"/>
      <c r="D882" s="1917"/>
      <c r="E882" s="1917"/>
      <c r="F882" s="1917"/>
      <c r="G882" s="1572"/>
    </row>
    <row r="883" spans="1:9" ht="12.75" customHeight="1">
      <c r="A883" s="703"/>
      <c r="B883" s="703"/>
      <c r="C883" s="547"/>
      <c r="D883" s="1917"/>
      <c r="E883" s="1917"/>
      <c r="F883" s="1917"/>
      <c r="G883" s="1572"/>
    </row>
    <row r="884" spans="1:9" ht="12.75" customHeight="1">
      <c r="A884" s="1544"/>
      <c r="B884" s="1544"/>
      <c r="C884" s="1573"/>
      <c r="D884" s="1571"/>
      <c r="E884" s="1571"/>
      <c r="F884" s="1571"/>
      <c r="G884" s="1572"/>
    </row>
    <row r="885" spans="1:9" ht="12.75" customHeight="1">
      <c r="A885" s="1953" t="s">
        <v>2061</v>
      </c>
      <c r="B885" s="1953"/>
      <c r="C885" s="1953"/>
      <c r="D885" s="1953"/>
      <c r="E885" s="1953"/>
      <c r="F885" s="1953"/>
      <c r="G885" s="1953"/>
      <c r="H885" s="1681"/>
      <c r="I885" s="1682"/>
    </row>
    <row r="886" spans="1:9" s="1605" customFormat="1" ht="12.75" customHeight="1">
      <c r="A886" s="93"/>
      <c r="B886" s="93"/>
      <c r="C886" s="93"/>
      <c r="D886" s="93"/>
      <c r="E886" s="93"/>
      <c r="F886" s="93"/>
      <c r="G886" s="93"/>
      <c r="I886" s="1607"/>
    </row>
    <row r="887" spans="1:9" s="1605" customFormat="1" ht="12.75" customHeight="1">
      <c r="A887" s="93"/>
      <c r="B887" s="93"/>
      <c r="C887" s="93"/>
      <c r="D887" s="1962" t="s">
        <v>2067</v>
      </c>
      <c r="E887" s="1962"/>
      <c r="F887" s="1962"/>
      <c r="G887" s="93"/>
      <c r="I887" s="1607"/>
    </row>
    <row r="888" spans="1:9" s="1605" customFormat="1" ht="12.75" customHeight="1">
      <c r="A888" s="93"/>
      <c r="B888" s="93"/>
      <c r="C888" s="93"/>
      <c r="D888" s="1551"/>
      <c r="E888" s="1551"/>
      <c r="F888" s="1551"/>
      <c r="G888" s="93"/>
      <c r="I888" s="1607"/>
    </row>
    <row r="889" spans="1:9" s="1605" customFormat="1" ht="12.75" customHeight="1">
      <c r="A889" s="93"/>
      <c r="B889" s="1608" t="s">
        <v>2796</v>
      </c>
      <c r="C889" s="93"/>
      <c r="D889" s="1556" t="s">
        <v>2068</v>
      </c>
      <c r="E889" s="1551"/>
      <c r="F889" s="1551"/>
      <c r="G889" s="93"/>
      <c r="I889" s="1607" t="s">
        <v>2228</v>
      </c>
    </row>
    <row r="890" spans="1:9" s="1605" customFormat="1" ht="12.75" customHeight="1">
      <c r="A890" s="93"/>
      <c r="B890" s="93"/>
      <c r="C890" s="93"/>
      <c r="D890" s="1551"/>
      <c r="E890" s="1551"/>
      <c r="F890" s="1551"/>
      <c r="G890" s="93"/>
      <c r="I890" s="1607"/>
    </row>
    <row r="891" spans="1:9" ht="12.75" customHeight="1">
      <c r="A891" s="1575"/>
      <c r="B891" s="1575"/>
      <c r="C891" s="1573"/>
      <c r="D891" s="1962" t="s">
        <v>2062</v>
      </c>
      <c r="E891" s="1962"/>
      <c r="F891" s="1962"/>
      <c r="G891" s="1572"/>
    </row>
    <row r="892" spans="1:9" ht="12.75" customHeight="1">
      <c r="A892" s="1549"/>
      <c r="B892" s="1549"/>
      <c r="C892" s="1579"/>
      <c r="D892" s="1943" t="s">
        <v>2031</v>
      </c>
      <c r="E892" s="1943"/>
      <c r="F892" s="1943"/>
      <c r="G892" s="1572"/>
    </row>
    <row r="893" spans="1:9" ht="12.75" customHeight="1">
      <c r="A893" s="1589"/>
      <c r="B893" s="1589"/>
      <c r="C893" s="1573"/>
      <c r="D893" s="5"/>
      <c r="E893" s="1571"/>
      <c r="F893" s="1571"/>
      <c r="G893" s="1572"/>
    </row>
    <row r="894" spans="1:9" ht="12.75" customHeight="1">
      <c r="A894" s="703"/>
      <c r="B894" s="787" t="s">
        <v>2796</v>
      </c>
      <c r="C894" s="547"/>
      <c r="D894" s="1917" t="s">
        <v>2035</v>
      </c>
      <c r="E894" s="1917"/>
      <c r="F894" s="1917"/>
      <c r="G894" s="667"/>
      <c r="I894" s="1607" t="s">
        <v>2180</v>
      </c>
    </row>
    <row r="895" spans="1:9" ht="12.75" customHeight="1">
      <c r="A895" s="1575"/>
      <c r="B895" s="1575"/>
      <c r="C895" s="547"/>
      <c r="D895" s="1917"/>
      <c r="E895" s="1917"/>
      <c r="F895" s="1917"/>
      <c r="G895" s="667"/>
    </row>
    <row r="896" spans="1:9" s="1605" customFormat="1" ht="12.75" customHeight="1">
      <c r="A896" s="1674"/>
      <c r="B896" s="1674"/>
      <c r="C896" s="1579"/>
      <c r="D896" s="1917" t="s">
        <v>2034</v>
      </c>
      <c r="E896" s="1917"/>
      <c r="F896" s="1917"/>
      <c r="G896" s="1572"/>
      <c r="I896" s="1607"/>
    </row>
    <row r="897" spans="1:9" s="1605" customFormat="1" ht="12.75" customHeight="1">
      <c r="A897" s="1674"/>
      <c r="B897" s="1674"/>
      <c r="C897" s="1579"/>
      <c r="D897" s="1917"/>
      <c r="E897" s="1917"/>
      <c r="F897" s="1917"/>
      <c r="G897" s="1572"/>
      <c r="I897" s="1607"/>
    </row>
    <row r="898" spans="1:9" ht="12.75" customHeight="1">
      <c r="A898" s="1549"/>
      <c r="B898" s="1549"/>
      <c r="C898" s="1579"/>
      <c r="D898" s="6"/>
      <c r="E898" s="6"/>
      <c r="F898" s="1571"/>
      <c r="G898" s="1572"/>
    </row>
    <row r="899" spans="1:9" ht="12.75" customHeight="1">
      <c r="A899" s="398"/>
      <c r="B899" s="787" t="s">
        <v>2796</v>
      </c>
      <c r="C899" s="479"/>
      <c r="D899" s="2054" t="s">
        <v>2032</v>
      </c>
      <c r="E899" s="2054"/>
      <c r="F899" s="2054"/>
      <c r="G899" s="1572"/>
      <c r="I899" s="1607" t="s">
        <v>2179</v>
      </c>
    </row>
    <row r="900" spans="1:9" ht="12.75" customHeight="1">
      <c r="A900" s="398"/>
      <c r="B900" s="398"/>
      <c r="C900" s="479"/>
      <c r="D900" s="2054"/>
      <c r="E900" s="2054"/>
      <c r="F900" s="2054"/>
      <c r="G900" s="1572"/>
    </row>
    <row r="901" spans="1:9" ht="12.75" customHeight="1">
      <c r="A901" s="398"/>
      <c r="B901" s="398"/>
      <c r="C901" s="479"/>
      <c r="D901" s="2054"/>
      <c r="E901" s="2054"/>
      <c r="F901" s="2054"/>
      <c r="G901" s="1572"/>
    </row>
    <row r="902" spans="1:9" s="1605" customFormat="1" ht="12.75" customHeight="1">
      <c r="A902" s="398"/>
      <c r="B902" s="398"/>
      <c r="C902" s="479"/>
      <c r="D902" s="2054"/>
      <c r="E902" s="2054"/>
      <c r="F902" s="2054"/>
      <c r="G902" s="1572"/>
      <c r="I902" s="1607"/>
    </row>
    <row r="903" spans="1:9" ht="12.75" customHeight="1">
      <c r="A903" s="398"/>
      <c r="B903" s="398"/>
      <c r="C903" s="479"/>
      <c r="D903" s="2054"/>
      <c r="E903" s="2054"/>
      <c r="F903" s="2054"/>
      <c r="G903" s="1572"/>
    </row>
    <row r="904" spans="1:9" ht="12.75" customHeight="1">
      <c r="A904" s="480"/>
      <c r="B904" s="480"/>
      <c r="C904" s="479"/>
      <c r="D904" s="2054"/>
      <c r="E904" s="2054"/>
      <c r="F904" s="2054"/>
      <c r="G904" s="1572"/>
    </row>
    <row r="905" spans="1:9" ht="12.75" customHeight="1">
      <c r="A905" s="480"/>
      <c r="B905" s="480"/>
      <c r="C905" s="479"/>
      <c r="D905" s="2054"/>
      <c r="E905" s="2054"/>
      <c r="F905" s="2054"/>
      <c r="G905" s="1572"/>
    </row>
    <row r="906" spans="1:9" ht="12.75" customHeight="1">
      <c r="A906" s="480"/>
      <c r="B906" s="480"/>
      <c r="C906" s="479"/>
      <c r="D906" s="2054"/>
      <c r="E906" s="2054"/>
      <c r="F906" s="2054"/>
      <c r="G906" s="1572"/>
    </row>
    <row r="907" spans="1:9" s="1605" customFormat="1" ht="12.75" customHeight="1">
      <c r="A907" s="480"/>
      <c r="B907" s="480"/>
      <c r="C907" s="479"/>
      <c r="D907" s="1675"/>
      <c r="E907" s="1675"/>
      <c r="F907" s="1675"/>
      <c r="G907" s="1572"/>
      <c r="I907" s="1607"/>
    </row>
    <row r="908" spans="1:9" ht="12.75" customHeight="1">
      <c r="A908" s="1589"/>
      <c r="B908" s="787" t="s">
        <v>2783</v>
      </c>
      <c r="C908" s="1573"/>
      <c r="D908" s="1917" t="s">
        <v>2036</v>
      </c>
      <c r="E908" s="1917"/>
      <c r="F908" s="1917"/>
      <c r="G908" s="1572"/>
    </row>
    <row r="909" spans="1:9" ht="12.75" customHeight="1">
      <c r="A909" s="1589"/>
      <c r="B909" s="1589"/>
      <c r="C909" s="1573"/>
      <c r="D909" s="1917"/>
      <c r="E909" s="1917"/>
      <c r="F909" s="1917"/>
      <c r="G909" s="1572"/>
    </row>
    <row r="910" spans="1:9" ht="12.75" customHeight="1">
      <c r="A910" s="1589"/>
      <c r="B910" s="1589"/>
      <c r="C910" s="1573"/>
      <c r="D910" s="1571"/>
      <c r="E910" s="1571"/>
      <c r="F910" s="1571"/>
      <c r="G910" s="1572"/>
    </row>
    <row r="911" spans="1:9" ht="12.75" customHeight="1">
      <c r="A911" s="1589"/>
      <c r="B911" s="787" t="s">
        <v>2783</v>
      </c>
      <c r="C911" s="1573"/>
      <c r="D911" s="1976" t="s">
        <v>2037</v>
      </c>
      <c r="E911" s="1976"/>
      <c r="F911" s="1976"/>
      <c r="G911" s="1572"/>
    </row>
    <row r="912" spans="1:9" ht="12.75" customHeight="1">
      <c r="A912" s="1589"/>
      <c r="B912" s="1589"/>
      <c r="C912" s="1573"/>
      <c r="D912" s="1976"/>
      <c r="E912" s="1976"/>
      <c r="F912" s="1976"/>
      <c r="G912" s="1572"/>
    </row>
    <row r="913" spans="1:9" ht="12.75" customHeight="1">
      <c r="A913" s="1589"/>
      <c r="B913" s="1589"/>
      <c r="C913" s="1573"/>
      <c r="D913" s="1976"/>
      <c r="E913" s="1976"/>
      <c r="F913" s="1976"/>
      <c r="G913" s="1572"/>
    </row>
    <row r="914" spans="1:9" ht="12.75" customHeight="1">
      <c r="A914" s="1589"/>
      <c r="B914" s="1589"/>
      <c r="C914" s="1573"/>
      <c r="D914" s="1976"/>
      <c r="E914" s="1976"/>
      <c r="F914" s="1976"/>
      <c r="G914" s="1572"/>
    </row>
    <row r="915" spans="1:9" ht="12.75" customHeight="1">
      <c r="A915" s="1589"/>
      <c r="B915" s="1589"/>
      <c r="C915" s="1573"/>
      <c r="D915" s="1543"/>
      <c r="E915" s="1571"/>
      <c r="F915" s="1571"/>
      <c r="G915" s="1572"/>
    </row>
    <row r="916" spans="1:9" ht="12.75" customHeight="1">
      <c r="A916" s="1589"/>
      <c r="B916" s="787" t="s">
        <v>2783</v>
      </c>
      <c r="C916" s="1573"/>
      <c r="D916" s="1943" t="s">
        <v>2460</v>
      </c>
      <c r="E916" s="1943"/>
      <c r="F916" s="1943"/>
      <c r="G916" s="1572"/>
    </row>
    <row r="917" spans="1:9" ht="12.75" customHeight="1">
      <c r="A917" s="1589"/>
      <c r="B917" s="1589"/>
      <c r="C917" s="1573"/>
      <c r="D917" s="1543"/>
      <c r="E917" s="1571"/>
      <c r="F917" s="1571"/>
      <c r="G917" s="1572"/>
    </row>
    <row r="918" spans="1:9" ht="12.75" customHeight="1">
      <c r="A918" s="1589"/>
      <c r="B918" s="787" t="s">
        <v>2783</v>
      </c>
      <c r="C918" s="1573"/>
      <c r="D918" s="1943" t="s">
        <v>2461</v>
      </c>
      <c r="E918" s="1943"/>
      <c r="F918" s="1943"/>
      <c r="G918" s="1572"/>
    </row>
    <row r="919" spans="1:9" ht="12.75" customHeight="1">
      <c r="A919" s="480"/>
      <c r="B919" s="480"/>
      <c r="C919" s="479"/>
      <c r="D919" s="183"/>
      <c r="E919" s="667"/>
      <c r="F919" s="1572"/>
      <c r="G919" s="1572"/>
    </row>
    <row r="920" spans="1:9" ht="12.75" customHeight="1">
      <c r="A920" s="1585"/>
      <c r="B920" s="787" t="s">
        <v>2783</v>
      </c>
      <c r="C920" s="1586"/>
      <c r="D920" s="2054" t="s">
        <v>2033</v>
      </c>
      <c r="E920" s="2054"/>
      <c r="F920" s="2054"/>
      <c r="G920" s="1587"/>
      <c r="I920" s="1607" t="s">
        <v>2229</v>
      </c>
    </row>
    <row r="921" spans="1:9" ht="12.75" customHeight="1">
      <c r="A921" s="1585"/>
      <c r="B921" s="1585"/>
      <c r="C921" s="1586"/>
      <c r="D921" s="2054"/>
      <c r="E921" s="2054"/>
      <c r="F921" s="2054"/>
      <c r="G921" s="1587"/>
    </row>
    <row r="922" spans="1:9" ht="12.75" customHeight="1">
      <c r="A922" s="1585"/>
      <c r="B922" s="1585"/>
      <c r="C922" s="1586"/>
      <c r="D922" s="2054"/>
      <c r="E922" s="2054"/>
      <c r="F922" s="2054"/>
      <c r="G922" s="1587"/>
    </row>
    <row r="923" spans="1:9" ht="12.75" customHeight="1">
      <c r="A923" s="1585"/>
      <c r="B923" s="1585"/>
      <c r="C923" s="1586"/>
      <c r="D923" s="2054"/>
      <c r="E923" s="2054"/>
      <c r="F923" s="2054"/>
      <c r="G923" s="1587"/>
    </row>
    <row r="924" spans="1:9" ht="12.75" customHeight="1">
      <c r="A924" s="1585"/>
      <c r="B924" s="1585"/>
      <c r="C924" s="1586"/>
      <c r="D924" s="2054"/>
      <c r="E924" s="2054"/>
      <c r="F924" s="2054"/>
      <c r="G924" s="1587"/>
    </row>
    <row r="925" spans="1:9" ht="12.75" customHeight="1">
      <c r="A925" s="1585"/>
      <c r="B925" s="1585"/>
      <c r="C925" s="1586"/>
      <c r="D925" s="2054"/>
      <c r="E925" s="2054"/>
      <c r="F925" s="2054"/>
      <c r="G925" s="1587"/>
    </row>
    <row r="926" spans="1:9" ht="12.75" customHeight="1">
      <c r="A926" s="1585"/>
      <c r="B926" s="1585"/>
      <c r="C926" s="1586"/>
      <c r="D926" s="2054"/>
      <c r="E926" s="2054"/>
      <c r="F926" s="2054"/>
      <c r="G926" s="1587"/>
    </row>
    <row r="927" spans="1:9" ht="12.75" customHeight="1">
      <c r="A927" s="1585"/>
      <c r="B927" s="1585"/>
      <c r="C927" s="1586"/>
      <c r="D927" s="2054"/>
      <c r="E927" s="2054"/>
      <c r="F927" s="2054"/>
      <c r="G927" s="1587"/>
    </row>
    <row r="928" spans="1:9" ht="12.75" customHeight="1">
      <c r="A928" s="1585"/>
      <c r="B928" s="1585"/>
      <c r="C928" s="1586"/>
      <c r="D928" s="2054"/>
      <c r="E928" s="2054"/>
      <c r="F928" s="2054"/>
      <c r="G928" s="1587"/>
    </row>
    <row r="929" spans="1:9" ht="12.75" customHeight="1">
      <c r="A929" s="480"/>
      <c r="B929" s="480"/>
      <c r="C929" s="479"/>
      <c r="D929" s="183"/>
      <c r="E929" s="667"/>
      <c r="F929" s="1572"/>
      <c r="G929" s="1572"/>
    </row>
    <row r="930" spans="1:9" ht="12.75" customHeight="1">
      <c r="A930" s="398"/>
      <c r="B930" s="787" t="s">
        <v>2796</v>
      </c>
      <c r="C930" s="479"/>
      <c r="D930" s="2055" t="s">
        <v>2231</v>
      </c>
      <c r="E930" s="2055"/>
      <c r="F930" s="2055"/>
      <c r="G930" s="1572"/>
      <c r="I930" s="1607" t="s">
        <v>2229</v>
      </c>
    </row>
    <row r="931" spans="1:9" ht="12.75" customHeight="1">
      <c r="A931" s="398"/>
      <c r="B931" s="398"/>
      <c r="C931" s="479"/>
      <c r="D931" s="2055"/>
      <c r="E931" s="2055"/>
      <c r="F931" s="2055"/>
      <c r="G931" s="1572"/>
    </row>
    <row r="932" spans="1:9" ht="12.75" customHeight="1">
      <c r="A932" s="398"/>
      <c r="B932" s="398"/>
      <c r="C932" s="479"/>
      <c r="D932" s="2055"/>
      <c r="E932" s="2055"/>
      <c r="F932" s="2055"/>
      <c r="G932" s="1572"/>
    </row>
    <row r="933" spans="1:9" ht="12.75" customHeight="1">
      <c r="A933" s="398"/>
      <c r="B933" s="398"/>
      <c r="C933" s="479"/>
      <c r="D933" s="2055"/>
      <c r="E933" s="2055"/>
      <c r="F933" s="2055"/>
      <c r="G933" s="1572"/>
    </row>
    <row r="934" spans="1:9" ht="12.75" customHeight="1">
      <c r="A934" s="398"/>
      <c r="B934" s="398"/>
      <c r="C934" s="479"/>
      <c r="D934" s="2055"/>
      <c r="E934" s="2055"/>
      <c r="F934" s="2055"/>
      <c r="G934" s="1572"/>
    </row>
    <row r="935" spans="1:9" ht="12.75" customHeight="1">
      <c r="A935" s="398"/>
      <c r="B935" s="398"/>
      <c r="C935" s="479"/>
      <c r="D935" s="2055"/>
      <c r="E935" s="2055"/>
      <c r="F935" s="2055"/>
      <c r="G935" s="1572"/>
    </row>
    <row r="936" spans="1:9" ht="12.75" customHeight="1">
      <c r="A936" s="398"/>
      <c r="B936" s="398"/>
      <c r="C936" s="479"/>
      <c r="D936" s="2055"/>
      <c r="E936" s="2055"/>
      <c r="F936" s="2055"/>
      <c r="G936" s="1572"/>
    </row>
    <row r="937" spans="1:9" s="1605" customFormat="1" ht="12.75" customHeight="1">
      <c r="A937" s="398"/>
      <c r="B937" s="398"/>
      <c r="C937" s="479"/>
      <c r="D937" s="1676"/>
      <c r="E937" s="1676"/>
      <c r="F937" s="1676"/>
      <c r="G937" s="1572"/>
      <c r="I937" s="1607"/>
    </row>
    <row r="938" spans="1:9" s="1605" customFormat="1" ht="12.75" customHeight="1">
      <c r="A938" s="398"/>
      <c r="B938" s="1608" t="s">
        <v>2796</v>
      </c>
      <c r="C938" s="479"/>
      <c r="D938" s="1978" t="s">
        <v>2555</v>
      </c>
      <c r="E938" s="1978"/>
      <c r="F938" s="1978"/>
      <c r="G938" s="1572"/>
      <c r="I938" s="1607"/>
    </row>
    <row r="939" spans="1:9" s="1605" customFormat="1" ht="12.75" customHeight="1">
      <c r="A939" s="398"/>
      <c r="B939" s="398"/>
      <c r="C939" s="479"/>
      <c r="D939" s="1978"/>
      <c r="E939" s="1978"/>
      <c r="F939" s="1978"/>
      <c r="G939" s="1572"/>
      <c r="I939" s="1607"/>
    </row>
    <row r="940" spans="1:9" s="1605" customFormat="1" ht="12.75" customHeight="1">
      <c r="A940" s="398"/>
      <c r="B940" s="398"/>
      <c r="C940" s="479"/>
      <c r="D940" s="1978"/>
      <c r="E940" s="1978"/>
      <c r="F940" s="1978"/>
      <c r="G940" s="1572"/>
      <c r="I940" s="1607"/>
    </row>
    <row r="941" spans="1:9" s="1605" customFormat="1" ht="12.75" customHeight="1">
      <c r="A941" s="398"/>
      <c r="B941" s="398"/>
      <c r="C941" s="479"/>
      <c r="D941" s="1978"/>
      <c r="E941" s="1978"/>
      <c r="F941" s="1978"/>
      <c r="G941" s="1572"/>
      <c r="I941" s="1607"/>
    </row>
    <row r="942" spans="1:9" s="1605" customFormat="1" ht="12.75" customHeight="1">
      <c r="A942" s="398"/>
      <c r="B942" s="398"/>
      <c r="C942" s="479"/>
      <c r="D942" s="1978"/>
      <c r="E942" s="1978"/>
      <c r="F942" s="1978"/>
      <c r="G942" s="1572"/>
      <c r="I942" s="1607"/>
    </row>
    <row r="943" spans="1:9" s="1605" customFormat="1" ht="12.75" customHeight="1">
      <c r="A943" s="398"/>
      <c r="B943" s="398"/>
      <c r="C943" s="479"/>
      <c r="D943" s="1978"/>
      <c r="E943" s="1978"/>
      <c r="F943" s="1978"/>
      <c r="G943" s="1572"/>
      <c r="I943" s="1607"/>
    </row>
    <row r="944" spans="1:9" s="1605" customFormat="1" ht="12.75" customHeight="1">
      <c r="A944" s="398"/>
      <c r="B944" s="398"/>
      <c r="C944" s="479"/>
      <c r="D944" s="1676"/>
      <c r="E944" s="1676"/>
      <c r="F944" s="1676"/>
      <c r="G944" s="1572"/>
      <c r="I944" s="1607"/>
    </row>
    <row r="945" spans="1:9" ht="12.75" customHeight="1">
      <c r="A945" s="1589"/>
      <c r="B945" s="787" t="s">
        <v>2783</v>
      </c>
      <c r="C945" s="1573"/>
      <c r="D945" s="2069" t="s">
        <v>2038</v>
      </c>
      <c r="E945" s="2069"/>
      <c r="F945" s="2069"/>
      <c r="G945" s="1572"/>
    </row>
    <row r="946" spans="1:9" ht="12.75" customHeight="1">
      <c r="A946" s="1589"/>
      <c r="B946" s="1589"/>
      <c r="C946" s="1573"/>
      <c r="D946" s="2069"/>
      <c r="E946" s="2069"/>
      <c r="F946" s="2069"/>
      <c r="G946" s="1572"/>
    </row>
    <row r="947" spans="1:9" ht="12.75" customHeight="1">
      <c r="A947" s="1589"/>
      <c r="B947" s="1589"/>
      <c r="C947" s="1573"/>
      <c r="D947" s="2069"/>
      <c r="E947" s="2069"/>
      <c r="F947" s="2069"/>
      <c r="G947" s="1572"/>
    </row>
    <row r="948" spans="1:9" s="1605" customFormat="1" ht="12.75" customHeight="1">
      <c r="A948" s="398"/>
      <c r="B948" s="398"/>
      <c r="C948" s="479"/>
      <c r="D948" s="1676"/>
      <c r="E948" s="1676"/>
      <c r="F948" s="1676"/>
      <c r="G948" s="1572"/>
      <c r="I948" s="1607"/>
    </row>
    <row r="949" spans="1:9" ht="12.75" customHeight="1">
      <c r="A949" s="398"/>
      <c r="B949" s="398"/>
      <c r="C949" s="479"/>
      <c r="D949" s="1588"/>
      <c r="E949" s="667"/>
      <c r="F949" s="1572"/>
      <c r="G949" s="1572"/>
    </row>
    <row r="950" spans="1:9" ht="12.75" customHeight="1">
      <c r="A950" s="398"/>
      <c r="B950" s="787" t="s">
        <v>2796</v>
      </c>
      <c r="C950" s="479"/>
      <c r="D950" s="2054" t="s">
        <v>2230</v>
      </c>
      <c r="E950" s="2054"/>
      <c r="F950" s="2054"/>
      <c r="G950" s="1572"/>
      <c r="I950" s="1607" t="s">
        <v>2229</v>
      </c>
    </row>
    <row r="951" spans="1:9" ht="12.75" customHeight="1">
      <c r="A951" s="398"/>
      <c r="B951" s="398"/>
      <c r="C951" s="479"/>
      <c r="D951" s="2054"/>
      <c r="E951" s="2054"/>
      <c r="F951" s="2054"/>
      <c r="G951" s="1572"/>
    </row>
    <row r="952" spans="1:9" ht="12.75" customHeight="1">
      <c r="A952" s="398"/>
      <c r="B952" s="398"/>
      <c r="C952" s="479"/>
      <c r="D952" s="2054"/>
      <c r="E952" s="2054"/>
      <c r="F952" s="2054"/>
      <c r="G952" s="1572"/>
    </row>
    <row r="953" spans="1:9" ht="12.75" customHeight="1">
      <c r="A953" s="398"/>
      <c r="B953" s="398"/>
      <c r="C953" s="479"/>
      <c r="D953" s="2054"/>
      <c r="E953" s="2054"/>
      <c r="F953" s="2054"/>
      <c r="G953" s="1572"/>
    </row>
    <row r="954" spans="1:9" ht="12.75" customHeight="1">
      <c r="A954" s="1591"/>
      <c r="B954" s="1591"/>
      <c r="C954" s="1577"/>
      <c r="D954" s="1540"/>
      <c r="E954" s="1540"/>
      <c r="F954" s="1540"/>
      <c r="G954" s="1540"/>
    </row>
    <row r="955" spans="1:9" ht="12.75" customHeight="1">
      <c r="A955" s="1575"/>
      <c r="B955" s="1575"/>
      <c r="C955" s="547"/>
      <c r="D955" s="1942" t="s">
        <v>2039</v>
      </c>
      <c r="E955" s="1942"/>
      <c r="F955" s="1942"/>
      <c r="G955" s="667"/>
    </row>
    <row r="956" spans="1:9" ht="12.75" customHeight="1">
      <c r="A956" s="703"/>
      <c r="B956" s="787" t="s">
        <v>2783</v>
      </c>
      <c r="C956" s="547"/>
      <c r="D956" s="1943" t="s">
        <v>2063</v>
      </c>
      <c r="E956" s="1943"/>
      <c r="F956" s="1943"/>
      <c r="G956" s="667"/>
      <c r="I956" s="1607" t="s">
        <v>2229</v>
      </c>
    </row>
    <row r="957" spans="1:9" ht="12.75" customHeight="1">
      <c r="A957" s="1575"/>
      <c r="B957" s="1575"/>
      <c r="C957" s="547"/>
      <c r="D957" s="6"/>
      <c r="E957" s="6"/>
      <c r="F957" s="6"/>
      <c r="G957" s="667"/>
    </row>
    <row r="958" spans="1:9" ht="12.75" customHeight="1">
      <c r="A958" s="1575"/>
      <c r="B958" s="1575"/>
      <c r="C958" s="547"/>
      <c r="D958" s="1942" t="s">
        <v>2040</v>
      </c>
      <c r="E958" s="1942"/>
      <c r="F958" s="1942"/>
      <c r="G958" s="666"/>
    </row>
    <row r="959" spans="1:9" ht="12.75" customHeight="1">
      <c r="A959" s="703"/>
      <c r="B959" s="787" t="s">
        <v>2796</v>
      </c>
      <c r="C959" s="547"/>
      <c r="D959" s="1917" t="s">
        <v>2462</v>
      </c>
      <c r="E959" s="1917"/>
      <c r="F959" s="1917"/>
      <c r="G959" s="666"/>
      <c r="I959" s="1607" t="s">
        <v>2229</v>
      </c>
    </row>
    <row r="960" spans="1:9" ht="12.75" customHeight="1">
      <c r="A960" s="703"/>
      <c r="B960" s="703"/>
      <c r="C960" s="547"/>
      <c r="D960" s="1917"/>
      <c r="E960" s="1917"/>
      <c r="F960" s="1917"/>
      <c r="G960" s="666"/>
    </row>
    <row r="961" spans="1:9" ht="12.75" customHeight="1">
      <c r="A961" s="703"/>
      <c r="B961" s="703"/>
      <c r="C961" s="547"/>
      <c r="D961" s="1917"/>
      <c r="E961" s="1917"/>
      <c r="F961" s="1917"/>
      <c r="G961" s="666"/>
    </row>
    <row r="962" spans="1:9" ht="12.75" customHeight="1">
      <c r="A962" s="703"/>
      <c r="B962" s="703"/>
      <c r="C962" s="547"/>
      <c r="D962" s="1917"/>
      <c r="E962" s="1917"/>
      <c r="F962" s="1917"/>
      <c r="G962" s="666"/>
    </row>
    <row r="963" spans="1:9" ht="12.75" customHeight="1">
      <c r="A963" s="703"/>
      <c r="B963" s="703"/>
      <c r="C963" s="547"/>
      <c r="D963" s="1917"/>
      <c r="E963" s="1917"/>
      <c r="F963" s="1917"/>
      <c r="G963" s="666"/>
    </row>
    <row r="964" spans="1:9" ht="12.75" customHeight="1">
      <c r="A964" s="703"/>
      <c r="B964" s="703"/>
      <c r="C964" s="547"/>
      <c r="D964" s="1917"/>
      <c r="E964" s="1917"/>
      <c r="F964" s="1917"/>
      <c r="G964" s="666"/>
    </row>
    <row r="965" spans="1:9" ht="12.75" customHeight="1">
      <c r="A965" s="703"/>
      <c r="B965" s="703"/>
      <c r="C965" s="547"/>
      <c r="D965" s="1917"/>
      <c r="E965" s="1917"/>
      <c r="F965" s="1917"/>
      <c r="G965" s="666"/>
    </row>
    <row r="966" spans="1:9" ht="12.75" customHeight="1">
      <c r="A966" s="703"/>
      <c r="B966" s="703"/>
      <c r="C966" s="547"/>
      <c r="D966" s="1917"/>
      <c r="E966" s="1917"/>
      <c r="F966" s="1917"/>
      <c r="G966" s="666"/>
    </row>
    <row r="967" spans="1:9" ht="12.75" customHeight="1">
      <c r="A967" s="703"/>
      <c r="B967" s="703"/>
      <c r="C967" s="547"/>
      <c r="D967" s="1917"/>
      <c r="E967" s="1917"/>
      <c r="F967" s="1917"/>
      <c r="G967" s="666"/>
    </row>
    <row r="968" spans="1:9" ht="12.75" customHeight="1">
      <c r="A968" s="703"/>
      <c r="B968" s="703"/>
      <c r="C968" s="547"/>
      <c r="D968" s="1917"/>
      <c r="E968" s="1917"/>
      <c r="F968" s="1917"/>
      <c r="G968" s="666"/>
    </row>
    <row r="969" spans="1:9" ht="12.75" customHeight="1">
      <c r="A969" s="703"/>
      <c r="B969" s="703"/>
      <c r="C969" s="547"/>
      <c r="D969" s="1917"/>
      <c r="E969" s="1917"/>
      <c r="F969" s="1917"/>
      <c r="G969" s="666"/>
    </row>
    <row r="970" spans="1:9" ht="12.75" customHeight="1">
      <c r="A970" s="703"/>
      <c r="B970" s="703"/>
      <c r="C970" s="547"/>
      <c r="D970" s="1917"/>
      <c r="E970" s="1917"/>
      <c r="F970" s="1917"/>
      <c r="G970" s="666"/>
    </row>
    <row r="971" spans="1:9" s="1605" customFormat="1" ht="12.75" customHeight="1">
      <c r="A971" s="703"/>
      <c r="B971" s="703"/>
      <c r="C971" s="547"/>
      <c r="D971" s="1917"/>
      <c r="E971" s="1917"/>
      <c r="F971" s="1917"/>
      <c r="G971" s="666"/>
      <c r="I971" s="1607"/>
    </row>
    <row r="972" spans="1:9" ht="12.75" customHeight="1">
      <c r="A972" s="703"/>
      <c r="B972" s="703"/>
      <c r="C972" s="547"/>
      <c r="D972" s="1917"/>
      <c r="E972" s="1917"/>
      <c r="F972" s="1917"/>
      <c r="G972" s="666"/>
    </row>
    <row r="973" spans="1:9" ht="12.75" customHeight="1">
      <c r="A973" s="703"/>
      <c r="B973" s="703"/>
      <c r="C973" s="547"/>
      <c r="D973" s="1917"/>
      <c r="E973" s="1917"/>
      <c r="F973" s="1917"/>
      <c r="G973" s="667"/>
    </row>
    <row r="974" spans="1:9" ht="12.75" customHeight="1">
      <c r="A974" s="1575"/>
      <c r="B974" s="1575"/>
      <c r="C974" s="547"/>
      <c r="D974" s="6"/>
      <c r="E974" s="6"/>
      <c r="F974" s="6"/>
      <c r="G974" s="667"/>
    </row>
    <row r="975" spans="1:9" ht="12.75" customHeight="1">
      <c r="A975" s="1953" t="s">
        <v>2041</v>
      </c>
      <c r="B975" s="1953"/>
      <c r="C975" s="1953"/>
      <c r="D975" s="1953"/>
      <c r="E975" s="1953"/>
      <c r="F975" s="1953"/>
      <c r="G975" s="1953"/>
      <c r="H975" s="1681"/>
      <c r="I975" s="1682"/>
    </row>
    <row r="976" spans="1:9" ht="12.75" customHeight="1">
      <c r="A976" s="1544"/>
      <c r="B976" s="1544"/>
      <c r="C976" s="547"/>
      <c r="D976" s="6"/>
      <c r="E976" s="6"/>
      <c r="F976" s="6"/>
      <c r="G976" s="667"/>
    </row>
    <row r="977" spans="1:9" ht="12.75" customHeight="1">
      <c r="A977" s="1575"/>
      <c r="B977" s="1575"/>
      <c r="C977" s="1573"/>
      <c r="D977" s="1942" t="s">
        <v>2064</v>
      </c>
      <c r="E977" s="1942"/>
      <c r="F977" s="1942"/>
      <c r="G977" s="667"/>
    </row>
    <row r="978" spans="1:9" ht="12.75" customHeight="1">
      <c r="A978" s="1549"/>
      <c r="B978" s="1549"/>
      <c r="C978" s="1579"/>
      <c r="D978" s="1943" t="s">
        <v>2042</v>
      </c>
      <c r="E978" s="1943"/>
      <c r="F978" s="1943"/>
      <c r="G978" s="667"/>
    </row>
    <row r="979" spans="1:9" ht="12.75" customHeight="1">
      <c r="A979" s="1549"/>
      <c r="B979" s="1549"/>
      <c r="C979" s="1579"/>
      <c r="D979" s="6"/>
      <c r="E979" s="6"/>
      <c r="F979" s="1571"/>
      <c r="G979" s="666"/>
    </row>
    <row r="980" spans="1:9" ht="12.75" customHeight="1">
      <c r="A980" s="1575"/>
      <c r="B980" s="787" t="s">
        <v>2796</v>
      </c>
      <c r="C980" s="547"/>
      <c r="D980" s="2057" t="s">
        <v>2287</v>
      </c>
      <c r="E980" s="2057"/>
      <c r="F980" s="2057"/>
      <c r="G980" s="666"/>
      <c r="I980" s="1607" t="s">
        <v>2209</v>
      </c>
    </row>
    <row r="981" spans="1:9" ht="12.75" customHeight="1">
      <c r="A981" s="1575"/>
      <c r="B981" s="1575"/>
      <c r="C981" s="547"/>
      <c r="D981" s="2057"/>
      <c r="E981" s="2057"/>
      <c r="F981" s="2057"/>
      <c r="G981" s="666"/>
    </row>
    <row r="982" spans="1:9" ht="12.75" customHeight="1">
      <c r="A982" s="1575"/>
      <c r="B982" s="1575"/>
      <c r="C982" s="547"/>
      <c r="D982" s="1701"/>
      <c r="E982" s="1697" t="s">
        <v>2288</v>
      </c>
      <c r="F982" s="1701"/>
      <c r="G982" s="666"/>
    </row>
    <row r="983" spans="1:9" ht="12.75" customHeight="1">
      <c r="A983" s="1560"/>
      <c r="B983" s="1560"/>
      <c r="C983" s="548"/>
      <c r="D983" s="1925" t="s">
        <v>2286</v>
      </c>
      <c r="E983" s="1925"/>
      <c r="F983" s="1925"/>
      <c r="G983" s="666"/>
    </row>
    <row r="984" spans="1:9" ht="12.75" customHeight="1">
      <c r="A984" s="1560"/>
      <c r="B984" s="1560"/>
      <c r="C984" s="548"/>
      <c r="D984" s="1925"/>
      <c r="E984" s="1925"/>
      <c r="F984" s="1925"/>
      <c r="G984" s="666"/>
    </row>
    <row r="985" spans="1:9" ht="12.75" customHeight="1">
      <c r="A985" s="709"/>
      <c r="B985" s="709"/>
      <c r="C985" s="312"/>
      <c r="D985" s="1925"/>
      <c r="E985" s="1925"/>
      <c r="F985" s="1925"/>
      <c r="G985" s="666"/>
    </row>
    <row r="986" spans="1:9" ht="12.75" customHeight="1">
      <c r="A986" s="709"/>
      <c r="B986" s="709"/>
      <c r="C986" s="312"/>
      <c r="D986" s="1925"/>
      <c r="E986" s="1925"/>
      <c r="F986" s="1925"/>
      <c r="G986" s="666"/>
    </row>
    <row r="987" spans="1:9" ht="12.75" customHeight="1">
      <c r="A987" s="709"/>
      <c r="B987" s="709"/>
      <c r="C987" s="312"/>
      <c r="D987" s="1541"/>
      <c r="E987" s="1541"/>
      <c r="F987" s="1541"/>
      <c r="G987" s="666"/>
    </row>
    <row r="988" spans="1:9" ht="12.75" customHeight="1">
      <c r="A988" s="709"/>
      <c r="B988" s="787" t="s">
        <v>2783</v>
      </c>
      <c r="C988" s="312"/>
      <c r="D988" s="1920" t="s">
        <v>2043</v>
      </c>
      <c r="E988" s="1920"/>
      <c r="F988" s="1920"/>
      <c r="G988" s="666"/>
    </row>
    <row r="989" spans="1:9" ht="12.75" customHeight="1">
      <c r="A989" s="709"/>
      <c r="B989" s="709"/>
      <c r="C989" s="312"/>
      <c r="D989" s="1920"/>
      <c r="E989" s="1920"/>
      <c r="F989" s="1920"/>
      <c r="G989" s="666"/>
    </row>
    <row r="990" spans="1:9" ht="12.75" customHeight="1">
      <c r="A990" s="709"/>
      <c r="B990" s="709"/>
      <c r="C990" s="312"/>
      <c r="D990" s="1920"/>
      <c r="E990" s="1920"/>
      <c r="F990" s="1920"/>
      <c r="G990" s="666"/>
    </row>
    <row r="991" spans="1:9" ht="12.75" customHeight="1">
      <c r="A991" s="709"/>
      <c r="B991" s="709"/>
      <c r="C991" s="312"/>
      <c r="D991" s="1920"/>
      <c r="E991" s="1920"/>
      <c r="F991" s="1920"/>
      <c r="G991" s="666"/>
    </row>
    <row r="992" spans="1:9" ht="12.75" customHeight="1">
      <c r="A992" s="709"/>
      <c r="B992" s="709"/>
      <c r="C992" s="312"/>
      <c r="D992" s="1539"/>
      <c r="E992" s="1539"/>
      <c r="F992" s="1539"/>
      <c r="G992" s="666"/>
    </row>
    <row r="993" spans="1:7" ht="12.75" customHeight="1">
      <c r="A993" s="709"/>
      <c r="B993" s="787" t="s">
        <v>2783</v>
      </c>
      <c r="C993" s="312"/>
      <c r="D993" s="1920" t="s">
        <v>2044</v>
      </c>
      <c r="E993" s="1920"/>
      <c r="F993" s="1920"/>
      <c r="G993" s="666"/>
    </row>
    <row r="994" spans="1:7" ht="12.75" customHeight="1">
      <c r="A994" s="709"/>
      <c r="B994" s="709"/>
      <c r="C994" s="312"/>
      <c r="D994" s="1920"/>
      <c r="E994" s="1920"/>
      <c r="F994" s="1920"/>
      <c r="G994" s="666"/>
    </row>
    <row r="995" spans="1:7" ht="12.75" customHeight="1">
      <c r="A995" s="709"/>
      <c r="B995" s="709"/>
      <c r="C995" s="312"/>
      <c r="D995" s="1539"/>
      <c r="E995" s="1539"/>
      <c r="F995" s="1539"/>
      <c r="G995" s="666"/>
    </row>
    <row r="996" spans="1:7" ht="12.75" customHeight="1">
      <c r="A996" s="703"/>
      <c r="B996" s="787" t="s">
        <v>2796</v>
      </c>
      <c r="C996" s="547"/>
      <c r="D996" s="1943" t="s">
        <v>2045</v>
      </c>
      <c r="E996" s="1943"/>
      <c r="F996" s="1943"/>
      <c r="G996" s="666"/>
    </row>
    <row r="997" spans="1:7" ht="12.75" customHeight="1">
      <c r="A997" s="1575"/>
      <c r="B997" s="1575"/>
      <c r="C997" s="547"/>
      <c r="D997" s="6"/>
      <c r="E997" s="6"/>
      <c r="F997" s="6"/>
      <c r="G997" s="666"/>
    </row>
    <row r="998" spans="1:7" ht="12.75" customHeight="1">
      <c r="A998" s="703"/>
      <c r="B998" s="787" t="s">
        <v>2796</v>
      </c>
      <c r="C998" s="547"/>
      <c r="D998" s="1943" t="s">
        <v>2046</v>
      </c>
      <c r="E998" s="1943"/>
      <c r="F998" s="1943"/>
      <c r="G998" s="666"/>
    </row>
    <row r="999" spans="1:7" ht="12.75" customHeight="1">
      <c r="A999" s="1575"/>
      <c r="B999" s="1575"/>
      <c r="C999" s="547"/>
      <c r="D999" s="1543"/>
      <c r="E999" s="6"/>
      <c r="F999" s="6"/>
      <c r="G999" s="666"/>
    </row>
    <row r="1000" spans="1:7" ht="12.75" customHeight="1">
      <c r="A1000" s="703"/>
      <c r="B1000" s="787" t="s">
        <v>2796</v>
      </c>
      <c r="C1000" s="547"/>
      <c r="D1000" s="1943" t="s">
        <v>2047</v>
      </c>
      <c r="E1000" s="1943"/>
      <c r="F1000" s="1943"/>
      <c r="G1000" s="666"/>
    </row>
    <row r="1001" spans="1:7" ht="12.75" customHeight="1">
      <c r="A1001" s="1575"/>
      <c r="B1001" s="1575"/>
      <c r="C1001" s="547"/>
      <c r="D1001" s="1543"/>
      <c r="E1001" s="6"/>
      <c r="F1001" s="6"/>
      <c r="G1001" s="666"/>
    </row>
    <row r="1002" spans="1:7" ht="12.75" customHeight="1">
      <c r="A1002" s="703"/>
      <c r="B1002" s="787" t="s">
        <v>2796</v>
      </c>
      <c r="C1002" s="547"/>
      <c r="D1002" s="1917" t="s">
        <v>2048</v>
      </c>
      <c r="E1002" s="1917"/>
      <c r="F1002" s="1917"/>
      <c r="G1002" s="666"/>
    </row>
    <row r="1003" spans="1:7" ht="12.75" customHeight="1">
      <c r="A1003" s="703"/>
      <c r="B1003" s="703"/>
      <c r="C1003" s="547"/>
      <c r="D1003" s="1917"/>
      <c r="E1003" s="1917"/>
      <c r="F1003" s="1917"/>
      <c r="G1003" s="666"/>
    </row>
    <row r="1004" spans="1:7" ht="12.75" customHeight="1">
      <c r="A1004" s="703"/>
      <c r="B1004" s="703"/>
      <c r="C1004" s="547"/>
      <c r="D1004" s="1543"/>
      <c r="E1004" s="6"/>
      <c r="F1004" s="6"/>
      <c r="G1004" s="667"/>
    </row>
    <row r="1005" spans="1:7" ht="12.75" customHeight="1">
      <c r="A1005" s="402"/>
      <c r="B1005" s="787" t="s">
        <v>2783</v>
      </c>
      <c r="C1005" s="1592"/>
      <c r="D1005" s="1961" t="s">
        <v>2049</v>
      </c>
      <c r="E1005" s="1961"/>
      <c r="F1005" s="1961"/>
      <c r="G1005" s="1593"/>
    </row>
    <row r="1006" spans="1:7" ht="12.75" customHeight="1">
      <c r="A1006" s="1592"/>
      <c r="B1006" s="1592"/>
      <c r="C1006" s="1592"/>
      <c r="D1006" s="1961"/>
      <c r="E1006" s="1961"/>
      <c r="F1006" s="1961"/>
      <c r="G1006" s="1593"/>
    </row>
    <row r="1007" spans="1:7" ht="12.75" customHeight="1">
      <c r="A1007" s="1592"/>
      <c r="B1007" s="1592"/>
      <c r="C1007" s="1592"/>
      <c r="D1007" s="1594"/>
      <c r="E1007" s="1595"/>
      <c r="F1007" s="1595"/>
      <c r="G1007" s="1593"/>
    </row>
    <row r="1008" spans="1:7" ht="12.75" customHeight="1">
      <c r="A1008" s="402"/>
      <c r="B1008" s="787" t="s">
        <v>2783</v>
      </c>
      <c r="C1008" s="1592"/>
      <c r="D1008" s="2056" t="s">
        <v>2050</v>
      </c>
      <c r="E1008" s="2056"/>
      <c r="F1008" s="2056"/>
      <c r="G1008" s="1593"/>
    </row>
    <row r="1009" spans="1:9" ht="12.75" customHeight="1">
      <c r="A1009" s="1592"/>
      <c r="B1009" s="1592"/>
      <c r="C1009" s="1592"/>
      <c r="D1009" s="1594"/>
      <c r="E1009" s="1595"/>
      <c r="F1009" s="1595"/>
      <c r="G1009" s="1593"/>
    </row>
    <row r="1010" spans="1:9" ht="12.75" customHeight="1">
      <c r="A1010" s="703"/>
      <c r="B1010" s="787" t="s">
        <v>2796</v>
      </c>
      <c r="C1010" s="547"/>
      <c r="D1010" s="1943" t="s">
        <v>2051</v>
      </c>
      <c r="E1010" s="1943"/>
      <c r="F1010" s="1943"/>
      <c r="G1010" s="667"/>
    </row>
    <row r="1011" spans="1:9" ht="12.75" customHeight="1">
      <c r="A1011" s="703"/>
      <c r="B1011" s="703"/>
      <c r="C1011" s="547"/>
      <c r="D1011" s="1543"/>
      <c r="E1011" s="6"/>
      <c r="F1011" s="6"/>
      <c r="G1011" s="667"/>
    </row>
    <row r="1012" spans="1:9" ht="12.75" customHeight="1">
      <c r="A1012" s="703"/>
      <c r="B1012" s="787" t="s">
        <v>2796</v>
      </c>
      <c r="C1012" s="547"/>
      <c r="D1012" s="1917" t="s">
        <v>2052</v>
      </c>
      <c r="E1012" s="1917"/>
      <c r="F1012" s="1917"/>
      <c r="G1012" s="667"/>
    </row>
    <row r="1013" spans="1:9" ht="12.75" customHeight="1">
      <c r="A1013" s="703"/>
      <c r="B1013" s="703"/>
      <c r="C1013" s="547"/>
      <c r="D1013" s="1917"/>
      <c r="E1013" s="1917"/>
      <c r="F1013" s="1917"/>
      <c r="G1013" s="667"/>
    </row>
    <row r="1014" spans="1:9" ht="12.75" customHeight="1">
      <c r="A1014" s="1575"/>
      <c r="B1014" s="1575"/>
      <c r="C1014" s="547"/>
      <c r="D1014" s="6"/>
      <c r="E1014" s="6"/>
      <c r="F1014" s="6"/>
      <c r="G1014" s="667"/>
    </row>
    <row r="1015" spans="1:9" ht="12.75" customHeight="1">
      <c r="A1015" s="1953" t="s">
        <v>2053</v>
      </c>
      <c r="B1015" s="1953"/>
      <c r="C1015" s="1953"/>
      <c r="D1015" s="1953"/>
      <c r="E1015" s="1953"/>
      <c r="F1015" s="1953"/>
      <c r="G1015" s="1953"/>
      <c r="H1015" s="1681"/>
      <c r="I1015" s="1682"/>
    </row>
    <row r="1016" spans="1:9" ht="12.75" customHeight="1">
      <c r="A1016" s="1575"/>
      <c r="B1016" s="1575"/>
      <c r="C1016" s="547"/>
      <c r="D1016" s="6"/>
      <c r="E1016" s="6"/>
      <c r="F1016" s="6"/>
      <c r="G1016" s="667"/>
    </row>
    <row r="1017" spans="1:9" ht="12.75" customHeight="1">
      <c r="A1017" s="1560"/>
      <c r="B1017" s="1560"/>
      <c r="C1017" s="548"/>
      <c r="D1017" s="1962" t="s">
        <v>2054</v>
      </c>
      <c r="E1017" s="1962"/>
      <c r="F1017" s="1962"/>
      <c r="G1017" s="667"/>
    </row>
    <row r="1018" spans="1:9" ht="12.75" customHeight="1">
      <c r="A1018" s="1560"/>
      <c r="B1018" s="1560"/>
      <c r="C1018" s="548"/>
      <c r="D1018" s="2068" t="s">
        <v>2055</v>
      </c>
      <c r="E1018" s="2068"/>
      <c r="F1018" s="2068"/>
      <c r="G1018" s="667"/>
    </row>
    <row r="1019" spans="1:9" ht="12.75" customHeight="1">
      <c r="A1019" s="663"/>
      <c r="B1019" s="663"/>
      <c r="C1019" s="1550"/>
      <c r="D1019" s="667"/>
      <c r="E1019" s="667"/>
      <c r="F1019" s="667"/>
      <c r="G1019" s="667"/>
    </row>
    <row r="1020" spans="1:9" ht="12.75" customHeight="1">
      <c r="A1020" s="703"/>
      <c r="B1020" s="703"/>
      <c r="C1020" s="312"/>
      <c r="D1020" s="1962" t="s">
        <v>2069</v>
      </c>
      <c r="E1020" s="1962"/>
      <c r="F1020" s="1962"/>
      <c r="G1020" s="667"/>
      <c r="I1020" s="1607" t="s">
        <v>2181</v>
      </c>
    </row>
    <row r="1021" spans="1:9" ht="12.75" customHeight="1">
      <c r="A1021" s="1575"/>
      <c r="B1021" s="787" t="s">
        <v>2796</v>
      </c>
      <c r="C1021" s="547"/>
      <c r="D1021" s="2068" t="s">
        <v>1428</v>
      </c>
      <c r="E1021" s="2068"/>
      <c r="F1021" s="2068"/>
      <c r="G1021" s="667"/>
    </row>
    <row r="1022" spans="1:9" s="1605" customFormat="1" ht="12.75" customHeight="1">
      <c r="A1022" s="1575"/>
      <c r="B1022" s="703"/>
      <c r="C1022" s="547"/>
      <c r="D1022" s="2065" t="s">
        <v>2056</v>
      </c>
      <c r="E1022" s="2065"/>
      <c r="F1022" s="2065"/>
      <c r="G1022" s="667"/>
      <c r="I1022" s="1607"/>
    </row>
    <row r="1023" spans="1:9" ht="12.75" customHeight="1">
      <c r="A1023" s="1575"/>
      <c r="B1023" s="1575"/>
      <c r="C1023" s="547"/>
      <c r="D1023" s="2068"/>
      <c r="E1023" s="2068"/>
      <c r="F1023" s="2068"/>
      <c r="G1023" s="667"/>
    </row>
    <row r="1024" spans="1:9" ht="12.75" customHeight="1">
      <c r="A1024" s="2061" t="s">
        <v>2065</v>
      </c>
      <c r="B1024" s="2061"/>
      <c r="C1024" s="2061"/>
      <c r="D1024" s="2061"/>
      <c r="E1024" s="2061"/>
      <c r="F1024" s="2061"/>
      <c r="G1024" s="2061"/>
      <c r="H1024" s="1681"/>
      <c r="I1024" s="1682"/>
    </row>
    <row r="1025" spans="1:9" ht="12.75" customHeight="1">
      <c r="A1025" s="253"/>
      <c r="B1025" s="253"/>
      <c r="C1025" s="1567"/>
      <c r="D1025" s="675"/>
      <c r="E1025" s="675"/>
      <c r="F1025" s="675"/>
      <c r="G1025" s="675"/>
    </row>
    <row r="1026" spans="1:9" ht="12.75" customHeight="1">
      <c r="A1026" s="253"/>
      <c r="B1026" s="1602"/>
      <c r="C1026" s="1609"/>
      <c r="D1026" s="1956" t="s">
        <v>1429</v>
      </c>
      <c r="E1026" s="1956"/>
      <c r="F1026" s="1956"/>
      <c r="G1026" s="675"/>
    </row>
    <row r="1027" spans="1:9" ht="12.75" customHeight="1">
      <c r="A1027" s="253"/>
      <c r="B1027" s="1608" t="s">
        <v>2796</v>
      </c>
      <c r="C1027" s="1609"/>
      <c r="D1027" s="1935" t="s">
        <v>1428</v>
      </c>
      <c r="E1027" s="1935"/>
      <c r="F1027" s="1935"/>
      <c r="G1027" s="675"/>
    </row>
    <row r="1028" spans="1:9" ht="12.75" customHeight="1">
      <c r="A1028" s="253"/>
      <c r="B1028" s="1605"/>
      <c r="C1028" s="1609"/>
      <c r="D1028" s="1935" t="s">
        <v>2066</v>
      </c>
      <c r="E1028" s="1935"/>
      <c r="F1028" s="1935"/>
      <c r="G1028" s="675"/>
    </row>
    <row r="1029" spans="1:9" s="1605" customFormat="1" ht="12.75" customHeight="1">
      <c r="A1029" s="253"/>
      <c r="C1029" s="1609"/>
      <c r="D1029" s="1603"/>
      <c r="E1029" s="1603"/>
      <c r="F1029" s="1603"/>
      <c r="G1029" s="675"/>
      <c r="I1029" s="1607"/>
    </row>
    <row r="1030" spans="1:9" ht="12.75" customHeight="1">
      <c r="A1030" s="253"/>
      <c r="B1030" s="253"/>
      <c r="C1030" s="1567"/>
      <c r="D1030" s="2066" t="s">
        <v>1131</v>
      </c>
      <c r="E1030" s="2066"/>
      <c r="F1030" s="2066"/>
      <c r="G1030" s="675"/>
      <c r="I1030" s="1607" t="s">
        <v>2210</v>
      </c>
    </row>
    <row r="1031" spans="1:9" ht="12.75" customHeight="1">
      <c r="A1031" s="494"/>
      <c r="B1031" s="494"/>
      <c r="C1031" s="493"/>
      <c r="D1031" s="2067" t="s">
        <v>1148</v>
      </c>
      <c r="E1031" s="2067"/>
      <c r="F1031" s="2067"/>
      <c r="G1031" s="1596"/>
    </row>
    <row r="1032" spans="1:9" ht="12.75" customHeight="1">
      <c r="A1032" s="703"/>
      <c r="B1032" s="1608" t="s">
        <v>2783</v>
      </c>
      <c r="C1032" s="548"/>
      <c r="D1032" s="1947" t="s">
        <v>1025</v>
      </c>
      <c r="E1032" s="1947"/>
      <c r="F1032" s="1947"/>
      <c r="G1032" s="667"/>
    </row>
    <row r="1033" spans="1:9" ht="12.75" customHeight="1">
      <c r="A1033" s="1560"/>
      <c r="B1033" s="1560"/>
      <c r="C1033" s="548"/>
      <c r="D1033" s="1697" t="s">
        <v>2289</v>
      </c>
      <c r="E1033" s="1564"/>
      <c r="F1033" s="1564"/>
      <c r="G1033" s="667"/>
    </row>
    <row r="1034" spans="1:9">
      <c r="A1034" s="779"/>
      <c r="B1034" s="779"/>
      <c r="C1034" s="779"/>
      <c r="D1034" s="779"/>
      <c r="E1034" s="779"/>
      <c r="F1034" s="779"/>
      <c r="G1034" s="779"/>
    </row>
    <row r="1035" spans="1:9">
      <c r="A1035" s="2061" t="s">
        <v>2086</v>
      </c>
      <c r="B1035" s="2061"/>
      <c r="C1035" s="2061"/>
      <c r="D1035" s="2061"/>
      <c r="E1035" s="2061"/>
      <c r="F1035" s="2061"/>
      <c r="G1035" s="2061"/>
      <c r="H1035" s="1681"/>
      <c r="I1035" s="1682"/>
    </row>
    <row r="1036" spans="1:9">
      <c r="A1036" s="779"/>
      <c r="B1036" s="779"/>
      <c r="C1036" s="779"/>
      <c r="D1036" s="779"/>
      <c r="E1036" s="779"/>
      <c r="F1036" s="779"/>
      <c r="G1036" s="779"/>
    </row>
    <row r="1037" spans="1:9">
      <c r="A1037" s="779"/>
      <c r="B1037" s="779"/>
      <c r="C1037" s="779"/>
      <c r="D1037" s="1607" t="s">
        <v>2072</v>
      </c>
      <c r="E1037" s="779"/>
      <c r="F1037" s="779"/>
      <c r="G1037" s="779"/>
    </row>
    <row r="1038" spans="1:9" s="1605" customFormat="1">
      <c r="D1038" s="1604" t="s">
        <v>2071</v>
      </c>
      <c r="I1038" s="1607"/>
    </row>
    <row r="1039" spans="1:9" s="1605" customFormat="1">
      <c r="D1039" s="1607"/>
      <c r="I1039" s="1607"/>
    </row>
    <row r="1040" spans="1:9">
      <c r="A1040" s="779"/>
      <c r="B1040" s="1608" t="s">
        <v>2783</v>
      </c>
      <c r="C1040" s="779"/>
      <c r="D1040" s="2060" t="s">
        <v>2070</v>
      </c>
      <c r="E1040" s="2060"/>
      <c r="F1040" s="2060"/>
      <c r="G1040" s="779"/>
      <c r="I1040" s="1607" t="s">
        <v>2182</v>
      </c>
    </row>
    <row r="1041" spans="1:9">
      <c r="A1041" s="779"/>
      <c r="B1041" s="779"/>
      <c r="C1041" s="779"/>
      <c r="D1041" s="2060"/>
      <c r="E1041" s="2060"/>
      <c r="F1041" s="2060"/>
      <c r="G1041" s="779"/>
    </row>
    <row r="1042" spans="1:9">
      <c r="A1042" s="779"/>
      <c r="B1042" s="779"/>
      <c r="C1042" s="779"/>
      <c r="D1042" s="2060"/>
      <c r="E1042" s="2060"/>
      <c r="F1042" s="2060"/>
      <c r="G1042" s="779"/>
    </row>
    <row r="1043" spans="1:9">
      <c r="A1043" s="779"/>
      <c r="B1043" s="779"/>
      <c r="C1043" s="779"/>
      <c r="D1043" s="2060"/>
      <c r="E1043" s="2060"/>
      <c r="F1043" s="2060"/>
      <c r="G1043" s="779"/>
    </row>
    <row r="1044" spans="1:9">
      <c r="A1044" s="779"/>
      <c r="B1044" s="779"/>
      <c r="C1044" s="779"/>
      <c r="D1044" s="779"/>
      <c r="E1044" s="779"/>
      <c r="F1044" s="779"/>
      <c r="G1044" s="779"/>
    </row>
    <row r="1045" spans="1:9">
      <c r="A1045" s="779"/>
      <c r="B1045" s="1605"/>
      <c r="C1045" s="779"/>
      <c r="D1045" s="1607" t="s">
        <v>1484</v>
      </c>
      <c r="E1045" s="779"/>
      <c r="F1045" s="779"/>
      <c r="G1045" s="779"/>
    </row>
    <row r="1046" spans="1:9">
      <c r="A1046" s="779"/>
      <c r="B1046" s="779"/>
      <c r="C1046" s="779"/>
      <c r="D1046" s="1605" t="s">
        <v>2073</v>
      </c>
      <c r="E1046" s="779"/>
      <c r="F1046" s="779"/>
      <c r="G1046" s="779"/>
    </row>
    <row r="1047" spans="1:9">
      <c r="A1047" s="779"/>
      <c r="B1047" s="779"/>
      <c r="C1047" s="779"/>
      <c r="D1047" s="779"/>
      <c r="E1047" s="779"/>
      <c r="F1047" s="779"/>
      <c r="G1047" s="779"/>
    </row>
    <row r="1048" spans="1:9">
      <c r="A1048" s="779"/>
      <c r="B1048" s="1608" t="s">
        <v>2796</v>
      </c>
      <c r="C1048" s="779"/>
      <c r="D1048" s="1605" t="s">
        <v>2068</v>
      </c>
      <c r="E1048" s="779"/>
      <c r="F1048" s="779"/>
      <c r="G1048" s="779"/>
      <c r="I1048" s="1607" t="s">
        <v>2183</v>
      </c>
    </row>
    <row r="1049" spans="1:9">
      <c r="A1049" s="779"/>
      <c r="B1049" s="779"/>
      <c r="C1049" s="779"/>
      <c r="D1049" s="779"/>
      <c r="E1049" s="779"/>
      <c r="F1049" s="779"/>
      <c r="G1049" s="779"/>
    </row>
    <row r="1050" spans="1:9">
      <c r="A1050" s="779"/>
      <c r="B1050" s="1608" t="s">
        <v>2796</v>
      </c>
      <c r="C1050" s="779"/>
      <c r="D1050" s="2060" t="s">
        <v>2074</v>
      </c>
      <c r="E1050" s="2060"/>
      <c r="F1050" s="2060"/>
      <c r="G1050" s="779"/>
      <c r="I1050" s="1607" t="s">
        <v>2184</v>
      </c>
    </row>
    <row r="1051" spans="1:9">
      <c r="A1051" s="779"/>
      <c r="B1051" s="779"/>
      <c r="C1051" s="779"/>
      <c r="D1051" s="2060"/>
      <c r="E1051" s="2060"/>
      <c r="F1051" s="2060"/>
      <c r="G1051" s="779"/>
    </row>
    <row r="1052" spans="1:9">
      <c r="A1052" s="779"/>
      <c r="B1052" s="779"/>
      <c r="C1052" s="779"/>
      <c r="D1052" s="2060"/>
      <c r="E1052" s="2060"/>
      <c r="F1052" s="2060"/>
      <c r="G1052" s="779"/>
    </row>
    <row r="1053" spans="1:9">
      <c r="A1053" s="779"/>
      <c r="B1053" s="779"/>
      <c r="C1053" s="779"/>
      <c r="D1053" s="2060"/>
      <c r="E1053" s="2060"/>
      <c r="F1053" s="2060"/>
      <c r="G1053" s="779"/>
    </row>
    <row r="1054" spans="1:9">
      <c r="A1054" s="779"/>
      <c r="B1054" s="779"/>
      <c r="C1054" s="779"/>
      <c r="D1054" s="2060"/>
      <c r="E1054" s="2060"/>
      <c r="F1054" s="2060"/>
      <c r="G1054" s="779"/>
    </row>
    <row r="1055" spans="1:9">
      <c r="A1055" s="779"/>
      <c r="B1055" s="779"/>
      <c r="C1055" s="779"/>
      <c r="D1055" s="779"/>
      <c r="E1055" s="779"/>
      <c r="F1055" s="779"/>
      <c r="G1055" s="779"/>
    </row>
    <row r="1056" spans="1:9">
      <c r="A1056" s="2061" t="s">
        <v>2075</v>
      </c>
      <c r="B1056" s="2061"/>
      <c r="C1056" s="2061"/>
      <c r="D1056" s="2061"/>
      <c r="E1056" s="2061"/>
      <c r="F1056" s="2061"/>
      <c r="G1056" s="2061"/>
      <c r="H1056" s="1681"/>
      <c r="I1056" s="1682"/>
    </row>
    <row r="1057" spans="1:9">
      <c r="A1057" s="779"/>
      <c r="B1057" s="779"/>
      <c r="C1057" s="779"/>
      <c r="D1057" s="779"/>
      <c r="E1057" s="779"/>
      <c r="F1057" s="779"/>
      <c r="G1057" s="779"/>
    </row>
    <row r="1058" spans="1:9">
      <c r="A1058" s="779"/>
      <c r="B1058" s="779"/>
      <c r="C1058" s="779"/>
      <c r="D1058" s="779"/>
      <c r="E1058" s="779"/>
      <c r="F1058" s="779"/>
      <c r="G1058" s="779"/>
    </row>
    <row r="1059" spans="1:9">
      <c r="A1059" s="779"/>
      <c r="B1059" s="1608" t="s">
        <v>2796</v>
      </c>
      <c r="C1059" s="779"/>
      <c r="D1059" s="1600" t="s">
        <v>2078</v>
      </c>
      <c r="E1059" s="1604"/>
      <c r="F1059" s="779"/>
      <c r="G1059" s="779"/>
      <c r="I1059" s="1607" t="s">
        <v>2185</v>
      </c>
    </row>
    <row r="1060" spans="1:9">
      <c r="A1060" s="779"/>
      <c r="B1060" s="779"/>
      <c r="C1060" s="779"/>
      <c r="D1060" s="1600" t="s">
        <v>2080</v>
      </c>
      <c r="E1060" s="1604"/>
      <c r="F1060" s="779"/>
      <c r="G1060" s="779"/>
    </row>
    <row r="1061" spans="1:9" s="1605" customFormat="1">
      <c r="D1061" s="1600"/>
      <c r="E1061" s="1604"/>
      <c r="I1061" s="1607"/>
    </row>
    <row r="1062" spans="1:9">
      <c r="A1062" s="779"/>
      <c r="B1062" s="1608" t="s">
        <v>2796</v>
      </c>
      <c r="C1062" s="779"/>
      <c r="D1062" s="1600" t="s">
        <v>2081</v>
      </c>
      <c r="E1062" s="1604"/>
      <c r="F1062" s="779"/>
      <c r="G1062" s="779"/>
      <c r="I1062" s="1607" t="s">
        <v>2186</v>
      </c>
    </row>
    <row r="1063" spans="1:9" s="1605" customFormat="1">
      <c r="D1063" s="1600" t="s">
        <v>2079</v>
      </c>
      <c r="E1063" s="1604"/>
      <c r="I1063" s="1607"/>
    </row>
    <row r="1064" spans="1:9" s="1605" customFormat="1">
      <c r="D1064" s="1600"/>
      <c r="E1064" s="1604"/>
      <c r="I1064" s="1607"/>
    </row>
    <row r="1065" spans="1:9">
      <c r="A1065" s="779"/>
      <c r="B1065" s="1608" t="s">
        <v>2783</v>
      </c>
      <c r="C1065" s="779"/>
      <c r="D1065" s="1599" t="s">
        <v>2084</v>
      </c>
      <c r="E1065" s="1604"/>
      <c r="F1065" s="779"/>
      <c r="G1065" s="779"/>
      <c r="I1065" s="1607" t="s">
        <v>2187</v>
      </c>
    </row>
    <row r="1066" spans="1:9" s="1605" customFormat="1">
      <c r="D1066" s="2062" t="s">
        <v>2085</v>
      </c>
      <c r="E1066" s="2062"/>
      <c r="F1066" s="2062"/>
      <c r="I1066" s="1607"/>
    </row>
    <row r="1067" spans="1:9" s="1605" customFormat="1">
      <c r="D1067" s="2062"/>
      <c r="E1067" s="2062"/>
      <c r="F1067" s="2062"/>
      <c r="I1067" s="1607"/>
    </row>
    <row r="1068" spans="1:9" s="1605" customFormat="1">
      <c r="D1068" s="2062"/>
      <c r="E1068" s="2062"/>
      <c r="F1068" s="2062"/>
      <c r="I1068" s="1607"/>
    </row>
    <row r="1069" spans="1:9" s="1605" customFormat="1">
      <c r="D1069" s="2062"/>
      <c r="E1069" s="2062"/>
      <c r="F1069" s="2062"/>
      <c r="I1069" s="1607"/>
    </row>
    <row r="1070" spans="1:9" s="1605" customFormat="1">
      <c r="D1070" s="1599" t="s">
        <v>2083</v>
      </c>
      <c r="E1070" s="1604"/>
      <c r="I1070" s="1607"/>
    </row>
    <row r="1071" spans="1:9" s="1605" customFormat="1">
      <c r="D1071" s="1599"/>
      <c r="E1071" s="1604"/>
      <c r="I1071" s="1607"/>
    </row>
    <row r="1072" spans="1:9">
      <c r="A1072" s="779"/>
      <c r="B1072" s="779"/>
      <c r="C1072" s="779"/>
      <c r="D1072" s="1600" t="s">
        <v>2076</v>
      </c>
      <c r="E1072" s="1604"/>
      <c r="F1072" s="779"/>
      <c r="G1072" s="779"/>
      <c r="I1072" s="1607" t="s">
        <v>2188</v>
      </c>
    </row>
    <row r="1073" spans="1:9">
      <c r="A1073" s="779"/>
      <c r="B1073" s="1608" t="s">
        <v>2783</v>
      </c>
      <c r="C1073" s="779"/>
      <c r="D1073" s="2058" t="s">
        <v>2077</v>
      </c>
      <c r="E1073" s="2058"/>
      <c r="F1073" s="2058"/>
      <c r="G1073" s="779"/>
    </row>
    <row r="1074" spans="1:9" s="1605" customFormat="1">
      <c r="D1074" s="2058"/>
      <c r="E1074" s="2058"/>
      <c r="F1074" s="2058"/>
      <c r="I1074" s="1607"/>
    </row>
    <row r="1075" spans="1:9" s="1605" customFormat="1">
      <c r="D1075" s="2058"/>
      <c r="E1075" s="2058"/>
      <c r="F1075" s="2058"/>
      <c r="I1075" s="1607"/>
    </row>
    <row r="1076" spans="1:9" s="1605" customFormat="1">
      <c r="D1076" s="2058"/>
      <c r="E1076" s="2058"/>
      <c r="F1076" s="2058"/>
      <c r="I1076" s="1607"/>
    </row>
    <row r="1077" spans="1:9">
      <c r="A1077" s="779"/>
      <c r="B1077" s="779"/>
      <c r="C1077" s="779"/>
      <c r="D1077" s="2058"/>
      <c r="E1077" s="2058"/>
      <c r="F1077" s="2058"/>
      <c r="G1077" s="779"/>
    </row>
    <row r="1078" spans="1:9">
      <c r="A1078" s="779"/>
      <c r="B1078" s="779"/>
      <c r="C1078" s="779"/>
      <c r="D1078" s="1600" t="s">
        <v>2082</v>
      </c>
      <c r="E1078" s="779"/>
      <c r="F1078" s="779"/>
      <c r="G1078" s="779"/>
    </row>
    <row r="1079" spans="1:9">
      <c r="A1079" s="779"/>
      <c r="B1079" s="779"/>
      <c r="C1079" s="779"/>
      <c r="D1079" s="779"/>
      <c r="E1079" s="779"/>
      <c r="F1079" s="779"/>
      <c r="G1079" s="779"/>
    </row>
    <row r="1080" spans="1:9">
      <c r="A1080" s="2061" t="s">
        <v>2087</v>
      </c>
      <c r="B1080" s="2061"/>
      <c r="C1080" s="2061"/>
      <c r="D1080" s="2061"/>
      <c r="E1080" s="2061"/>
      <c r="F1080" s="2061"/>
      <c r="G1080" s="2061"/>
      <c r="H1080" s="1681"/>
      <c r="I1080" s="1682"/>
    </row>
    <row r="1081" spans="1:9">
      <c r="A1081" s="779"/>
      <c r="B1081" s="779"/>
      <c r="C1081" s="779"/>
      <c r="D1081" s="779"/>
      <c r="E1081" s="779"/>
      <c r="F1081" s="779"/>
      <c r="G1081" s="779"/>
    </row>
    <row r="1082" spans="1:9">
      <c r="A1082" s="779"/>
      <c r="B1082" s="779"/>
      <c r="C1082" s="779"/>
      <c r="D1082" s="779"/>
      <c r="E1082" s="779"/>
      <c r="F1082" s="779"/>
      <c r="G1082" s="779"/>
    </row>
    <row r="1083" spans="1:9" ht="12.75" customHeight="1">
      <c r="A1083" s="779"/>
      <c r="B1083" s="1608" t="s">
        <v>2783</v>
      </c>
      <c r="C1083" s="779"/>
      <c r="D1083" s="2063" t="s">
        <v>2301</v>
      </c>
      <c r="E1083" s="2063"/>
      <c r="F1083" s="2063"/>
      <c r="G1083" s="779"/>
      <c r="I1083" s="1607" t="s">
        <v>2189</v>
      </c>
    </row>
    <row r="1084" spans="1:9" s="1605" customFormat="1">
      <c r="D1084" s="2063"/>
      <c r="E1084" s="2063"/>
      <c r="F1084" s="2063"/>
      <c r="I1084" s="1607"/>
    </row>
    <row r="1085" spans="1:9" s="1605" customFormat="1">
      <c r="D1085" s="2064" t="s">
        <v>2612</v>
      </c>
      <c r="E1085" s="2062"/>
      <c r="F1085" s="2062"/>
      <c r="I1085" s="1607"/>
    </row>
    <row r="1086" spans="1:9" s="1605" customFormat="1">
      <c r="D1086" s="1600"/>
      <c r="I1086" s="1607"/>
    </row>
    <row r="1087" spans="1:9">
      <c r="A1087" s="779"/>
      <c r="B1087" s="1608" t="s">
        <v>2783</v>
      </c>
      <c r="C1087" s="779"/>
      <c r="D1087" s="2058" t="s">
        <v>2088</v>
      </c>
      <c r="E1087" s="2058"/>
      <c r="F1087" s="2058"/>
      <c r="G1087" s="779"/>
      <c r="I1087" s="1607" t="s">
        <v>2190</v>
      </c>
    </row>
    <row r="1088" spans="1:9" s="1605" customFormat="1">
      <c r="D1088" s="2058"/>
      <c r="E1088" s="2058"/>
      <c r="F1088" s="2058"/>
      <c r="I1088" s="1607"/>
    </row>
    <row r="1089" spans="1:9" s="1605" customFormat="1">
      <c r="D1089" s="1600"/>
      <c r="I1089" s="1607"/>
    </row>
    <row r="1090" spans="1:9">
      <c r="A1090" s="779"/>
      <c r="B1090" s="1608" t="s">
        <v>2783</v>
      </c>
      <c r="C1090" s="779"/>
      <c r="D1090" s="2058" t="s">
        <v>2234</v>
      </c>
      <c r="E1090" s="2058"/>
      <c r="F1090" s="2058"/>
      <c r="G1090" s="779"/>
      <c r="I1090" s="1607" t="s">
        <v>2232</v>
      </c>
    </row>
    <row r="1091" spans="1:9" s="1605" customFormat="1">
      <c r="D1091" s="2058"/>
      <c r="E1091" s="2058"/>
      <c r="F1091" s="2058"/>
      <c r="I1091" s="1607"/>
    </row>
    <row r="1092" spans="1:9" s="1605" customFormat="1">
      <c r="D1092" s="2058"/>
      <c r="E1092" s="2058"/>
      <c r="F1092" s="2058"/>
      <c r="I1092" s="1607"/>
    </row>
    <row r="1093" spans="1:9" s="1605" customFormat="1">
      <c r="D1093" s="2058"/>
      <c r="E1093" s="2058"/>
      <c r="F1093" s="2058"/>
      <c r="I1093" s="1607"/>
    </row>
    <row r="1094" spans="1:9" s="1605" customFormat="1">
      <c r="D1094" s="2058"/>
      <c r="E1094" s="2058"/>
      <c r="F1094" s="2058"/>
      <c r="I1094" s="1607"/>
    </row>
    <row r="1095" spans="1:9" s="1605" customFormat="1">
      <c r="D1095" s="2058"/>
      <c r="E1095" s="2058"/>
      <c r="F1095" s="2058"/>
      <c r="I1095" s="1607"/>
    </row>
    <row r="1096" spans="1:9" s="1606" customFormat="1">
      <c r="B1096" s="1605"/>
      <c r="D1096" s="1600" t="s">
        <v>2233</v>
      </c>
    </row>
    <row r="1097" spans="1:9">
      <c r="A1097" s="779"/>
      <c r="B1097" s="1608" t="s">
        <v>2783</v>
      </c>
      <c r="C1097" s="779"/>
      <c r="D1097" s="2058" t="s">
        <v>2089</v>
      </c>
      <c r="E1097" s="2058"/>
      <c r="F1097" s="2058"/>
      <c r="G1097" s="779"/>
      <c r="I1097" s="1665" t="s">
        <v>2191</v>
      </c>
    </row>
    <row r="1098" spans="1:9" s="1605" customFormat="1">
      <c r="D1098" s="2058"/>
      <c r="E1098" s="2058"/>
      <c r="F1098" s="2058"/>
      <c r="I1098" s="1607"/>
    </row>
    <row r="1099" spans="1:9" s="1605" customFormat="1">
      <c r="D1099" s="2058"/>
      <c r="E1099" s="2058"/>
      <c r="F1099" s="2058"/>
      <c r="I1099" s="1607"/>
    </row>
    <row r="1100" spans="1:9" s="1605" customFormat="1">
      <c r="D1100" s="1600"/>
      <c r="I1100" s="1607"/>
    </row>
    <row r="1101" spans="1:9">
      <c r="A1101" s="779"/>
      <c r="B1101" s="1608" t="s">
        <v>2796</v>
      </c>
      <c r="C1101" s="779"/>
      <c r="D1101" s="2059" t="s">
        <v>2235</v>
      </c>
      <c r="E1101" s="2059"/>
      <c r="F1101" s="2059"/>
      <c r="G1101" s="779"/>
      <c r="I1101" s="1607" t="s">
        <v>2192</v>
      </c>
    </row>
    <row r="1102" spans="1:9">
      <c r="A1102" s="779"/>
      <c r="B1102" s="779"/>
      <c r="C1102" s="779"/>
      <c r="D1102" s="2059"/>
      <c r="E1102" s="2059"/>
      <c r="F1102" s="2059"/>
      <c r="G1102" s="779"/>
    </row>
    <row r="1103" spans="1:9">
      <c r="A1103" s="779"/>
      <c r="B1103" s="779"/>
      <c r="C1103" s="779"/>
      <c r="D1103" s="2059"/>
      <c r="E1103" s="2059"/>
      <c r="F1103" s="2059"/>
      <c r="G1103" s="779"/>
    </row>
    <row r="1104" spans="1:9" s="1605" customFormat="1">
      <c r="D1104" s="1677"/>
      <c r="E1104" s="1677"/>
      <c r="F1104" s="1677"/>
      <c r="I1104" s="1607"/>
    </row>
    <row r="1105" spans="1:9" s="1605" customFormat="1" ht="15.75" customHeight="1">
      <c r="B1105" s="1608" t="s">
        <v>2796</v>
      </c>
      <c r="D1105" s="1920" t="s">
        <v>2237</v>
      </c>
      <c r="E1105" s="1920"/>
      <c r="F1105" s="1920"/>
      <c r="I1105" s="1607" t="s">
        <v>2236</v>
      </c>
    </row>
    <row r="1106" spans="1:9" s="1605" customFormat="1">
      <c r="D1106" s="1920"/>
      <c r="E1106" s="1920"/>
      <c r="F1106" s="1920"/>
      <c r="I1106" s="1607"/>
    </row>
    <row r="1107" spans="1:9" s="1605" customFormat="1">
      <c r="D1107" s="1920"/>
      <c r="E1107" s="1920"/>
      <c r="F1107" s="1920"/>
      <c r="I1107" s="1607"/>
    </row>
    <row r="1108" spans="1:9" s="1605" customFormat="1">
      <c r="D1108" s="1920"/>
      <c r="E1108" s="1920"/>
      <c r="F1108" s="1920"/>
      <c r="I1108" s="1607"/>
    </row>
    <row r="1109" spans="1:9" s="1605" customFormat="1">
      <c r="D1109" s="1677"/>
      <c r="E1109" s="1677"/>
      <c r="F1109" s="1677"/>
      <c r="I1109" s="1607"/>
    </row>
    <row r="1110" spans="1:9" ht="38.25">
      <c r="A1110" s="779"/>
      <c r="B1110" s="779"/>
      <c r="C1110" s="779"/>
      <c r="D1110" s="779"/>
      <c r="E1110" s="779"/>
      <c r="F1110" s="779"/>
      <c r="G1110" s="779"/>
      <c r="I1110" s="1672" t="s">
        <v>2463</v>
      </c>
    </row>
    <row r="1111" spans="1:9">
      <c r="A1111" s="779"/>
      <c r="B1111" s="779"/>
      <c r="C1111" s="779"/>
      <c r="D1111" s="779"/>
      <c r="E1111" s="779"/>
      <c r="F1111" s="779"/>
      <c r="G1111" s="779"/>
    </row>
    <row r="1112" spans="1:9">
      <c r="A1112" s="779"/>
      <c r="B1112" s="779"/>
      <c r="C1112" s="779"/>
      <c r="D1112" s="779"/>
      <c r="E1112" s="779"/>
      <c r="F1112" s="779"/>
      <c r="G1112" s="779"/>
    </row>
    <row r="1113" spans="1:9">
      <c r="A1113" s="779"/>
      <c r="B1113" s="779"/>
      <c r="C1113" s="779"/>
      <c r="D1113" s="779"/>
      <c r="E1113" s="779"/>
      <c r="F1113" s="779"/>
      <c r="G1113" s="779"/>
    </row>
    <row r="1114" spans="1:9">
      <c r="A1114" s="779"/>
      <c r="B1114" s="779"/>
      <c r="C1114" s="779"/>
      <c r="D1114" s="779"/>
      <c r="E1114" s="779"/>
      <c r="F1114" s="779"/>
      <c r="G1114" s="779"/>
    </row>
    <row r="1115" spans="1:9">
      <c r="A1115" s="779"/>
      <c r="B1115" s="779"/>
      <c r="C1115" s="779"/>
      <c r="D1115" s="779"/>
      <c r="E1115" s="779"/>
      <c r="F1115" s="779"/>
      <c r="G1115" s="779"/>
    </row>
    <row r="1116" spans="1:9">
      <c r="A1116" s="779"/>
      <c r="B1116" s="779"/>
      <c r="C1116" s="779"/>
      <c r="D1116" s="779"/>
      <c r="E1116" s="779"/>
      <c r="F1116" s="779"/>
      <c r="G1116" s="779"/>
    </row>
    <row r="1117" spans="1:9">
      <c r="A1117" s="779"/>
      <c r="B1117" s="779"/>
      <c r="C1117" s="779"/>
      <c r="D1117" s="779"/>
      <c r="E1117" s="779"/>
      <c r="F1117" s="779"/>
      <c r="G1117" s="779"/>
    </row>
    <row r="1118" spans="1:9">
      <c r="A1118" s="779"/>
      <c r="B1118" s="779"/>
      <c r="C1118" s="779"/>
      <c r="D1118" s="779"/>
      <c r="E1118" s="779"/>
      <c r="F1118" s="779"/>
      <c r="G1118" s="779"/>
    </row>
    <row r="1119" spans="1:9">
      <c r="A1119" s="779"/>
      <c r="B1119" s="779"/>
      <c r="C1119" s="779"/>
      <c r="D1119" s="779"/>
      <c r="E1119" s="779"/>
      <c r="F1119" s="779"/>
      <c r="G1119" s="779"/>
    </row>
    <row r="1120" spans="1:9">
      <c r="A1120" s="779"/>
      <c r="B1120" s="779"/>
      <c r="C1120" s="779"/>
      <c r="D1120" s="779"/>
      <c r="E1120" s="779"/>
      <c r="F1120" s="779"/>
      <c r="G1120" s="779"/>
    </row>
    <row r="1121" spans="1:7">
      <c r="A1121" s="779"/>
      <c r="B1121" s="779"/>
      <c r="C1121" s="779"/>
      <c r="D1121" s="779"/>
      <c r="E1121" s="779"/>
      <c r="F1121" s="779"/>
      <c r="G1121" s="779"/>
    </row>
    <row r="1122" spans="1:7">
      <c r="A1122" s="779"/>
      <c r="B1122" s="779"/>
      <c r="C1122" s="779"/>
      <c r="D1122" s="779"/>
      <c r="E1122" s="779"/>
      <c r="F1122" s="779"/>
      <c r="G1122" s="779"/>
    </row>
    <row r="1123" spans="1:7">
      <c r="A1123" s="779"/>
      <c r="B1123" s="779"/>
      <c r="C1123" s="779"/>
      <c r="D1123" s="779"/>
      <c r="E1123" s="779"/>
      <c r="F1123" s="779"/>
      <c r="G1123" s="779"/>
    </row>
    <row r="1124" spans="1:7">
      <c r="A1124" s="779"/>
      <c r="B1124" s="779"/>
      <c r="C1124" s="779"/>
      <c r="D1124" s="779"/>
      <c r="E1124" s="779"/>
      <c r="F1124" s="779"/>
      <c r="G1124" s="779"/>
    </row>
    <row r="1125" spans="1:7">
      <c r="A1125" s="779"/>
      <c r="B1125" s="779"/>
      <c r="C1125" s="779"/>
      <c r="D1125" s="779"/>
      <c r="E1125" s="779"/>
      <c r="F1125" s="779"/>
      <c r="G1125" s="779"/>
    </row>
    <row r="1126" spans="1:7">
      <c r="A1126" s="779"/>
      <c r="B1126" s="779"/>
      <c r="C1126" s="779"/>
      <c r="D1126" s="779"/>
      <c r="E1126" s="779"/>
      <c r="F1126" s="779"/>
      <c r="G1126" s="779"/>
    </row>
    <row r="1127" spans="1:7">
      <c r="A1127" s="779"/>
      <c r="B1127" s="779"/>
      <c r="C1127" s="779"/>
      <c r="D1127" s="779"/>
      <c r="E1127" s="779"/>
      <c r="F1127" s="779"/>
      <c r="G1127" s="779"/>
    </row>
    <row r="1128" spans="1:7"/>
    <row r="1129" spans="1:7"/>
    <row r="1130" spans="1:7"/>
    <row r="1131" spans="1:7"/>
    <row r="1132" spans="1:7"/>
    <row r="1133" spans="1:7"/>
    <row r="1134" spans="1:7"/>
    <row r="1135" spans="1:7">
      <c r="A1135" s="779"/>
      <c r="B1135" s="779"/>
      <c r="C1135" s="779"/>
      <c r="D1135" s="779"/>
      <c r="E1135" s="779"/>
      <c r="F1135" s="779"/>
      <c r="G1135" s="779"/>
    </row>
    <row r="1136" spans="1:7">
      <c r="A1136" s="779"/>
      <c r="B1136" s="779"/>
      <c r="C1136" s="779"/>
      <c r="D1136" s="779"/>
      <c r="E1136" s="779"/>
      <c r="F1136" s="779"/>
      <c r="G1136" s="779"/>
    </row>
    <row r="1137" spans="1:7">
      <c r="A1137" s="779"/>
      <c r="B1137" s="779"/>
      <c r="C1137" s="779"/>
      <c r="D1137" s="779"/>
      <c r="E1137" s="779"/>
      <c r="F1137" s="779"/>
      <c r="G1137" s="779"/>
    </row>
    <row r="1138" spans="1:7">
      <c r="A1138" s="779"/>
      <c r="B1138" s="779"/>
      <c r="C1138" s="779"/>
      <c r="D1138" s="779"/>
      <c r="E1138" s="779"/>
      <c r="F1138" s="779"/>
      <c r="G1138" s="779"/>
    </row>
    <row r="1139" spans="1:7">
      <c r="A1139" s="779"/>
      <c r="B1139" s="779"/>
      <c r="C1139" s="779"/>
      <c r="D1139" s="779"/>
      <c r="E1139" s="779"/>
      <c r="F1139" s="779"/>
      <c r="G1139" s="779"/>
    </row>
    <row r="1140" spans="1:7">
      <c r="A1140" s="779"/>
      <c r="B1140" s="779"/>
      <c r="C1140" s="779"/>
      <c r="D1140" s="779"/>
      <c r="E1140" s="779"/>
      <c r="F1140" s="779"/>
      <c r="G1140" s="779"/>
    </row>
    <row r="1141" spans="1:7">
      <c r="A1141" s="779"/>
      <c r="B1141" s="779"/>
      <c r="C1141" s="779"/>
      <c r="D1141" s="779"/>
      <c r="E1141" s="779"/>
      <c r="F1141" s="779"/>
      <c r="G1141" s="779"/>
    </row>
    <row r="1142" spans="1:7">
      <c r="A1142" s="779"/>
      <c r="B1142" s="779"/>
      <c r="C1142" s="779"/>
      <c r="D1142" s="779"/>
      <c r="E1142" s="779"/>
      <c r="F1142" s="779"/>
      <c r="G1142" s="779"/>
    </row>
    <row r="1143" spans="1:7">
      <c r="A1143" s="779"/>
      <c r="B1143" s="779"/>
      <c r="C1143" s="779"/>
      <c r="D1143" s="779"/>
      <c r="E1143" s="779"/>
      <c r="F1143" s="779"/>
      <c r="G1143" s="779"/>
    </row>
    <row r="1144" spans="1:7">
      <c r="A1144" s="779"/>
      <c r="B1144" s="779"/>
      <c r="C1144" s="779"/>
      <c r="D1144" s="779"/>
      <c r="E1144" s="779"/>
      <c r="F1144" s="779"/>
      <c r="G1144" s="779"/>
    </row>
    <row r="1145" spans="1:7">
      <c r="A1145" s="779"/>
      <c r="B1145" s="779"/>
      <c r="C1145" s="779"/>
      <c r="D1145" s="779"/>
      <c r="E1145" s="779"/>
      <c r="F1145" s="779"/>
      <c r="G1145" s="779"/>
    </row>
    <row r="1146" spans="1:7">
      <c r="A1146" s="779"/>
      <c r="B1146" s="779"/>
      <c r="C1146" s="779"/>
      <c r="D1146" s="779"/>
      <c r="E1146" s="779"/>
      <c r="F1146" s="779"/>
      <c r="G1146" s="779"/>
    </row>
    <row r="1147" spans="1:7">
      <c r="A1147" s="779"/>
      <c r="B1147" s="779"/>
      <c r="C1147" s="779"/>
      <c r="D1147" s="779"/>
      <c r="E1147" s="779"/>
      <c r="F1147" s="779"/>
      <c r="G1147" s="779"/>
    </row>
    <row r="1148" spans="1:7">
      <c r="A1148" s="779"/>
      <c r="B1148" s="779"/>
      <c r="C1148" s="779"/>
      <c r="D1148" s="779"/>
      <c r="E1148" s="779"/>
      <c r="F1148" s="779"/>
      <c r="G1148" s="779"/>
    </row>
    <row r="1149" spans="1:7">
      <c r="A1149" s="779"/>
      <c r="B1149" s="779"/>
      <c r="C1149" s="779"/>
      <c r="D1149" s="779"/>
      <c r="E1149" s="779"/>
      <c r="F1149" s="779"/>
      <c r="G1149" s="779"/>
    </row>
    <row r="1150" spans="1:7">
      <c r="A1150" s="779"/>
      <c r="B1150" s="779"/>
      <c r="C1150" s="779"/>
      <c r="D1150" s="779"/>
      <c r="E1150" s="779"/>
      <c r="F1150" s="779"/>
      <c r="G1150" s="779"/>
    </row>
    <row r="1151" spans="1:7">
      <c r="A1151" s="779"/>
      <c r="B1151" s="779"/>
      <c r="C1151" s="779"/>
      <c r="D1151" s="779"/>
      <c r="E1151" s="779"/>
      <c r="F1151" s="779"/>
      <c r="G1151" s="779"/>
    </row>
    <row r="1152" spans="1:7">
      <c r="A1152" s="779"/>
      <c r="B1152" s="779"/>
      <c r="C1152" s="779"/>
      <c r="D1152" s="779"/>
      <c r="E1152" s="779"/>
      <c r="F1152" s="779"/>
      <c r="G1152" s="779"/>
    </row>
    <row r="1153" spans="1:7">
      <c r="A1153" s="779"/>
      <c r="B1153" s="779"/>
      <c r="C1153" s="779"/>
      <c r="D1153" s="779"/>
      <c r="E1153" s="779"/>
      <c r="F1153" s="779"/>
      <c r="G1153" s="779"/>
    </row>
    <row r="1154" spans="1:7">
      <c r="A1154" s="779"/>
      <c r="B1154" s="779"/>
      <c r="C1154" s="779"/>
      <c r="D1154" s="779"/>
      <c r="E1154" s="779"/>
      <c r="F1154" s="779"/>
      <c r="G1154" s="779"/>
    </row>
    <row r="1155" spans="1:7">
      <c r="A1155" s="779"/>
      <c r="B1155" s="779"/>
      <c r="C1155" s="779"/>
      <c r="D1155" s="779"/>
      <c r="E1155" s="779"/>
      <c r="F1155" s="779"/>
      <c r="G1155" s="779"/>
    </row>
    <row r="1156" spans="1:7">
      <c r="A1156" s="779"/>
      <c r="B1156" s="779"/>
      <c r="C1156" s="779"/>
      <c r="D1156" s="779"/>
      <c r="E1156" s="779"/>
      <c r="F1156" s="779"/>
      <c r="G1156" s="779"/>
    </row>
    <row r="1157" spans="1:7">
      <c r="A1157" s="779"/>
      <c r="B1157" s="779"/>
      <c r="C1157" s="779"/>
      <c r="D1157" s="779"/>
      <c r="E1157" s="779"/>
      <c r="F1157" s="779"/>
      <c r="G1157" s="779"/>
    </row>
    <row r="1158" spans="1:7">
      <c r="A1158" s="779"/>
      <c r="B1158" s="779"/>
      <c r="C1158" s="779"/>
      <c r="D1158" s="779"/>
      <c r="E1158" s="779"/>
      <c r="F1158" s="779"/>
      <c r="G1158" s="779"/>
    </row>
    <row r="1159" spans="1:7">
      <c r="A1159" s="779"/>
      <c r="B1159" s="779"/>
      <c r="C1159" s="779"/>
      <c r="D1159" s="779"/>
      <c r="E1159" s="779"/>
      <c r="F1159" s="779"/>
      <c r="G1159" s="779"/>
    </row>
    <row r="1160" spans="1:7">
      <c r="A1160" s="779"/>
      <c r="B1160" s="779"/>
      <c r="C1160" s="779"/>
      <c r="D1160" s="779"/>
      <c r="E1160" s="779"/>
      <c r="F1160" s="779"/>
      <c r="G1160" s="779"/>
    </row>
    <row r="1161" spans="1:7">
      <c r="A1161" s="779"/>
      <c r="B1161" s="779"/>
      <c r="C1161" s="779"/>
      <c r="D1161" s="779"/>
      <c r="E1161" s="779"/>
      <c r="F1161" s="779"/>
      <c r="G1161" s="779"/>
    </row>
    <row r="1162" spans="1:7">
      <c r="A1162" s="779"/>
      <c r="B1162" s="779"/>
      <c r="C1162" s="779"/>
      <c r="D1162" s="779"/>
      <c r="E1162" s="779"/>
      <c r="F1162" s="779"/>
      <c r="G1162" s="779"/>
    </row>
    <row r="1163" spans="1:7">
      <c r="A1163" s="779"/>
      <c r="B1163" s="779"/>
      <c r="C1163" s="779"/>
      <c r="D1163" s="779"/>
      <c r="E1163" s="779"/>
      <c r="F1163" s="779"/>
      <c r="G1163" s="779"/>
    </row>
    <row r="1164" spans="1:7">
      <c r="A1164" s="779"/>
      <c r="B1164" s="779"/>
      <c r="C1164" s="779"/>
      <c r="D1164" s="779"/>
      <c r="E1164" s="779"/>
      <c r="F1164" s="779"/>
      <c r="G1164" s="779"/>
    </row>
    <row r="1165" spans="1:7">
      <c r="A1165" s="779"/>
      <c r="B1165" s="779"/>
      <c r="C1165" s="779"/>
      <c r="D1165" s="779"/>
      <c r="E1165" s="779"/>
      <c r="F1165" s="779"/>
      <c r="G1165" s="779"/>
    </row>
    <row r="1166" spans="1:7">
      <c r="A1166" s="779"/>
      <c r="B1166" s="779"/>
      <c r="C1166" s="779"/>
      <c r="D1166" s="779"/>
      <c r="E1166" s="779"/>
      <c r="F1166" s="779"/>
      <c r="G1166" s="779"/>
    </row>
    <row r="1167" spans="1:7">
      <c r="A1167" s="779"/>
      <c r="B1167" s="779"/>
      <c r="C1167" s="779"/>
      <c r="D1167" s="779"/>
      <c r="E1167" s="779"/>
      <c r="F1167" s="779"/>
      <c r="G1167" s="779"/>
    </row>
    <row r="1168" spans="1:7">
      <c r="A1168" s="779"/>
      <c r="B1168" s="779"/>
      <c r="C1168" s="779"/>
      <c r="D1168" s="779"/>
      <c r="E1168" s="779"/>
      <c r="F1168" s="779"/>
      <c r="G1168" s="779"/>
    </row>
    <row r="1169" spans="1:7">
      <c r="A1169" s="779"/>
      <c r="B1169" s="779"/>
      <c r="C1169" s="779"/>
      <c r="D1169" s="779"/>
      <c r="E1169" s="779"/>
      <c r="F1169" s="779"/>
      <c r="G1169" s="779"/>
    </row>
    <row r="1170" spans="1:7">
      <c r="A1170" s="779"/>
      <c r="B1170" s="779"/>
      <c r="C1170" s="779"/>
      <c r="D1170" s="779"/>
      <c r="E1170" s="779"/>
      <c r="F1170" s="779"/>
      <c r="G1170" s="779"/>
    </row>
    <row r="1171" spans="1:7">
      <c r="A1171" s="779"/>
      <c r="B1171" s="779"/>
      <c r="C1171" s="779"/>
      <c r="D1171" s="779"/>
      <c r="E1171" s="779"/>
      <c r="F1171" s="779"/>
      <c r="G1171" s="779"/>
    </row>
    <row r="1172" spans="1:7">
      <c r="A1172" s="779"/>
      <c r="B1172" s="779"/>
      <c r="C1172" s="779"/>
      <c r="D1172" s="779"/>
      <c r="E1172" s="779"/>
      <c r="F1172" s="779"/>
      <c r="G1172" s="779"/>
    </row>
    <row r="1173" spans="1:7">
      <c r="A1173" s="779"/>
      <c r="B1173" s="779"/>
      <c r="C1173" s="779"/>
      <c r="D1173" s="779"/>
      <c r="E1173" s="779"/>
      <c r="F1173" s="779"/>
      <c r="G1173" s="779"/>
    </row>
    <row r="1174" spans="1:7">
      <c r="A1174" s="779"/>
      <c r="B1174" s="779"/>
      <c r="C1174" s="779"/>
      <c r="D1174" s="779"/>
      <c r="E1174" s="779"/>
      <c r="F1174" s="779"/>
      <c r="G1174" s="779"/>
    </row>
    <row r="1175" spans="1:7">
      <c r="A1175" s="779"/>
      <c r="B1175" s="779"/>
      <c r="C1175" s="779"/>
      <c r="D1175" s="779"/>
      <c r="E1175" s="779"/>
      <c r="F1175" s="779"/>
      <c r="G1175" s="779"/>
    </row>
    <row r="1176" spans="1:7">
      <c r="A1176" s="779"/>
      <c r="B1176" s="779"/>
      <c r="C1176" s="779"/>
      <c r="D1176" s="779"/>
      <c r="E1176" s="779"/>
      <c r="F1176" s="779"/>
      <c r="G1176" s="779"/>
    </row>
    <row r="1177" spans="1:7">
      <c r="A1177" s="779"/>
      <c r="B1177" s="779"/>
      <c r="C1177" s="779"/>
      <c r="D1177" s="779"/>
      <c r="E1177" s="779"/>
      <c r="F1177" s="779"/>
      <c r="G1177" s="779"/>
    </row>
    <row r="1178" spans="1:7">
      <c r="A1178" s="779"/>
      <c r="B1178" s="779"/>
      <c r="C1178" s="779"/>
      <c r="D1178" s="779"/>
      <c r="E1178" s="779"/>
      <c r="F1178" s="779"/>
      <c r="G1178" s="779"/>
    </row>
    <row r="1179" spans="1:7">
      <c r="A1179" s="779"/>
      <c r="B1179" s="779"/>
      <c r="C1179" s="779"/>
      <c r="D1179" s="779"/>
      <c r="E1179" s="779"/>
      <c r="F1179" s="779"/>
      <c r="G1179" s="779"/>
    </row>
    <row r="1180" spans="1:7">
      <c r="A1180" s="779"/>
      <c r="B1180" s="779"/>
      <c r="C1180" s="779"/>
      <c r="D1180" s="779"/>
      <c r="E1180" s="779"/>
      <c r="F1180" s="779"/>
      <c r="G1180" s="779"/>
    </row>
    <row r="1181" spans="1:7">
      <c r="A1181" s="779"/>
      <c r="B1181" s="779"/>
      <c r="C1181" s="779"/>
      <c r="D1181" s="779"/>
      <c r="E1181" s="779"/>
      <c r="F1181" s="779"/>
      <c r="G1181" s="779"/>
    </row>
    <row r="1182" spans="1:7">
      <c r="A1182" s="779"/>
      <c r="B1182" s="779"/>
      <c r="C1182" s="779"/>
      <c r="D1182" s="779"/>
      <c r="E1182" s="779"/>
      <c r="F1182" s="779"/>
      <c r="G1182" s="779"/>
    </row>
    <row r="1183" spans="1:7">
      <c r="A1183" s="779"/>
      <c r="B1183" s="779"/>
      <c r="C1183" s="779"/>
      <c r="D1183" s="779"/>
      <c r="E1183" s="779"/>
      <c r="F1183" s="779"/>
      <c r="G1183" s="779"/>
    </row>
    <row r="1184" spans="1:7">
      <c r="A1184" s="779"/>
      <c r="B1184" s="779"/>
      <c r="C1184" s="779"/>
      <c r="D1184" s="779"/>
      <c r="E1184" s="779"/>
      <c r="F1184" s="779"/>
      <c r="G1184" s="779"/>
    </row>
    <row r="1185" spans="1:7">
      <c r="A1185" s="779"/>
      <c r="B1185" s="779"/>
      <c r="C1185" s="779"/>
      <c r="D1185" s="779"/>
      <c r="E1185" s="779"/>
      <c r="F1185" s="779"/>
      <c r="G1185" s="779"/>
    </row>
    <row r="1186" spans="1:7">
      <c r="A1186" s="779"/>
      <c r="B1186" s="779"/>
      <c r="C1186" s="779"/>
      <c r="D1186" s="779"/>
      <c r="E1186" s="779"/>
      <c r="F1186" s="779"/>
      <c r="G1186" s="779"/>
    </row>
    <row r="1187" spans="1:7">
      <c r="A1187" s="779"/>
      <c r="B1187" s="779"/>
      <c r="C1187" s="779"/>
      <c r="D1187" s="779"/>
      <c r="E1187" s="779"/>
      <c r="F1187" s="779"/>
      <c r="G1187" s="779"/>
    </row>
    <row r="1188" spans="1:7">
      <c r="A1188" s="779"/>
      <c r="B1188" s="779"/>
      <c r="C1188" s="779"/>
      <c r="D1188" s="779"/>
      <c r="E1188" s="779"/>
      <c r="F1188" s="779"/>
      <c r="G1188" s="779"/>
    </row>
    <row r="1189" spans="1:7">
      <c r="A1189" s="779"/>
      <c r="B1189" s="779"/>
      <c r="C1189" s="779"/>
      <c r="D1189" s="779"/>
      <c r="E1189" s="779"/>
      <c r="F1189" s="779"/>
      <c r="G1189" s="779"/>
    </row>
    <row r="1190" spans="1:7">
      <c r="A1190" s="779"/>
      <c r="B1190" s="779"/>
      <c r="C1190" s="779"/>
      <c r="D1190" s="779"/>
      <c r="E1190" s="779"/>
      <c r="F1190" s="779"/>
      <c r="G1190" s="779"/>
    </row>
    <row r="1191" spans="1:7">
      <c r="A1191" s="779"/>
      <c r="B1191" s="779"/>
      <c r="C1191" s="779"/>
      <c r="D1191" s="779"/>
      <c r="E1191" s="779"/>
      <c r="F1191" s="779"/>
      <c r="G1191" s="779"/>
    </row>
    <row r="1192" spans="1:7">
      <c r="A1192" s="779"/>
      <c r="B1192" s="779"/>
      <c r="C1192" s="779"/>
      <c r="D1192" s="779"/>
      <c r="E1192" s="779"/>
      <c r="F1192" s="779"/>
      <c r="G1192" s="779"/>
    </row>
    <row r="1193" spans="1:7">
      <c r="A1193" s="779"/>
      <c r="B1193" s="779"/>
      <c r="C1193" s="779"/>
      <c r="D1193" s="779"/>
      <c r="E1193" s="779"/>
      <c r="F1193" s="779"/>
      <c r="G1193" s="779"/>
    </row>
    <row r="1194" spans="1:7">
      <c r="A1194" s="779"/>
      <c r="B1194" s="779"/>
      <c r="C1194" s="779"/>
      <c r="D1194" s="779"/>
      <c r="E1194" s="779"/>
      <c r="F1194" s="779"/>
      <c r="G1194" s="779"/>
    </row>
    <row r="1195" spans="1:7">
      <c r="A1195" s="779"/>
      <c r="B1195" s="779"/>
      <c r="C1195" s="779"/>
      <c r="D1195" s="779"/>
      <c r="E1195" s="779"/>
      <c r="F1195" s="779"/>
      <c r="G1195" s="779"/>
    </row>
    <row r="1196" spans="1:7">
      <c r="A1196" s="779"/>
      <c r="B1196" s="779"/>
      <c r="C1196" s="779"/>
      <c r="D1196" s="779"/>
      <c r="E1196" s="779"/>
      <c r="F1196" s="779"/>
      <c r="G1196" s="779"/>
    </row>
    <row r="1197" spans="1:7">
      <c r="A1197" s="779"/>
      <c r="B1197" s="779"/>
      <c r="C1197" s="779"/>
      <c r="D1197" s="779"/>
      <c r="E1197" s="779"/>
      <c r="F1197" s="779"/>
      <c r="G1197" s="779"/>
    </row>
    <row r="1198" spans="1:7">
      <c r="A1198" s="779"/>
      <c r="B1198" s="779"/>
      <c r="C1198" s="779"/>
      <c r="D1198" s="779"/>
      <c r="E1198" s="779"/>
      <c r="F1198" s="779"/>
      <c r="G1198" s="779"/>
    </row>
    <row r="1199" spans="1:7">
      <c r="A1199" s="779"/>
      <c r="B1199" s="779"/>
      <c r="C1199" s="779"/>
      <c r="D1199" s="779"/>
      <c r="E1199" s="779"/>
      <c r="F1199" s="779"/>
      <c r="G1199" s="779"/>
    </row>
    <row r="1200" spans="1:7">
      <c r="A1200" s="779"/>
      <c r="B1200" s="779"/>
      <c r="C1200" s="779"/>
      <c r="D1200" s="779"/>
      <c r="E1200" s="779"/>
      <c r="F1200" s="779"/>
      <c r="G1200" s="779"/>
    </row>
    <row r="1201" spans="1:7">
      <c r="A1201" s="779"/>
      <c r="B1201" s="779"/>
      <c r="C1201" s="779"/>
      <c r="D1201" s="779"/>
      <c r="E1201" s="779"/>
      <c r="F1201" s="779"/>
      <c r="G1201" s="779"/>
    </row>
    <row r="1202" spans="1:7">
      <c r="A1202" s="779"/>
      <c r="B1202" s="779"/>
      <c r="C1202" s="779"/>
      <c r="D1202" s="779"/>
      <c r="E1202" s="779"/>
      <c r="F1202" s="779"/>
      <c r="G1202" s="779"/>
    </row>
    <row r="1203" spans="1:7">
      <c r="A1203" s="779"/>
      <c r="B1203" s="779"/>
      <c r="C1203" s="779"/>
      <c r="D1203" s="779"/>
      <c r="E1203" s="779"/>
      <c r="F1203" s="779"/>
      <c r="G1203" s="779"/>
    </row>
    <row r="1204" spans="1:7">
      <c r="A1204" s="779"/>
      <c r="B1204" s="779"/>
      <c r="C1204" s="779"/>
      <c r="D1204" s="779"/>
      <c r="E1204" s="779"/>
      <c r="F1204" s="779"/>
      <c r="G1204" s="779"/>
    </row>
    <row r="1205" spans="1:7">
      <c r="A1205" s="779"/>
      <c r="B1205" s="779"/>
      <c r="C1205" s="779"/>
      <c r="D1205" s="779"/>
      <c r="E1205" s="779"/>
      <c r="F1205" s="779"/>
      <c r="G1205" s="779"/>
    </row>
    <row r="1206" spans="1:7">
      <c r="A1206" s="779"/>
      <c r="B1206" s="779"/>
      <c r="C1206" s="779"/>
      <c r="D1206" s="779"/>
      <c r="E1206" s="779"/>
      <c r="F1206" s="779"/>
      <c r="G1206" s="779"/>
    </row>
    <row r="1207" spans="1:7">
      <c r="A1207" s="779"/>
      <c r="B1207" s="779"/>
      <c r="C1207" s="779"/>
      <c r="D1207" s="779"/>
      <c r="E1207" s="779"/>
      <c r="F1207" s="779"/>
      <c r="G1207" s="779"/>
    </row>
    <row r="1208" spans="1:7">
      <c r="A1208" s="779"/>
      <c r="B1208" s="779"/>
      <c r="C1208" s="779"/>
      <c r="D1208" s="779"/>
      <c r="E1208" s="779"/>
      <c r="F1208" s="779"/>
      <c r="G1208" s="779"/>
    </row>
    <row r="1209" spans="1:7">
      <c r="A1209" s="779"/>
      <c r="B1209" s="779"/>
      <c r="C1209" s="779"/>
      <c r="D1209" s="779"/>
      <c r="E1209" s="779"/>
      <c r="F1209" s="779"/>
      <c r="G1209" s="779"/>
    </row>
    <row r="1210" spans="1:7">
      <c r="A1210" s="779"/>
      <c r="B1210" s="779"/>
      <c r="C1210" s="779"/>
      <c r="D1210" s="779"/>
      <c r="E1210" s="779"/>
      <c r="F1210" s="779"/>
      <c r="G1210" s="779"/>
    </row>
    <row r="1211" spans="1:7">
      <c r="A1211" s="779"/>
      <c r="B1211" s="779"/>
      <c r="C1211" s="779"/>
      <c r="D1211" s="779"/>
      <c r="E1211" s="779"/>
      <c r="F1211" s="779"/>
      <c r="G1211" s="779"/>
    </row>
    <row r="1212" spans="1:7">
      <c r="A1212" s="779"/>
      <c r="B1212" s="779"/>
      <c r="C1212" s="779"/>
      <c r="D1212" s="779"/>
      <c r="E1212" s="779"/>
      <c r="F1212" s="779"/>
      <c r="G1212" s="779"/>
    </row>
    <row r="1213" spans="1:7">
      <c r="A1213" s="779"/>
      <c r="B1213" s="779"/>
      <c r="C1213" s="779"/>
      <c r="D1213" s="779"/>
      <c r="E1213" s="779"/>
      <c r="F1213" s="779"/>
      <c r="G1213" s="779"/>
    </row>
    <row r="1214" spans="1:7">
      <c r="A1214" s="779"/>
      <c r="B1214" s="779"/>
      <c r="C1214" s="779"/>
      <c r="D1214" s="779"/>
      <c r="E1214" s="779"/>
      <c r="F1214" s="779"/>
      <c r="G1214" s="779"/>
    </row>
    <row r="1215" spans="1:7">
      <c r="A1215" s="779"/>
      <c r="B1215" s="779"/>
      <c r="C1215" s="779"/>
      <c r="D1215" s="779"/>
      <c r="E1215" s="779"/>
      <c r="F1215" s="779"/>
      <c r="G1215" s="779"/>
    </row>
    <row r="1216" spans="1:7">
      <c r="A1216" s="779"/>
      <c r="B1216" s="779"/>
      <c r="C1216" s="779"/>
      <c r="D1216" s="779"/>
      <c r="E1216" s="779"/>
      <c r="F1216" s="779"/>
      <c r="G1216" s="779"/>
    </row>
    <row r="1217" spans="1:7">
      <c r="A1217" s="779"/>
      <c r="B1217" s="779"/>
      <c r="C1217" s="779"/>
      <c r="D1217" s="779"/>
      <c r="E1217" s="779"/>
      <c r="F1217" s="779"/>
      <c r="G1217" s="779"/>
    </row>
    <row r="1218" spans="1:7">
      <c r="A1218" s="779"/>
      <c r="B1218" s="779"/>
      <c r="C1218" s="779"/>
      <c r="D1218" s="779"/>
      <c r="E1218" s="779"/>
      <c r="F1218" s="779"/>
      <c r="G1218" s="779"/>
    </row>
    <row r="1219" spans="1:7">
      <c r="A1219" s="779"/>
      <c r="B1219" s="779"/>
      <c r="C1219" s="779"/>
      <c r="D1219" s="779"/>
      <c r="E1219" s="779"/>
      <c r="F1219" s="779"/>
      <c r="G1219" s="779"/>
    </row>
    <row r="1220" spans="1:7">
      <c r="A1220" s="779"/>
      <c r="B1220" s="779"/>
      <c r="C1220" s="779"/>
      <c r="D1220" s="779"/>
      <c r="E1220" s="779"/>
      <c r="F1220" s="779"/>
      <c r="G1220" s="779"/>
    </row>
    <row r="1221" spans="1:7">
      <c r="A1221" s="779"/>
      <c r="B1221" s="779"/>
      <c r="C1221" s="779"/>
      <c r="D1221" s="779"/>
      <c r="E1221" s="779"/>
      <c r="F1221" s="779"/>
      <c r="G1221" s="779"/>
    </row>
    <row r="1222" spans="1:7">
      <c r="A1222" s="779"/>
      <c r="B1222" s="779"/>
      <c r="C1222" s="779"/>
      <c r="D1222" s="779"/>
      <c r="E1222" s="779"/>
      <c r="F1222" s="779"/>
      <c r="G1222" s="779"/>
    </row>
    <row r="1223" spans="1:7">
      <c r="A1223" s="779"/>
      <c r="B1223" s="779"/>
      <c r="C1223" s="779"/>
      <c r="D1223" s="779"/>
      <c r="E1223" s="779"/>
      <c r="F1223" s="779"/>
      <c r="G1223" s="779"/>
    </row>
    <row r="1224" spans="1:7">
      <c r="A1224" s="779"/>
      <c r="B1224" s="779"/>
      <c r="C1224" s="779"/>
      <c r="D1224" s="779"/>
      <c r="E1224" s="779"/>
      <c r="F1224" s="779"/>
      <c r="G1224" s="779"/>
    </row>
    <row r="1225" spans="1:7">
      <c r="A1225" s="779"/>
      <c r="B1225" s="779"/>
      <c r="C1225" s="779"/>
      <c r="D1225" s="779"/>
      <c r="E1225" s="779"/>
      <c r="F1225" s="779"/>
      <c r="G1225" s="779"/>
    </row>
    <row r="1226" spans="1:7">
      <c r="A1226" s="779"/>
      <c r="B1226" s="779"/>
      <c r="C1226" s="779"/>
      <c r="D1226" s="779"/>
      <c r="E1226" s="779"/>
      <c r="F1226" s="779"/>
      <c r="G1226" s="779"/>
    </row>
    <row r="1227" spans="1:7">
      <c r="A1227" s="779"/>
      <c r="B1227" s="779"/>
      <c r="C1227" s="779"/>
      <c r="D1227" s="779"/>
      <c r="E1227" s="779"/>
      <c r="F1227" s="779"/>
      <c r="G1227" s="779"/>
    </row>
    <row r="1228" spans="1:7">
      <c r="A1228" s="779"/>
      <c r="B1228" s="779"/>
      <c r="C1228" s="779"/>
      <c r="D1228" s="779"/>
      <c r="E1228" s="779"/>
      <c r="F1228" s="779"/>
      <c r="G1228" s="779"/>
    </row>
    <row r="1229" spans="1:7">
      <c r="A1229" s="779"/>
      <c r="B1229" s="779"/>
      <c r="C1229" s="779"/>
      <c r="D1229" s="779"/>
      <c r="E1229" s="779"/>
      <c r="F1229" s="779"/>
      <c r="G1229" s="779"/>
    </row>
    <row r="1230" spans="1:7">
      <c r="A1230" s="779"/>
      <c r="B1230" s="779"/>
      <c r="C1230" s="779"/>
      <c r="D1230" s="779"/>
      <c r="E1230" s="779"/>
      <c r="F1230" s="779"/>
      <c r="G1230" s="779"/>
    </row>
    <row r="1231" spans="1:7">
      <c r="A1231" s="779"/>
      <c r="B1231" s="779"/>
      <c r="C1231" s="779"/>
      <c r="D1231" s="779"/>
      <c r="E1231" s="779"/>
      <c r="F1231" s="779"/>
      <c r="G1231" s="779"/>
    </row>
    <row r="1232" spans="1:7">
      <c r="A1232" s="779"/>
      <c r="B1232" s="779"/>
      <c r="C1232" s="779"/>
      <c r="D1232" s="779"/>
      <c r="E1232" s="779"/>
      <c r="F1232" s="779"/>
      <c r="G1232" s="779"/>
    </row>
    <row r="1233" spans="1:7">
      <c r="A1233" s="779"/>
      <c r="B1233" s="779"/>
      <c r="C1233" s="779"/>
      <c r="D1233" s="779"/>
      <c r="E1233" s="779"/>
      <c r="F1233" s="779"/>
      <c r="G1233" s="779"/>
    </row>
    <row r="1234" spans="1:7">
      <c r="A1234" s="779"/>
      <c r="B1234" s="779"/>
      <c r="C1234" s="779"/>
      <c r="D1234" s="779"/>
      <c r="E1234" s="779"/>
      <c r="F1234" s="779"/>
      <c r="G1234" s="779"/>
    </row>
    <row r="1235" spans="1:7">
      <c r="A1235" s="779"/>
      <c r="B1235" s="779"/>
      <c r="C1235" s="779"/>
      <c r="D1235" s="779"/>
      <c r="E1235" s="779"/>
      <c r="F1235" s="779"/>
      <c r="G1235" s="779"/>
    </row>
    <row r="1236" spans="1:7">
      <c r="A1236" s="779"/>
      <c r="B1236" s="779"/>
      <c r="C1236" s="779"/>
      <c r="D1236" s="779"/>
      <c r="E1236" s="779"/>
      <c r="F1236" s="779"/>
      <c r="G1236" s="779"/>
    </row>
    <row r="1237" spans="1:7">
      <c r="A1237" s="779"/>
      <c r="B1237" s="779"/>
      <c r="C1237" s="779"/>
      <c r="D1237" s="779"/>
      <c r="E1237" s="779"/>
      <c r="F1237" s="779"/>
      <c r="G1237" s="779"/>
    </row>
    <row r="1238" spans="1:7">
      <c r="A1238" s="779"/>
      <c r="B1238" s="779"/>
      <c r="C1238" s="779"/>
      <c r="D1238" s="779"/>
      <c r="E1238" s="779"/>
      <c r="F1238" s="779"/>
      <c r="G1238" s="779"/>
    </row>
    <row r="1239" spans="1:7">
      <c r="A1239" s="779"/>
      <c r="B1239" s="779"/>
      <c r="C1239" s="779"/>
      <c r="D1239" s="779"/>
      <c r="E1239" s="779"/>
      <c r="F1239" s="779"/>
      <c r="G1239" s="779"/>
    </row>
    <row r="1240" spans="1:7">
      <c r="A1240" s="779"/>
      <c r="B1240" s="779"/>
      <c r="C1240" s="779"/>
      <c r="D1240" s="779"/>
      <c r="E1240" s="779"/>
      <c r="F1240" s="779"/>
      <c r="G1240" s="779"/>
    </row>
    <row r="1241" spans="1:7">
      <c r="A1241" s="779"/>
      <c r="B1241" s="779"/>
      <c r="C1241" s="779"/>
      <c r="D1241" s="779"/>
      <c r="E1241" s="779"/>
      <c r="F1241" s="779"/>
      <c r="G1241" s="779"/>
    </row>
    <row r="1242" spans="1:7">
      <c r="A1242" s="779"/>
      <c r="B1242" s="779"/>
      <c r="C1242" s="779"/>
      <c r="D1242" s="779"/>
      <c r="E1242" s="779"/>
      <c r="F1242" s="779"/>
      <c r="G1242" s="779"/>
    </row>
    <row r="1243" spans="1:7">
      <c r="A1243" s="779"/>
      <c r="B1243" s="779"/>
      <c r="C1243" s="779"/>
      <c r="D1243" s="779"/>
      <c r="E1243" s="779"/>
      <c r="F1243" s="779"/>
      <c r="G1243" s="779"/>
    </row>
    <row r="1244" spans="1:7">
      <c r="A1244" s="779"/>
      <c r="B1244" s="779"/>
      <c r="C1244" s="779"/>
      <c r="D1244" s="779"/>
      <c r="E1244" s="779"/>
      <c r="F1244" s="779"/>
      <c r="G1244" s="779"/>
    </row>
    <row r="1245" spans="1:7">
      <c r="A1245" s="779"/>
      <c r="B1245" s="779"/>
      <c r="C1245" s="779"/>
      <c r="D1245" s="779"/>
      <c r="E1245" s="779"/>
      <c r="F1245" s="779"/>
      <c r="G1245" s="779"/>
    </row>
    <row r="1246" spans="1:7">
      <c r="A1246" s="779"/>
      <c r="B1246" s="779"/>
      <c r="C1246" s="779"/>
      <c r="D1246" s="779"/>
      <c r="E1246" s="779"/>
      <c r="F1246" s="779"/>
      <c r="G1246" s="779"/>
    </row>
    <row r="1247" spans="1:7">
      <c r="A1247" s="779"/>
      <c r="B1247" s="779"/>
      <c r="C1247" s="779"/>
      <c r="D1247" s="779"/>
      <c r="E1247" s="779"/>
      <c r="F1247" s="779"/>
      <c r="G1247" s="779"/>
    </row>
    <row r="1248" spans="1:7">
      <c r="A1248" s="779"/>
      <c r="B1248" s="779"/>
      <c r="C1248" s="779"/>
      <c r="D1248" s="779"/>
      <c r="E1248" s="779"/>
      <c r="F1248" s="779"/>
      <c r="G1248" s="779"/>
    </row>
    <row r="1249" spans="1:7">
      <c r="A1249" s="779"/>
      <c r="B1249" s="779"/>
      <c r="C1249" s="779"/>
      <c r="D1249" s="779"/>
      <c r="E1249" s="779"/>
      <c r="F1249" s="779"/>
      <c r="G1249" s="779"/>
    </row>
    <row r="1250" spans="1:7">
      <c r="A1250" s="779"/>
      <c r="B1250" s="779"/>
      <c r="C1250" s="779"/>
      <c r="D1250" s="779"/>
      <c r="E1250" s="779"/>
      <c r="F1250" s="779"/>
      <c r="G1250" s="779"/>
    </row>
    <row r="1251" spans="1:7">
      <c r="A1251" s="779"/>
      <c r="B1251" s="779"/>
      <c r="C1251" s="779"/>
      <c r="D1251" s="779"/>
      <c r="E1251" s="779"/>
      <c r="F1251" s="779"/>
      <c r="G1251" s="779"/>
    </row>
    <row r="1252" spans="1:7">
      <c r="A1252" s="779"/>
      <c r="B1252" s="779"/>
      <c r="C1252" s="779"/>
      <c r="D1252" s="779"/>
      <c r="E1252" s="779"/>
      <c r="F1252" s="779"/>
      <c r="G1252" s="779"/>
    </row>
    <row r="1253" spans="1:7">
      <c r="A1253" s="779"/>
      <c r="B1253" s="779"/>
      <c r="C1253" s="779"/>
      <c r="D1253" s="779"/>
      <c r="E1253" s="779"/>
      <c r="F1253" s="779"/>
      <c r="G1253" s="779"/>
    </row>
    <row r="1254" spans="1:7">
      <c r="A1254" s="779"/>
      <c r="B1254" s="779"/>
      <c r="C1254" s="779"/>
      <c r="D1254" s="779"/>
      <c r="E1254" s="779"/>
      <c r="F1254" s="779"/>
      <c r="G1254" s="779"/>
    </row>
    <row r="1255" spans="1:7">
      <c r="A1255" s="779"/>
      <c r="B1255" s="779"/>
      <c r="C1255" s="779"/>
      <c r="D1255" s="779"/>
      <c r="E1255" s="779"/>
      <c r="F1255" s="779"/>
      <c r="G1255" s="779"/>
    </row>
    <row r="1256" spans="1:7">
      <c r="A1256" s="779"/>
      <c r="B1256" s="779"/>
      <c r="C1256" s="779"/>
      <c r="D1256" s="779"/>
      <c r="E1256" s="779"/>
      <c r="F1256" s="779"/>
      <c r="G1256" s="779"/>
    </row>
    <row r="1257" spans="1:7">
      <c r="A1257" s="779"/>
      <c r="B1257" s="779"/>
      <c r="C1257" s="779"/>
      <c r="D1257" s="779"/>
      <c r="E1257" s="779"/>
      <c r="F1257" s="779"/>
      <c r="G1257" s="779"/>
    </row>
    <row r="1258" spans="1:7">
      <c r="A1258" s="779"/>
      <c r="B1258" s="779"/>
      <c r="C1258" s="779"/>
      <c r="D1258" s="779"/>
      <c r="E1258" s="779"/>
      <c r="F1258" s="779"/>
      <c r="G1258" s="779"/>
    </row>
    <row r="1259" spans="1:7">
      <c r="A1259" s="779"/>
      <c r="B1259" s="779"/>
      <c r="C1259" s="779"/>
      <c r="D1259" s="779"/>
      <c r="E1259" s="779"/>
      <c r="F1259" s="779"/>
      <c r="G1259" s="779"/>
    </row>
    <row r="1260" spans="1:7">
      <c r="A1260" s="779"/>
      <c r="B1260" s="779"/>
      <c r="C1260" s="779"/>
      <c r="D1260" s="779"/>
      <c r="E1260" s="779"/>
      <c r="F1260" s="779"/>
      <c r="G1260" s="779"/>
    </row>
    <row r="1261" spans="1:7">
      <c r="A1261" s="779"/>
      <c r="B1261" s="779"/>
      <c r="C1261" s="779"/>
      <c r="D1261" s="779"/>
      <c r="E1261" s="779"/>
      <c r="F1261" s="779"/>
      <c r="G1261" s="779"/>
    </row>
    <row r="1262" spans="1:7">
      <c r="A1262" s="779"/>
      <c r="B1262" s="779"/>
      <c r="C1262" s="779"/>
      <c r="D1262" s="779"/>
      <c r="E1262" s="779"/>
      <c r="F1262" s="779"/>
      <c r="G1262" s="779"/>
    </row>
    <row r="1263" spans="1:7">
      <c r="A1263" s="779"/>
      <c r="B1263" s="779"/>
      <c r="C1263" s="779"/>
      <c r="D1263" s="779"/>
      <c r="E1263" s="779"/>
      <c r="F1263" s="779"/>
      <c r="G1263" s="779"/>
    </row>
    <row r="1264" spans="1:7">
      <c r="A1264" s="779"/>
      <c r="B1264" s="779"/>
      <c r="C1264" s="779"/>
      <c r="D1264" s="779"/>
      <c r="E1264" s="779"/>
      <c r="F1264" s="779"/>
      <c r="G1264" s="779"/>
    </row>
    <row r="1265" spans="1:7">
      <c r="A1265" s="779"/>
      <c r="B1265" s="779"/>
      <c r="C1265" s="779"/>
      <c r="D1265" s="779"/>
      <c r="E1265" s="779"/>
      <c r="F1265" s="779"/>
      <c r="G1265" s="779"/>
    </row>
    <row r="1266" spans="1:7">
      <c r="A1266" s="779"/>
      <c r="B1266" s="779"/>
      <c r="C1266" s="779"/>
      <c r="D1266" s="779"/>
      <c r="E1266" s="779"/>
      <c r="F1266" s="779"/>
      <c r="G1266" s="779"/>
    </row>
    <row r="1267" spans="1:7">
      <c r="A1267" s="779"/>
      <c r="B1267" s="779"/>
      <c r="C1267" s="779"/>
      <c r="D1267" s="779"/>
      <c r="E1267" s="779"/>
      <c r="F1267" s="779"/>
      <c r="G1267" s="779"/>
    </row>
    <row r="1268" spans="1:7">
      <c r="A1268" s="779"/>
      <c r="B1268" s="779"/>
      <c r="C1268" s="779"/>
      <c r="D1268" s="779"/>
      <c r="E1268" s="779"/>
      <c r="F1268" s="779"/>
      <c r="G1268" s="779"/>
    </row>
    <row r="1269" spans="1:7">
      <c r="A1269" s="779"/>
      <c r="B1269" s="779"/>
      <c r="C1269" s="779"/>
      <c r="D1269" s="779"/>
      <c r="E1269" s="779"/>
      <c r="F1269" s="779"/>
      <c r="G1269" s="779"/>
    </row>
    <row r="1270" spans="1:7">
      <c r="A1270" s="779"/>
      <c r="B1270" s="779"/>
      <c r="C1270" s="779"/>
      <c r="D1270" s="779"/>
      <c r="E1270" s="779"/>
      <c r="F1270" s="779"/>
      <c r="G1270" s="779"/>
    </row>
    <row r="1271" spans="1:7">
      <c r="A1271" s="779"/>
      <c r="B1271" s="779"/>
      <c r="C1271" s="779"/>
      <c r="D1271" s="779"/>
      <c r="E1271" s="779"/>
      <c r="F1271" s="779"/>
      <c r="G1271" s="779"/>
    </row>
    <row r="1272" spans="1:7">
      <c r="A1272" s="779"/>
      <c r="B1272" s="779"/>
      <c r="C1272" s="779"/>
      <c r="D1272" s="779"/>
      <c r="E1272" s="779"/>
      <c r="F1272" s="779"/>
      <c r="G1272" s="779"/>
    </row>
    <row r="1273" spans="1:7">
      <c r="A1273" s="779"/>
      <c r="B1273" s="779"/>
      <c r="C1273" s="779"/>
      <c r="D1273" s="779"/>
      <c r="E1273" s="779"/>
      <c r="F1273" s="779"/>
      <c r="G1273" s="779"/>
    </row>
    <row r="1274" spans="1:7">
      <c r="A1274" s="779"/>
      <c r="B1274" s="779"/>
      <c r="C1274" s="779"/>
      <c r="D1274" s="779"/>
      <c r="E1274" s="779"/>
      <c r="F1274" s="779"/>
      <c r="G1274" s="779"/>
    </row>
    <row r="1275" spans="1:7">
      <c r="A1275" s="779"/>
      <c r="B1275" s="779"/>
      <c r="C1275" s="779"/>
      <c r="D1275" s="779"/>
      <c r="E1275" s="779"/>
      <c r="F1275" s="779"/>
      <c r="G1275" s="779"/>
    </row>
    <row r="1276" spans="1:7">
      <c r="A1276" s="779"/>
      <c r="B1276" s="779"/>
      <c r="C1276" s="779"/>
      <c r="D1276" s="779"/>
      <c r="E1276" s="779"/>
      <c r="F1276" s="779"/>
      <c r="G1276" s="779"/>
    </row>
    <row r="1277" spans="1:7">
      <c r="A1277" s="779"/>
      <c r="B1277" s="779"/>
      <c r="C1277" s="779"/>
      <c r="D1277" s="779"/>
      <c r="E1277" s="779"/>
      <c r="F1277" s="779"/>
      <c r="G1277" s="779"/>
    </row>
    <row r="1278" spans="1:7">
      <c r="A1278" s="779"/>
      <c r="B1278" s="779"/>
      <c r="C1278" s="779"/>
      <c r="D1278" s="779"/>
      <c r="E1278" s="779"/>
      <c r="F1278" s="779"/>
      <c r="G1278" s="779"/>
    </row>
    <row r="1279" spans="1:7">
      <c r="A1279" s="779"/>
      <c r="B1279" s="779"/>
      <c r="C1279" s="779"/>
      <c r="D1279" s="779"/>
      <c r="E1279" s="779"/>
      <c r="F1279" s="779"/>
      <c r="G1279" s="779"/>
    </row>
    <row r="1280" spans="1:7">
      <c r="A1280" s="779"/>
      <c r="B1280" s="779"/>
      <c r="C1280" s="779"/>
      <c r="D1280" s="779"/>
      <c r="E1280" s="779"/>
      <c r="F1280" s="779"/>
      <c r="G1280" s="779"/>
    </row>
    <row r="1281" spans="1:7">
      <c r="A1281" s="779"/>
      <c r="B1281" s="779"/>
      <c r="C1281" s="779"/>
      <c r="D1281" s="779"/>
      <c r="E1281" s="779"/>
      <c r="F1281" s="779"/>
      <c r="G1281" s="779"/>
    </row>
    <row r="1282" spans="1:7">
      <c r="A1282" s="779"/>
      <c r="B1282" s="779"/>
      <c r="C1282" s="779"/>
      <c r="D1282" s="779"/>
      <c r="E1282" s="779"/>
      <c r="F1282" s="779"/>
      <c r="G1282" s="779"/>
    </row>
    <row r="1283" spans="1:7">
      <c r="A1283" s="779"/>
      <c r="B1283" s="779"/>
      <c r="C1283" s="779"/>
      <c r="D1283" s="779"/>
      <c r="E1283" s="779"/>
      <c r="F1283" s="779"/>
      <c r="G1283" s="779"/>
    </row>
    <row r="1284" spans="1:7">
      <c r="A1284" s="779"/>
      <c r="B1284" s="779"/>
      <c r="C1284" s="779"/>
      <c r="D1284" s="779"/>
      <c r="E1284" s="779"/>
      <c r="F1284" s="779"/>
      <c r="G1284" s="779"/>
    </row>
    <row r="1285" spans="1:7">
      <c r="A1285" s="779"/>
      <c r="B1285" s="779"/>
      <c r="C1285" s="779"/>
      <c r="D1285" s="779"/>
      <c r="E1285" s="779"/>
      <c r="F1285" s="779"/>
      <c r="G1285" s="779"/>
    </row>
    <row r="1286" spans="1:7">
      <c r="A1286" s="779"/>
      <c r="B1286" s="779"/>
      <c r="C1286" s="779"/>
      <c r="D1286" s="779"/>
      <c r="E1286" s="779"/>
      <c r="F1286" s="779"/>
      <c r="G1286" s="779"/>
    </row>
    <row r="1287" spans="1:7">
      <c r="A1287" s="779"/>
      <c r="B1287" s="779"/>
      <c r="C1287" s="779"/>
      <c r="D1287" s="779"/>
      <c r="E1287" s="779"/>
      <c r="F1287" s="779"/>
      <c r="G1287" s="779"/>
    </row>
    <row r="1288" spans="1:7">
      <c r="A1288" s="779"/>
      <c r="B1288" s="779"/>
      <c r="C1288" s="779"/>
      <c r="D1288" s="779"/>
      <c r="E1288" s="779"/>
      <c r="F1288" s="779"/>
      <c r="G1288" s="779"/>
    </row>
    <row r="1289" spans="1:7">
      <c r="A1289" s="779"/>
      <c r="B1289" s="779"/>
      <c r="C1289" s="779"/>
      <c r="D1289" s="779"/>
      <c r="E1289" s="779"/>
      <c r="F1289" s="779"/>
      <c r="G1289" s="779"/>
    </row>
    <row r="1290" spans="1:7">
      <c r="A1290" s="779"/>
      <c r="B1290" s="779"/>
      <c r="C1290" s="779"/>
      <c r="D1290" s="779"/>
      <c r="E1290" s="779"/>
      <c r="F1290" s="779"/>
      <c r="G1290" s="779"/>
    </row>
    <row r="1291" spans="1:7">
      <c r="A1291" s="779"/>
      <c r="B1291" s="779"/>
      <c r="C1291" s="779"/>
      <c r="D1291" s="779"/>
      <c r="E1291" s="779"/>
      <c r="F1291" s="779"/>
      <c r="G1291" s="779"/>
    </row>
    <row r="1292" spans="1:7">
      <c r="A1292" s="779"/>
      <c r="B1292" s="779"/>
      <c r="C1292" s="779"/>
      <c r="D1292" s="779"/>
      <c r="E1292" s="779"/>
      <c r="F1292" s="779"/>
      <c r="G1292" s="779"/>
    </row>
    <row r="1293" spans="1:7">
      <c r="A1293" s="779"/>
      <c r="B1293" s="779"/>
      <c r="C1293" s="779"/>
      <c r="D1293" s="779"/>
      <c r="E1293" s="779"/>
      <c r="F1293" s="779"/>
      <c r="G1293" s="779"/>
    </row>
    <row r="1294" spans="1:7">
      <c r="A1294" s="779"/>
      <c r="B1294" s="779"/>
      <c r="C1294" s="779"/>
      <c r="D1294" s="779"/>
      <c r="E1294" s="779"/>
      <c r="F1294" s="779"/>
      <c r="G1294" s="779"/>
    </row>
    <row r="1295" spans="1:7">
      <c r="A1295" s="779"/>
      <c r="B1295" s="779"/>
      <c r="C1295" s="779"/>
      <c r="D1295" s="779"/>
      <c r="E1295" s="779"/>
      <c r="F1295" s="779"/>
      <c r="G1295" s="779"/>
    </row>
    <row r="1296" spans="1:7">
      <c r="A1296" s="779"/>
      <c r="B1296" s="779"/>
      <c r="C1296" s="779"/>
      <c r="D1296" s="779"/>
      <c r="E1296" s="779"/>
      <c r="F1296" s="779"/>
      <c r="G1296" s="779"/>
    </row>
    <row r="1297" spans="1:7">
      <c r="A1297" s="779"/>
      <c r="B1297" s="779"/>
      <c r="C1297" s="779"/>
      <c r="D1297" s="779"/>
      <c r="E1297" s="779"/>
      <c r="F1297" s="779"/>
      <c r="G1297" s="779"/>
    </row>
    <row r="1298" spans="1:7">
      <c r="A1298" s="779"/>
      <c r="B1298" s="779"/>
      <c r="C1298" s="779"/>
      <c r="D1298" s="779"/>
      <c r="E1298" s="779"/>
      <c r="F1298" s="779"/>
      <c r="G1298" s="779"/>
    </row>
    <row r="1299" spans="1:7">
      <c r="A1299" s="779"/>
      <c r="B1299" s="779"/>
      <c r="C1299" s="779"/>
      <c r="D1299" s="779"/>
      <c r="E1299" s="779"/>
      <c r="F1299" s="779"/>
      <c r="G1299" s="779"/>
    </row>
    <row r="1300" spans="1:7">
      <c r="A1300" s="779"/>
      <c r="B1300" s="779"/>
      <c r="C1300" s="779"/>
      <c r="D1300" s="779"/>
      <c r="E1300" s="779"/>
      <c r="F1300" s="779"/>
      <c r="G1300" s="779"/>
    </row>
    <row r="1301" spans="1:7">
      <c r="A1301" s="779"/>
      <c r="B1301" s="779"/>
      <c r="C1301" s="779"/>
      <c r="D1301" s="779"/>
      <c r="E1301" s="779"/>
      <c r="F1301" s="779"/>
      <c r="G1301" s="779"/>
    </row>
    <row r="1302" spans="1:7">
      <c r="A1302" s="779"/>
      <c r="B1302" s="779"/>
      <c r="C1302" s="779"/>
      <c r="D1302" s="779"/>
      <c r="E1302" s="779"/>
      <c r="F1302" s="779"/>
      <c r="G1302" s="779"/>
    </row>
    <row r="1303" spans="1:7">
      <c r="A1303" s="779"/>
      <c r="B1303" s="779"/>
      <c r="C1303" s="779"/>
      <c r="D1303" s="779"/>
      <c r="E1303" s="779"/>
      <c r="F1303" s="779"/>
      <c r="G1303" s="779"/>
    </row>
    <row r="1304" spans="1:7">
      <c r="A1304" s="779"/>
      <c r="B1304" s="779"/>
      <c r="C1304" s="779"/>
      <c r="D1304" s="779"/>
      <c r="E1304" s="779"/>
      <c r="F1304" s="779"/>
      <c r="G1304" s="779"/>
    </row>
    <row r="1305" spans="1:7">
      <c r="A1305" s="779"/>
      <c r="B1305" s="779"/>
      <c r="C1305" s="779"/>
      <c r="D1305" s="779"/>
      <c r="E1305" s="779"/>
      <c r="F1305" s="779"/>
      <c r="G1305" s="779"/>
    </row>
    <row r="1306" spans="1:7">
      <c r="A1306" s="779"/>
      <c r="B1306" s="779"/>
      <c r="C1306" s="779"/>
      <c r="D1306" s="779"/>
      <c r="E1306" s="779"/>
      <c r="F1306" s="779"/>
      <c r="G1306" s="779"/>
    </row>
    <row r="1307" spans="1:7">
      <c r="A1307" s="779"/>
      <c r="B1307" s="779"/>
      <c r="C1307" s="779"/>
      <c r="D1307" s="779"/>
      <c r="E1307" s="779"/>
      <c r="F1307" s="779"/>
      <c r="G1307" s="779"/>
    </row>
    <row r="1308" spans="1:7">
      <c r="A1308" s="779"/>
      <c r="B1308" s="779"/>
      <c r="C1308" s="779"/>
      <c r="D1308" s="779"/>
      <c r="E1308" s="779"/>
      <c r="F1308" s="779"/>
      <c r="G1308" s="779"/>
    </row>
    <row r="1309" spans="1:7">
      <c r="A1309" s="779"/>
      <c r="B1309" s="779"/>
      <c r="C1309" s="779"/>
      <c r="D1309" s="779"/>
      <c r="E1309" s="779"/>
      <c r="F1309" s="779"/>
      <c r="G1309" s="779"/>
    </row>
    <row r="1310" spans="1:7">
      <c r="A1310" s="779"/>
      <c r="B1310" s="779"/>
      <c r="C1310" s="779"/>
      <c r="D1310" s="779"/>
      <c r="E1310" s="779"/>
      <c r="F1310" s="779"/>
      <c r="G1310" s="779"/>
    </row>
    <row r="1311" spans="1:7">
      <c r="A1311" s="779"/>
      <c r="B1311" s="779"/>
      <c r="C1311" s="779"/>
      <c r="D1311" s="779"/>
      <c r="E1311" s="779"/>
      <c r="F1311" s="779"/>
      <c r="G1311" s="779"/>
    </row>
    <row r="1312" spans="1:7">
      <c r="A1312" s="779"/>
      <c r="B1312" s="779"/>
      <c r="C1312" s="779"/>
      <c r="D1312" s="779"/>
      <c r="E1312" s="779"/>
      <c r="F1312" s="779"/>
      <c r="G1312" s="779"/>
    </row>
    <row r="1313" spans="1:7">
      <c r="A1313" s="779"/>
      <c r="B1313" s="779"/>
      <c r="C1313" s="779"/>
      <c r="D1313" s="779"/>
      <c r="E1313" s="779"/>
      <c r="F1313" s="779"/>
      <c r="G1313" s="779"/>
    </row>
    <row r="1314" spans="1:7">
      <c r="A1314" s="779"/>
      <c r="B1314" s="779"/>
      <c r="C1314" s="779"/>
      <c r="D1314" s="779"/>
      <c r="E1314" s="779"/>
      <c r="F1314" s="779"/>
      <c r="G1314" s="779"/>
    </row>
    <row r="1315" spans="1:7">
      <c r="A1315" s="779"/>
      <c r="B1315" s="779"/>
      <c r="C1315" s="779"/>
      <c r="D1315" s="779"/>
      <c r="E1315" s="779"/>
      <c r="F1315" s="779"/>
      <c r="G1315" s="779"/>
    </row>
    <row r="1316" spans="1:7">
      <c r="A1316" s="779"/>
      <c r="B1316" s="779"/>
      <c r="C1316" s="779"/>
      <c r="D1316" s="779"/>
      <c r="E1316" s="779"/>
      <c r="F1316" s="779"/>
      <c r="G1316" s="779"/>
    </row>
    <row r="1317" spans="1:7">
      <c r="A1317" s="779"/>
      <c r="B1317" s="779"/>
      <c r="C1317" s="779"/>
      <c r="D1317" s="779"/>
      <c r="E1317" s="779"/>
      <c r="F1317" s="779"/>
      <c r="G1317" s="779"/>
    </row>
    <row r="1318" spans="1:7">
      <c r="A1318" s="779"/>
      <c r="B1318" s="779"/>
      <c r="C1318" s="779"/>
      <c r="D1318" s="779"/>
      <c r="E1318" s="779"/>
      <c r="F1318" s="779"/>
      <c r="G1318" s="779"/>
    </row>
    <row r="1319" spans="1:7">
      <c r="A1319" s="779"/>
      <c r="B1319" s="779"/>
      <c r="C1319" s="779"/>
      <c r="D1319" s="779"/>
      <c r="E1319" s="779"/>
      <c r="F1319" s="779"/>
      <c r="G1319" s="779"/>
    </row>
    <row r="1320" spans="1:7">
      <c r="A1320" s="779"/>
      <c r="B1320" s="779"/>
      <c r="C1320" s="779"/>
      <c r="D1320" s="779"/>
      <c r="E1320" s="779"/>
      <c r="F1320" s="779"/>
      <c r="G1320" s="779"/>
    </row>
    <row r="1321" spans="1:7">
      <c r="A1321" s="779"/>
      <c r="B1321" s="779"/>
      <c r="C1321" s="779"/>
      <c r="D1321" s="779"/>
      <c r="E1321" s="779"/>
      <c r="F1321" s="779"/>
      <c r="G1321" s="779"/>
    </row>
    <row r="1322" spans="1:7">
      <c r="A1322" s="779"/>
      <c r="B1322" s="779"/>
      <c r="C1322" s="779"/>
      <c r="D1322" s="779"/>
      <c r="E1322" s="779"/>
      <c r="F1322" s="779"/>
      <c r="G1322" s="779"/>
    </row>
    <row r="1323" spans="1:7">
      <c r="A1323" s="779"/>
      <c r="B1323" s="779"/>
      <c r="C1323" s="779"/>
      <c r="D1323" s="779"/>
      <c r="E1323" s="779"/>
      <c r="F1323" s="779"/>
      <c r="G1323" s="779"/>
    </row>
    <row r="1324" spans="1:7">
      <c r="A1324" s="779"/>
      <c r="B1324" s="779"/>
      <c r="C1324" s="779"/>
      <c r="D1324" s="779"/>
      <c r="E1324" s="779"/>
      <c r="F1324" s="779"/>
      <c r="G1324" s="779"/>
    </row>
    <row r="1325" spans="1:7">
      <c r="A1325" s="779"/>
      <c r="B1325" s="779"/>
      <c r="C1325" s="779"/>
      <c r="D1325" s="779"/>
      <c r="E1325" s="779"/>
      <c r="F1325" s="779"/>
      <c r="G1325" s="779"/>
    </row>
    <row r="1326" spans="1:7">
      <c r="A1326" s="779"/>
      <c r="B1326" s="779"/>
      <c r="C1326" s="779"/>
      <c r="D1326" s="779"/>
      <c r="E1326" s="779"/>
      <c r="F1326" s="779"/>
      <c r="G1326" s="779"/>
    </row>
    <row r="1327" spans="1:7">
      <c r="A1327" s="779"/>
      <c r="B1327" s="779"/>
      <c r="C1327" s="779"/>
      <c r="D1327" s="779"/>
      <c r="E1327" s="779"/>
      <c r="F1327" s="779"/>
      <c r="G1327" s="779"/>
    </row>
    <row r="1328" spans="1:7">
      <c r="A1328" s="779"/>
      <c r="B1328" s="779"/>
      <c r="C1328" s="779"/>
      <c r="D1328" s="779"/>
      <c r="E1328" s="779"/>
      <c r="F1328" s="779"/>
      <c r="G1328" s="779"/>
    </row>
    <row r="1329" spans="1:7">
      <c r="A1329" s="779"/>
      <c r="B1329" s="779"/>
      <c r="C1329" s="779"/>
      <c r="D1329" s="779"/>
      <c r="E1329" s="779"/>
      <c r="F1329" s="779"/>
      <c r="G1329" s="779"/>
    </row>
    <row r="1330" spans="1:7">
      <c r="A1330" s="779"/>
      <c r="B1330" s="779"/>
      <c r="C1330" s="779"/>
      <c r="D1330" s="779"/>
      <c r="E1330" s="779"/>
      <c r="F1330" s="779"/>
      <c r="G1330" s="779"/>
    </row>
    <row r="1331" spans="1:7">
      <c r="A1331" s="779"/>
      <c r="B1331" s="779"/>
      <c r="C1331" s="779"/>
      <c r="D1331" s="779"/>
      <c r="E1331" s="779"/>
      <c r="F1331" s="779"/>
      <c r="G1331" s="779"/>
    </row>
    <row r="1332" spans="1:7">
      <c r="A1332" s="779"/>
      <c r="B1332" s="779"/>
      <c r="C1332" s="779"/>
      <c r="D1332" s="779"/>
      <c r="E1332" s="779"/>
      <c r="F1332" s="779"/>
      <c r="G1332" s="779"/>
    </row>
    <row r="1333" spans="1:7">
      <c r="A1333" s="779"/>
      <c r="B1333" s="779"/>
      <c r="C1333" s="779"/>
      <c r="D1333" s="779"/>
      <c r="E1333" s="779"/>
      <c r="F1333" s="779"/>
      <c r="G1333" s="779"/>
    </row>
    <row r="1334" spans="1:7">
      <c r="A1334" s="779"/>
      <c r="B1334" s="779"/>
      <c r="C1334" s="779"/>
      <c r="D1334" s="779"/>
      <c r="E1334" s="779"/>
      <c r="F1334" s="779"/>
      <c r="G1334" s="779"/>
    </row>
    <row r="1335" spans="1:7">
      <c r="A1335" s="779"/>
      <c r="B1335" s="779"/>
      <c r="C1335" s="779"/>
      <c r="D1335" s="779"/>
      <c r="E1335" s="779"/>
      <c r="F1335" s="779"/>
      <c r="G1335" s="779"/>
    </row>
    <row r="1336" spans="1:7">
      <c r="A1336" s="779"/>
      <c r="B1336" s="779"/>
      <c r="C1336" s="779"/>
      <c r="D1336" s="779"/>
      <c r="E1336" s="779"/>
      <c r="F1336" s="779"/>
      <c r="G1336" s="779"/>
    </row>
    <row r="1337" spans="1:7">
      <c r="A1337" s="779"/>
      <c r="B1337" s="779"/>
      <c r="C1337" s="779"/>
      <c r="D1337" s="779"/>
      <c r="E1337" s="779"/>
      <c r="F1337" s="779"/>
      <c r="G1337" s="779"/>
    </row>
    <row r="1338" spans="1:7">
      <c r="A1338" s="779"/>
      <c r="B1338" s="779"/>
      <c r="C1338" s="779"/>
      <c r="D1338" s="779"/>
      <c r="E1338" s="779"/>
      <c r="F1338" s="779"/>
      <c r="G1338" s="779"/>
    </row>
    <row r="1339" spans="1:7">
      <c r="A1339" s="779"/>
      <c r="B1339" s="779"/>
      <c r="C1339" s="779"/>
      <c r="D1339" s="779"/>
      <c r="E1339" s="779"/>
      <c r="F1339" s="779"/>
      <c r="G1339" s="779"/>
    </row>
    <row r="1340" spans="1:7">
      <c r="A1340" s="779"/>
      <c r="B1340" s="779"/>
      <c r="C1340" s="779"/>
      <c r="D1340" s="779"/>
      <c r="E1340" s="779"/>
      <c r="F1340" s="779"/>
      <c r="G1340" s="779"/>
    </row>
    <row r="1341" spans="1:7">
      <c r="A1341" s="779"/>
      <c r="B1341" s="779"/>
      <c r="C1341" s="779"/>
      <c r="D1341" s="779"/>
      <c r="E1341" s="779"/>
      <c r="F1341" s="779"/>
      <c r="G1341" s="779"/>
    </row>
    <row r="1342" spans="1:7">
      <c r="A1342" s="779"/>
      <c r="B1342" s="779"/>
      <c r="C1342" s="779"/>
      <c r="D1342" s="779"/>
      <c r="E1342" s="779"/>
      <c r="F1342" s="779"/>
      <c r="G1342" s="779"/>
    </row>
    <row r="1343" spans="1:7">
      <c r="A1343" s="779"/>
      <c r="B1343" s="779"/>
      <c r="C1343" s="779"/>
      <c r="D1343" s="779"/>
      <c r="E1343" s="779"/>
      <c r="F1343" s="779"/>
      <c r="G1343" s="779"/>
    </row>
    <row r="1344" spans="1:7">
      <c r="A1344" s="779"/>
      <c r="B1344" s="779"/>
      <c r="C1344" s="779"/>
      <c r="D1344" s="779"/>
      <c r="E1344" s="779"/>
      <c r="F1344" s="779"/>
      <c r="G1344" s="779"/>
    </row>
    <row r="1345" spans="1:7">
      <c r="A1345" s="779"/>
      <c r="B1345" s="779"/>
      <c r="C1345" s="779"/>
      <c r="D1345" s="779"/>
      <c r="E1345" s="779"/>
      <c r="F1345" s="779"/>
      <c r="G1345" s="779"/>
    </row>
    <row r="1346" spans="1:7">
      <c r="A1346" s="779"/>
      <c r="B1346" s="779"/>
      <c r="C1346" s="779"/>
      <c r="D1346" s="779"/>
      <c r="E1346" s="779"/>
      <c r="F1346" s="779"/>
      <c r="G1346" s="779"/>
    </row>
    <row r="1347" spans="1:7">
      <c r="A1347" s="779"/>
      <c r="B1347" s="779"/>
      <c r="C1347" s="779"/>
      <c r="D1347" s="779"/>
      <c r="E1347" s="779"/>
      <c r="F1347" s="779"/>
      <c r="G1347" s="779"/>
    </row>
    <row r="1348" spans="1:7">
      <c r="A1348" s="779"/>
      <c r="B1348" s="779"/>
      <c r="C1348" s="779"/>
      <c r="D1348" s="779"/>
      <c r="E1348" s="779"/>
      <c r="F1348" s="779"/>
      <c r="G1348" s="779"/>
    </row>
    <row r="1349" spans="1:7">
      <c r="A1349" s="779"/>
      <c r="B1349" s="779"/>
      <c r="C1349" s="779"/>
      <c r="D1349" s="779"/>
      <c r="E1349" s="779"/>
      <c r="F1349" s="779"/>
      <c r="G1349" s="779"/>
    </row>
    <row r="1350" spans="1:7">
      <c r="A1350" s="779"/>
      <c r="B1350" s="779"/>
      <c r="C1350" s="779"/>
      <c r="D1350" s="779"/>
      <c r="E1350" s="779"/>
      <c r="F1350" s="779"/>
      <c r="G1350" s="779"/>
    </row>
    <row r="1351" spans="1:7">
      <c r="A1351" s="779"/>
      <c r="B1351" s="779"/>
      <c r="C1351" s="779"/>
      <c r="D1351" s="779"/>
      <c r="E1351" s="779"/>
      <c r="F1351" s="779"/>
      <c r="G1351" s="779"/>
    </row>
    <row r="1352" spans="1:7">
      <c r="A1352" s="779"/>
      <c r="B1352" s="779"/>
      <c r="C1352" s="779"/>
      <c r="D1352" s="779"/>
      <c r="E1352" s="779"/>
      <c r="F1352" s="779"/>
      <c r="G1352" s="779"/>
    </row>
    <row r="1353" spans="1:7">
      <c r="A1353" s="779"/>
      <c r="B1353" s="779"/>
      <c r="C1353" s="779"/>
      <c r="D1353" s="779"/>
      <c r="E1353" s="779"/>
      <c r="F1353" s="779"/>
      <c r="G1353" s="779"/>
    </row>
    <row r="1354" spans="1:7">
      <c r="A1354" s="779"/>
      <c r="B1354" s="779"/>
      <c r="C1354" s="779"/>
      <c r="D1354" s="779"/>
      <c r="E1354" s="779"/>
      <c r="F1354" s="779"/>
      <c r="G1354" s="779"/>
    </row>
    <row r="1355" spans="1:7">
      <c r="A1355" s="779"/>
      <c r="B1355" s="779"/>
      <c r="C1355" s="779"/>
      <c r="D1355" s="779"/>
      <c r="E1355" s="779"/>
      <c r="F1355" s="779"/>
      <c r="G1355" s="779"/>
    </row>
    <row r="1356" spans="1:7">
      <c r="A1356" s="779"/>
      <c r="B1356" s="779"/>
      <c r="C1356" s="779"/>
      <c r="D1356" s="779"/>
      <c r="E1356" s="779"/>
      <c r="F1356" s="779"/>
      <c r="G1356" s="779"/>
    </row>
    <row r="1357" spans="1:7">
      <c r="A1357" s="779"/>
      <c r="B1357" s="779"/>
      <c r="C1357" s="779"/>
      <c r="D1357" s="779"/>
      <c r="E1357" s="779"/>
      <c r="F1357" s="779"/>
      <c r="G1357" s="779"/>
    </row>
    <row r="1358" spans="1:7">
      <c r="A1358" s="779"/>
      <c r="B1358" s="779"/>
      <c r="C1358" s="779"/>
      <c r="D1358" s="779"/>
      <c r="E1358" s="779"/>
      <c r="F1358" s="779"/>
      <c r="G1358" s="779"/>
    </row>
    <row r="1359" spans="1:7">
      <c r="A1359" s="779"/>
      <c r="B1359" s="779"/>
      <c r="C1359" s="779"/>
      <c r="D1359" s="779"/>
      <c r="E1359" s="779"/>
      <c r="F1359" s="779"/>
      <c r="G1359" s="779"/>
    </row>
    <row r="1360" spans="1:7">
      <c r="A1360" s="779"/>
      <c r="B1360" s="779"/>
      <c r="C1360" s="779"/>
      <c r="D1360" s="779"/>
      <c r="E1360" s="779"/>
      <c r="F1360" s="779"/>
      <c r="G1360" s="779"/>
    </row>
    <row r="1361" spans="1:7">
      <c r="A1361" s="779"/>
      <c r="B1361" s="779"/>
      <c r="C1361" s="779"/>
      <c r="D1361" s="779"/>
      <c r="E1361" s="779"/>
      <c r="F1361" s="779"/>
      <c r="G1361" s="779"/>
    </row>
    <row r="1362" spans="1:7">
      <c r="A1362" s="779"/>
      <c r="B1362" s="779"/>
      <c r="C1362" s="779"/>
      <c r="D1362" s="779"/>
      <c r="E1362" s="779"/>
      <c r="F1362" s="779"/>
      <c r="G1362" s="779"/>
    </row>
    <row r="1363" spans="1:7">
      <c r="A1363" s="779"/>
      <c r="B1363" s="779"/>
      <c r="C1363" s="779"/>
      <c r="D1363" s="779"/>
      <c r="E1363" s="779"/>
      <c r="F1363" s="779"/>
      <c r="G1363" s="779"/>
    </row>
    <row r="1364" spans="1:7">
      <c r="A1364" s="779"/>
      <c r="B1364" s="779"/>
      <c r="C1364" s="779"/>
      <c r="D1364" s="779"/>
      <c r="E1364" s="779"/>
      <c r="F1364" s="779"/>
      <c r="G1364" s="779"/>
    </row>
    <row r="1365" spans="1:7">
      <c r="A1365" s="779"/>
      <c r="B1365" s="779"/>
      <c r="C1365" s="779"/>
      <c r="D1365" s="779"/>
      <c r="E1365" s="779"/>
      <c r="F1365" s="779"/>
      <c r="G1365" s="779"/>
    </row>
    <row r="1366" spans="1:7">
      <c r="A1366" s="779"/>
      <c r="B1366" s="779"/>
      <c r="C1366" s="779"/>
      <c r="D1366" s="779"/>
      <c r="E1366" s="779"/>
      <c r="F1366" s="779"/>
      <c r="G1366" s="779"/>
    </row>
    <row r="1367" spans="1:7">
      <c r="A1367" s="779"/>
      <c r="B1367" s="779"/>
      <c r="C1367" s="779"/>
      <c r="D1367" s="779"/>
      <c r="E1367" s="779"/>
      <c r="F1367" s="779"/>
      <c r="G1367" s="779"/>
    </row>
    <row r="1368" spans="1:7">
      <c r="A1368" s="779"/>
      <c r="B1368" s="779"/>
      <c r="C1368" s="779"/>
      <c r="D1368" s="779"/>
      <c r="E1368" s="779"/>
      <c r="F1368" s="779"/>
      <c r="G1368" s="779"/>
    </row>
    <row r="1369" spans="1:7">
      <c r="A1369" s="779"/>
      <c r="B1369" s="779"/>
      <c r="C1369" s="779"/>
      <c r="D1369" s="779"/>
      <c r="E1369" s="779"/>
      <c r="F1369" s="779"/>
      <c r="G1369" s="779"/>
    </row>
    <row r="1370" spans="1:7">
      <c r="A1370" s="779"/>
      <c r="B1370" s="779"/>
      <c r="C1370" s="779"/>
      <c r="D1370" s="779"/>
      <c r="E1370" s="779"/>
      <c r="F1370" s="779"/>
      <c r="G1370" s="779"/>
    </row>
    <row r="1371" spans="1:7">
      <c r="A1371" s="779"/>
      <c r="B1371" s="779"/>
      <c r="C1371" s="779"/>
      <c r="D1371" s="779"/>
      <c r="E1371" s="779"/>
      <c r="F1371" s="779"/>
      <c r="G1371" s="779"/>
    </row>
    <row r="1372" spans="1:7">
      <c r="A1372" s="779"/>
      <c r="B1372" s="779"/>
      <c r="C1372" s="779"/>
      <c r="D1372" s="779"/>
      <c r="E1372" s="779"/>
      <c r="F1372" s="779"/>
      <c r="G1372" s="779"/>
    </row>
    <row r="1373" spans="1:7">
      <c r="A1373" s="779"/>
      <c r="B1373" s="779"/>
      <c r="C1373" s="779"/>
      <c r="D1373" s="779"/>
      <c r="E1373" s="779"/>
      <c r="F1373" s="779"/>
      <c r="G1373" s="779"/>
    </row>
    <row r="1374" spans="1:7">
      <c r="A1374" s="779"/>
      <c r="B1374" s="779"/>
      <c r="C1374" s="779"/>
      <c r="D1374" s="779"/>
      <c r="E1374" s="779"/>
      <c r="F1374" s="779"/>
      <c r="G1374" s="779"/>
    </row>
    <row r="1375" spans="1:7"/>
    <row r="1376" spans="1:7"/>
    <row r="1377" spans="1:7">
      <c r="A1377" s="779"/>
      <c r="B1377" s="779"/>
      <c r="C1377" s="779"/>
      <c r="D1377" s="779"/>
      <c r="E1377" s="779"/>
      <c r="F1377" s="779"/>
      <c r="G1377" s="779"/>
    </row>
    <row r="1378" spans="1:7">
      <c r="A1378" s="779"/>
      <c r="B1378" s="779"/>
      <c r="C1378" s="779"/>
      <c r="D1378" s="779"/>
      <c r="E1378" s="779"/>
      <c r="F1378" s="779"/>
      <c r="G1378" s="779"/>
    </row>
    <row r="1379" spans="1:7">
      <c r="A1379" s="779"/>
      <c r="B1379" s="779"/>
      <c r="C1379" s="779"/>
      <c r="D1379" s="779"/>
      <c r="E1379" s="779"/>
      <c r="F1379" s="779"/>
      <c r="G1379" s="779"/>
    </row>
    <row r="1380" spans="1:7">
      <c r="A1380" s="779"/>
      <c r="B1380" s="779"/>
      <c r="C1380" s="779"/>
      <c r="D1380" s="779"/>
      <c r="E1380" s="779"/>
      <c r="F1380" s="779"/>
      <c r="G1380" s="779"/>
    </row>
    <row r="1381" spans="1:7">
      <c r="A1381" s="779"/>
      <c r="B1381" s="779"/>
      <c r="C1381" s="779"/>
      <c r="D1381" s="779"/>
      <c r="E1381" s="779"/>
      <c r="F1381" s="779"/>
      <c r="G1381" s="779"/>
    </row>
    <row r="1382" spans="1:7">
      <c r="A1382" s="779"/>
      <c r="B1382" s="779"/>
      <c r="C1382" s="779"/>
      <c r="D1382" s="779"/>
      <c r="E1382" s="779"/>
      <c r="F1382" s="779"/>
      <c r="G1382" s="779"/>
    </row>
    <row r="1383" spans="1:7">
      <c r="A1383" s="779"/>
      <c r="B1383" s="779"/>
      <c r="C1383" s="779"/>
      <c r="D1383" s="779"/>
      <c r="E1383" s="779"/>
      <c r="F1383" s="779"/>
      <c r="G1383" s="779"/>
    </row>
    <row r="1384" spans="1:7">
      <c r="A1384" s="779"/>
      <c r="B1384" s="779"/>
      <c r="C1384" s="779"/>
      <c r="D1384" s="779"/>
      <c r="E1384" s="779"/>
      <c r="F1384" s="779"/>
      <c r="G1384" s="779"/>
    </row>
    <row r="1385" spans="1:7">
      <c r="A1385" s="779"/>
      <c r="B1385" s="779"/>
      <c r="C1385" s="779"/>
      <c r="D1385" s="779"/>
      <c r="E1385" s="779"/>
      <c r="F1385" s="779"/>
      <c r="G1385" s="779"/>
    </row>
    <row r="1386" spans="1:7">
      <c r="A1386" s="779"/>
      <c r="B1386" s="779"/>
      <c r="C1386" s="779"/>
      <c r="D1386" s="779"/>
      <c r="E1386" s="779"/>
      <c r="F1386" s="779"/>
      <c r="G1386" s="779"/>
    </row>
    <row r="1387" spans="1:7">
      <c r="A1387" s="779"/>
      <c r="B1387" s="779"/>
      <c r="C1387" s="779"/>
      <c r="D1387" s="779"/>
      <c r="E1387" s="779"/>
      <c r="F1387" s="779"/>
      <c r="G1387" s="779"/>
    </row>
    <row r="1388" spans="1:7">
      <c r="A1388" s="779"/>
      <c r="B1388" s="779"/>
      <c r="C1388" s="779"/>
      <c r="D1388" s="779"/>
      <c r="E1388" s="779"/>
      <c r="F1388" s="779"/>
      <c r="G1388" s="779"/>
    </row>
    <row r="1389" spans="1:7">
      <c r="A1389" s="779"/>
      <c r="B1389" s="779"/>
      <c r="C1389" s="779"/>
      <c r="D1389" s="779"/>
      <c r="E1389" s="779"/>
      <c r="F1389" s="779"/>
      <c r="G1389" s="779"/>
    </row>
    <row r="1390" spans="1:7">
      <c r="A1390" s="779"/>
      <c r="B1390" s="779"/>
      <c r="C1390" s="779"/>
      <c r="D1390" s="779"/>
      <c r="E1390" s="779"/>
      <c r="F1390" s="779"/>
      <c r="G1390" s="779"/>
    </row>
    <row r="1391" spans="1:7">
      <c r="A1391" s="779"/>
      <c r="B1391" s="779"/>
      <c r="C1391" s="779"/>
      <c r="D1391" s="779"/>
      <c r="E1391" s="779"/>
      <c r="F1391" s="779"/>
      <c r="G1391" s="779"/>
    </row>
    <row r="1392" spans="1:7">
      <c r="A1392" s="779"/>
      <c r="B1392" s="779"/>
      <c r="C1392" s="779"/>
      <c r="D1392" s="779"/>
      <c r="E1392" s="779"/>
      <c r="F1392" s="779"/>
      <c r="G1392" s="779"/>
    </row>
    <row r="1393" spans="1:7">
      <c r="A1393" s="779"/>
      <c r="B1393" s="779"/>
      <c r="C1393" s="779"/>
      <c r="D1393" s="779"/>
      <c r="E1393" s="779"/>
      <c r="F1393" s="779"/>
      <c r="G1393" s="779"/>
    </row>
    <row r="1394" spans="1:7">
      <c r="A1394" s="779"/>
      <c r="B1394" s="779"/>
      <c r="C1394" s="779"/>
      <c r="D1394" s="779"/>
      <c r="E1394" s="779"/>
      <c r="F1394" s="779"/>
      <c r="G1394" s="779"/>
    </row>
    <row r="1395" spans="1:7">
      <c r="A1395" s="779"/>
      <c r="B1395" s="779"/>
      <c r="C1395" s="779"/>
      <c r="D1395" s="779"/>
      <c r="E1395" s="779"/>
      <c r="F1395" s="779"/>
      <c r="G1395" s="779"/>
    </row>
    <row r="1396" spans="1:7">
      <c r="A1396" s="779"/>
      <c r="B1396" s="779"/>
      <c r="C1396" s="779"/>
      <c r="D1396" s="779"/>
      <c r="E1396" s="779"/>
      <c r="F1396" s="779"/>
      <c r="G1396" s="779"/>
    </row>
    <row r="1397" spans="1:7">
      <c r="A1397" s="779"/>
      <c r="B1397" s="779"/>
      <c r="C1397" s="779"/>
      <c r="D1397" s="779"/>
      <c r="E1397" s="779"/>
      <c r="F1397" s="779"/>
      <c r="G1397" s="779"/>
    </row>
    <row r="1398" spans="1:7">
      <c r="A1398" s="779"/>
      <c r="B1398" s="779"/>
      <c r="C1398" s="779"/>
      <c r="D1398" s="779"/>
      <c r="E1398" s="779"/>
      <c r="F1398" s="779"/>
      <c r="G1398" s="779"/>
    </row>
    <row r="1399" spans="1:7">
      <c r="A1399" s="779"/>
      <c r="B1399" s="779"/>
      <c r="C1399" s="779"/>
      <c r="D1399" s="779"/>
      <c r="E1399" s="779"/>
      <c r="F1399" s="779"/>
      <c r="G1399" s="779"/>
    </row>
    <row r="1400" spans="1:7">
      <c r="A1400" s="779"/>
      <c r="B1400" s="779"/>
      <c r="C1400" s="779"/>
      <c r="D1400" s="779"/>
      <c r="E1400" s="779"/>
      <c r="F1400" s="779"/>
      <c r="G1400" s="779"/>
    </row>
    <row r="1401" spans="1:7">
      <c r="A1401" s="779"/>
      <c r="B1401" s="779"/>
      <c r="C1401" s="779"/>
      <c r="D1401" s="779"/>
      <c r="E1401" s="779"/>
      <c r="F1401" s="779"/>
      <c r="G1401" s="779"/>
    </row>
    <row r="1402" spans="1:7">
      <c r="A1402" s="779"/>
      <c r="B1402" s="779"/>
      <c r="C1402" s="779"/>
      <c r="D1402" s="779"/>
      <c r="E1402" s="779"/>
      <c r="F1402" s="779"/>
      <c r="G1402" s="779"/>
    </row>
    <row r="1403" spans="1:7">
      <c r="A1403" s="779"/>
      <c r="B1403" s="779"/>
      <c r="C1403" s="779"/>
      <c r="D1403" s="779"/>
      <c r="E1403" s="779"/>
      <c r="F1403" s="779"/>
      <c r="G1403" s="779"/>
    </row>
    <row r="1404" spans="1:7">
      <c r="A1404" s="779"/>
      <c r="B1404" s="779"/>
      <c r="C1404" s="779"/>
      <c r="D1404" s="779"/>
      <c r="E1404" s="779"/>
      <c r="F1404" s="779"/>
      <c r="G1404" s="779"/>
    </row>
    <row r="1405" spans="1:7">
      <c r="A1405" s="779"/>
      <c r="B1405" s="779"/>
      <c r="C1405" s="779"/>
      <c r="D1405" s="779"/>
      <c r="E1405" s="779"/>
      <c r="F1405" s="779"/>
      <c r="G1405" s="779"/>
    </row>
    <row r="1406" spans="1:7">
      <c r="A1406" s="779"/>
      <c r="B1406" s="779"/>
      <c r="C1406" s="779"/>
      <c r="D1406" s="779"/>
      <c r="E1406" s="779"/>
      <c r="F1406" s="779"/>
      <c r="G1406" s="779"/>
    </row>
    <row r="1407" spans="1:7">
      <c r="A1407" s="779"/>
      <c r="B1407" s="779"/>
      <c r="C1407" s="779"/>
      <c r="D1407" s="779"/>
      <c r="E1407" s="779"/>
      <c r="F1407" s="779"/>
      <c r="G1407" s="779"/>
    </row>
    <row r="1408" spans="1:7">
      <c r="A1408" s="779"/>
      <c r="B1408" s="779"/>
      <c r="C1408" s="779"/>
      <c r="D1408" s="779"/>
      <c r="E1408" s="779"/>
      <c r="F1408" s="779"/>
      <c r="G1408" s="779"/>
    </row>
    <row r="1409" spans="1:7">
      <c r="A1409" s="779"/>
      <c r="B1409" s="779"/>
      <c r="C1409" s="779"/>
      <c r="D1409" s="779"/>
      <c r="E1409" s="779"/>
      <c r="F1409" s="779"/>
      <c r="G1409" s="779"/>
    </row>
    <row r="1410" spans="1:7">
      <c r="A1410" s="779"/>
      <c r="B1410" s="779"/>
      <c r="C1410" s="779"/>
      <c r="D1410" s="779"/>
      <c r="E1410" s="779"/>
      <c r="F1410" s="779"/>
      <c r="G1410" s="779"/>
    </row>
    <row r="1411" spans="1:7">
      <c r="A1411" s="779"/>
      <c r="B1411" s="779"/>
      <c r="C1411" s="779"/>
      <c r="D1411" s="779"/>
      <c r="E1411" s="779"/>
      <c r="F1411" s="779"/>
      <c r="G1411" s="779"/>
    </row>
    <row r="1412" spans="1:7">
      <c r="A1412" s="779"/>
      <c r="B1412" s="779"/>
      <c r="C1412" s="779"/>
      <c r="D1412" s="779"/>
      <c r="E1412" s="779"/>
      <c r="F1412" s="779"/>
      <c r="G1412" s="779"/>
    </row>
    <row r="1413" spans="1:7">
      <c r="A1413" s="779"/>
      <c r="B1413" s="779"/>
      <c r="C1413" s="779"/>
      <c r="D1413" s="779"/>
      <c r="E1413" s="779"/>
      <c r="F1413" s="779"/>
      <c r="G1413" s="779"/>
    </row>
    <row r="1414" spans="1:7">
      <c r="A1414" s="779"/>
      <c r="B1414" s="779"/>
      <c r="C1414" s="779"/>
      <c r="D1414" s="779"/>
      <c r="E1414" s="779"/>
      <c r="F1414" s="779"/>
      <c r="G1414" s="779"/>
    </row>
    <row r="1415" spans="1:7">
      <c r="A1415" s="779"/>
      <c r="B1415" s="779"/>
      <c r="C1415" s="779"/>
      <c r="D1415" s="779"/>
      <c r="E1415" s="779"/>
      <c r="F1415" s="779"/>
      <c r="G1415" s="779"/>
    </row>
    <row r="1416" spans="1:7">
      <c r="A1416" s="779"/>
      <c r="B1416" s="779"/>
      <c r="C1416" s="779"/>
      <c r="D1416" s="779"/>
      <c r="E1416" s="779"/>
      <c r="F1416" s="779"/>
      <c r="G1416" s="779"/>
    </row>
    <row r="1417" spans="1:7">
      <c r="A1417" s="779"/>
      <c r="B1417" s="779"/>
      <c r="C1417" s="779"/>
      <c r="D1417" s="779"/>
      <c r="E1417" s="779"/>
      <c r="F1417" s="779"/>
      <c r="G1417" s="779"/>
    </row>
    <row r="1418" spans="1:7">
      <c r="A1418" s="779"/>
      <c r="B1418" s="779"/>
      <c r="C1418" s="779"/>
      <c r="D1418" s="779"/>
      <c r="E1418" s="779"/>
      <c r="F1418" s="779"/>
      <c r="G1418" s="779"/>
    </row>
    <row r="1419" spans="1:7">
      <c r="A1419" s="779"/>
      <c r="B1419" s="779"/>
      <c r="C1419" s="779"/>
      <c r="D1419" s="779"/>
      <c r="E1419" s="779"/>
      <c r="F1419" s="779"/>
      <c r="G1419" s="779"/>
    </row>
    <row r="1420" spans="1:7">
      <c r="A1420" s="779"/>
      <c r="B1420" s="779"/>
      <c r="C1420" s="779"/>
      <c r="D1420" s="779"/>
      <c r="E1420" s="779"/>
      <c r="F1420" s="779"/>
      <c r="G1420" s="779"/>
    </row>
    <row r="1421" spans="1:7">
      <c r="A1421" s="779"/>
      <c r="B1421" s="779"/>
      <c r="C1421" s="779"/>
      <c r="D1421" s="779"/>
      <c r="E1421" s="779"/>
      <c r="F1421" s="779"/>
      <c r="G1421" s="779"/>
    </row>
    <row r="1422" spans="1:7">
      <c r="A1422" s="779"/>
      <c r="B1422" s="779"/>
      <c r="C1422" s="779"/>
      <c r="D1422" s="779"/>
      <c r="E1422" s="779"/>
      <c r="F1422" s="779"/>
      <c r="G1422" s="779"/>
    </row>
    <row r="1423" spans="1:7">
      <c r="A1423" s="779"/>
      <c r="B1423" s="779"/>
      <c r="C1423" s="779"/>
      <c r="D1423" s="779"/>
      <c r="E1423" s="779"/>
      <c r="F1423" s="779"/>
      <c r="G1423" s="779"/>
    </row>
    <row r="1424" spans="1:7">
      <c r="A1424" s="779"/>
      <c r="B1424" s="779"/>
      <c r="C1424" s="779"/>
      <c r="D1424" s="779"/>
      <c r="E1424" s="779"/>
      <c r="F1424" s="779"/>
      <c r="G1424" s="779"/>
    </row>
    <row r="1425" spans="1:7">
      <c r="A1425" s="779"/>
      <c r="B1425" s="779"/>
      <c r="C1425" s="779"/>
      <c r="D1425" s="779"/>
      <c r="E1425" s="779"/>
      <c r="F1425" s="779"/>
      <c r="G1425" s="779"/>
    </row>
    <row r="1426" spans="1:7">
      <c r="A1426" s="779"/>
      <c r="B1426" s="779"/>
      <c r="C1426" s="779"/>
      <c r="D1426" s="779"/>
      <c r="E1426" s="779"/>
      <c r="F1426" s="779"/>
      <c r="G1426" s="779"/>
    </row>
    <row r="1427" spans="1:7">
      <c r="A1427" s="779"/>
      <c r="B1427" s="779"/>
      <c r="C1427" s="779"/>
      <c r="D1427" s="779"/>
      <c r="E1427" s="779"/>
      <c r="F1427" s="779"/>
      <c r="G1427" s="779"/>
    </row>
    <row r="1428" spans="1:7">
      <c r="A1428" s="779"/>
      <c r="B1428" s="779"/>
      <c r="C1428" s="779"/>
      <c r="D1428" s="779"/>
      <c r="E1428" s="779"/>
      <c r="F1428" s="779"/>
      <c r="G1428" s="779"/>
    </row>
    <row r="1429" spans="1:7">
      <c r="A1429" s="779"/>
      <c r="B1429" s="779"/>
      <c r="C1429" s="779"/>
      <c r="D1429" s="779"/>
      <c r="E1429" s="779"/>
      <c r="F1429" s="779"/>
      <c r="G1429" s="779"/>
    </row>
    <row r="1430" spans="1:7">
      <c r="A1430" s="779"/>
      <c r="B1430" s="779"/>
      <c r="C1430" s="779"/>
      <c r="D1430" s="779"/>
      <c r="E1430" s="779"/>
      <c r="F1430" s="779"/>
      <c r="G1430" s="779"/>
    </row>
    <row r="1431" spans="1:7">
      <c r="A1431" s="779"/>
      <c r="B1431" s="779"/>
      <c r="C1431" s="779"/>
      <c r="D1431" s="779"/>
      <c r="E1431" s="779"/>
      <c r="F1431" s="779"/>
      <c r="G1431" s="779"/>
    </row>
    <row r="1432" spans="1:7">
      <c r="A1432" s="779"/>
      <c r="B1432" s="779"/>
      <c r="C1432" s="779"/>
      <c r="D1432" s="779"/>
      <c r="E1432" s="779"/>
      <c r="F1432" s="779"/>
      <c r="G1432" s="779"/>
    </row>
    <row r="1433" spans="1:7">
      <c r="A1433" s="779"/>
      <c r="B1433" s="779"/>
      <c r="C1433" s="779"/>
      <c r="D1433" s="779"/>
      <c r="E1433" s="779"/>
      <c r="F1433" s="779"/>
      <c r="G1433" s="779"/>
    </row>
    <row r="1434" spans="1:7">
      <c r="A1434" s="779"/>
      <c r="B1434" s="779"/>
      <c r="C1434" s="779"/>
      <c r="D1434" s="779"/>
      <c r="E1434" s="779"/>
      <c r="F1434" s="779"/>
      <c r="G1434" s="779"/>
    </row>
    <row r="1435" spans="1:7">
      <c r="A1435" s="779"/>
      <c r="B1435" s="779"/>
      <c r="C1435" s="779"/>
      <c r="D1435" s="779"/>
      <c r="E1435" s="779"/>
      <c r="F1435" s="779"/>
      <c r="G1435" s="779"/>
    </row>
    <row r="1436" spans="1:7">
      <c r="A1436" s="779"/>
      <c r="B1436" s="779"/>
      <c r="C1436" s="779"/>
      <c r="D1436" s="779"/>
      <c r="E1436" s="779"/>
      <c r="F1436" s="779"/>
      <c r="G1436" s="779"/>
    </row>
    <row r="1437" spans="1:7">
      <c r="A1437" s="779"/>
      <c r="B1437" s="779"/>
      <c r="C1437" s="779"/>
      <c r="D1437" s="779"/>
      <c r="E1437" s="779"/>
      <c r="F1437" s="779"/>
      <c r="G1437" s="779"/>
    </row>
    <row r="1438" spans="1:7">
      <c r="A1438" s="779"/>
      <c r="B1438" s="779"/>
      <c r="C1438" s="779"/>
      <c r="D1438" s="779"/>
      <c r="E1438" s="779"/>
      <c r="F1438" s="779"/>
      <c r="G1438" s="779"/>
    </row>
    <row r="1439" spans="1:7">
      <c r="A1439" s="779"/>
      <c r="B1439" s="779"/>
      <c r="C1439" s="779"/>
      <c r="D1439" s="779"/>
      <c r="E1439" s="779"/>
      <c r="F1439" s="779"/>
      <c r="G1439" s="779"/>
    </row>
    <row r="1440" spans="1:7">
      <c r="A1440" s="779"/>
      <c r="B1440" s="779"/>
      <c r="C1440" s="779"/>
      <c r="D1440" s="779"/>
      <c r="E1440" s="779"/>
      <c r="F1440" s="779"/>
      <c r="G1440" s="779"/>
    </row>
    <row r="1441" spans="1:7">
      <c r="A1441" s="779"/>
      <c r="B1441" s="779"/>
      <c r="C1441" s="779"/>
      <c r="D1441" s="779"/>
      <c r="E1441" s="779"/>
      <c r="F1441" s="779"/>
      <c r="G1441" s="779"/>
    </row>
    <row r="1442" spans="1:7">
      <c r="A1442" s="779"/>
      <c r="B1442" s="779"/>
      <c r="C1442" s="779"/>
      <c r="D1442" s="779"/>
      <c r="E1442" s="779"/>
      <c r="F1442" s="779"/>
      <c r="G1442" s="779"/>
    </row>
    <row r="1443" spans="1:7">
      <c r="A1443" s="779"/>
      <c r="B1443" s="779"/>
      <c r="C1443" s="779"/>
      <c r="D1443" s="779"/>
      <c r="E1443" s="779"/>
      <c r="F1443" s="779"/>
      <c r="G1443" s="779"/>
    </row>
    <row r="1444" spans="1:7">
      <c r="A1444" s="779"/>
      <c r="B1444" s="779"/>
      <c r="C1444" s="779"/>
      <c r="D1444" s="779"/>
      <c r="E1444" s="779"/>
      <c r="F1444" s="779"/>
      <c r="G1444" s="779"/>
    </row>
    <row r="1445" spans="1:7">
      <c r="A1445" s="779"/>
      <c r="B1445" s="779"/>
      <c r="C1445" s="779"/>
      <c r="D1445" s="779"/>
      <c r="E1445" s="779"/>
      <c r="F1445" s="779"/>
      <c r="G1445" s="779"/>
    </row>
    <row r="1446" spans="1:7">
      <c r="A1446" s="779"/>
      <c r="B1446" s="779"/>
      <c r="C1446" s="779"/>
      <c r="D1446" s="779"/>
      <c r="E1446" s="779"/>
      <c r="F1446" s="779"/>
      <c r="G1446" s="779"/>
    </row>
    <row r="1447" spans="1:7">
      <c r="A1447" s="779"/>
      <c r="B1447" s="779"/>
      <c r="C1447" s="779"/>
      <c r="D1447" s="779"/>
      <c r="E1447" s="779"/>
      <c r="F1447" s="779"/>
      <c r="G1447" s="779"/>
    </row>
    <row r="1448" spans="1:7">
      <c r="A1448" s="779"/>
      <c r="B1448" s="779"/>
      <c r="C1448" s="779"/>
      <c r="D1448" s="779"/>
      <c r="E1448" s="779"/>
      <c r="F1448" s="779"/>
      <c r="G1448" s="779"/>
    </row>
    <row r="1449" spans="1:7">
      <c r="A1449" s="779"/>
      <c r="B1449" s="779"/>
      <c r="C1449" s="779"/>
      <c r="D1449" s="779"/>
      <c r="E1449" s="779"/>
      <c r="F1449" s="779"/>
      <c r="G1449" s="779"/>
    </row>
    <row r="1450" spans="1:7">
      <c r="A1450" s="779"/>
      <c r="B1450" s="779"/>
      <c r="C1450" s="779"/>
      <c r="D1450" s="779"/>
      <c r="E1450" s="779"/>
      <c r="F1450" s="779"/>
      <c r="G1450" s="779"/>
    </row>
    <row r="1451" spans="1:7">
      <c r="A1451" s="779"/>
      <c r="B1451" s="779"/>
      <c r="C1451" s="779"/>
      <c r="D1451" s="779"/>
      <c r="E1451" s="779"/>
      <c r="F1451" s="779"/>
      <c r="G1451" s="779"/>
    </row>
    <row r="1452" spans="1:7">
      <c r="A1452" s="779"/>
      <c r="B1452" s="779"/>
      <c r="C1452" s="779"/>
      <c r="D1452" s="779"/>
      <c r="E1452" s="779"/>
      <c r="F1452" s="779"/>
      <c r="G1452" s="779"/>
    </row>
    <row r="1453" spans="1:7">
      <c r="A1453" s="779"/>
      <c r="B1453" s="779"/>
      <c r="C1453" s="779"/>
      <c r="D1453" s="779"/>
      <c r="E1453" s="779"/>
      <c r="F1453" s="779"/>
      <c r="G1453" s="779"/>
    </row>
    <row r="1454" spans="1:7">
      <c r="A1454" s="779"/>
      <c r="B1454" s="779"/>
      <c r="C1454" s="779"/>
      <c r="D1454" s="779"/>
      <c r="E1454" s="779"/>
      <c r="F1454" s="779"/>
      <c r="G1454" s="779"/>
    </row>
    <row r="1455" spans="1:7">
      <c r="A1455" s="779"/>
      <c r="B1455" s="779"/>
      <c r="C1455" s="779"/>
      <c r="D1455" s="779"/>
      <c r="E1455" s="779"/>
      <c r="F1455" s="779"/>
      <c r="G1455" s="779"/>
    </row>
    <row r="1456" spans="1:7">
      <c r="A1456" s="779"/>
      <c r="B1456" s="779"/>
      <c r="C1456" s="779"/>
      <c r="D1456" s="779"/>
      <c r="E1456" s="779"/>
      <c r="F1456" s="779"/>
      <c r="G1456" s="779"/>
    </row>
    <row r="1457" spans="1:7">
      <c r="A1457" s="779"/>
      <c r="B1457" s="779"/>
      <c r="C1457" s="779"/>
      <c r="D1457" s="779"/>
      <c r="E1457" s="779"/>
      <c r="F1457" s="779"/>
      <c r="G1457" s="779"/>
    </row>
    <row r="1458" spans="1:7">
      <c r="A1458" s="779"/>
      <c r="B1458" s="779"/>
      <c r="C1458" s="779"/>
      <c r="D1458" s="779"/>
      <c r="E1458" s="779"/>
      <c r="F1458" s="779"/>
      <c r="G1458" s="779"/>
    </row>
    <row r="1459" spans="1:7">
      <c r="A1459" s="779"/>
      <c r="B1459" s="779"/>
      <c r="C1459" s="779"/>
      <c r="D1459" s="779"/>
      <c r="E1459" s="779"/>
      <c r="F1459" s="779"/>
      <c r="G1459" s="779"/>
    </row>
    <row r="1460" spans="1:7">
      <c r="A1460" s="779"/>
      <c r="B1460" s="779"/>
      <c r="C1460" s="779"/>
      <c r="D1460" s="779"/>
      <c r="E1460" s="779"/>
      <c r="F1460" s="779"/>
      <c r="G1460" s="779"/>
    </row>
    <row r="1461" spans="1:7">
      <c r="A1461" s="779"/>
      <c r="B1461" s="779"/>
      <c r="C1461" s="779"/>
      <c r="D1461" s="779"/>
      <c r="E1461" s="779"/>
      <c r="F1461" s="779"/>
      <c r="G1461" s="779"/>
    </row>
    <row r="1462" spans="1:7">
      <c r="A1462" s="779"/>
      <c r="B1462" s="779"/>
      <c r="C1462" s="779"/>
      <c r="D1462" s="779"/>
      <c r="E1462" s="779"/>
      <c r="F1462" s="779"/>
      <c r="G1462" s="779"/>
    </row>
    <row r="1463" spans="1:7">
      <c r="A1463" s="779"/>
      <c r="B1463" s="779"/>
      <c r="C1463" s="779"/>
      <c r="D1463" s="779"/>
      <c r="E1463" s="779"/>
      <c r="F1463" s="779"/>
      <c r="G1463" s="779"/>
    </row>
    <row r="1464" spans="1:7">
      <c r="A1464" s="779"/>
      <c r="B1464" s="779"/>
      <c r="C1464" s="779"/>
      <c r="D1464" s="779"/>
      <c r="E1464" s="779"/>
      <c r="F1464" s="779"/>
      <c r="G1464" s="779"/>
    </row>
    <row r="1465" spans="1:7">
      <c r="A1465" s="779"/>
      <c r="B1465" s="779"/>
      <c r="C1465" s="779"/>
      <c r="D1465" s="779"/>
      <c r="E1465" s="779"/>
      <c r="F1465" s="779"/>
      <c r="G1465" s="779"/>
    </row>
    <row r="1466" spans="1:7">
      <c r="A1466" s="779"/>
      <c r="B1466" s="779"/>
      <c r="C1466" s="779"/>
      <c r="D1466" s="779"/>
      <c r="E1466" s="779"/>
      <c r="F1466" s="779"/>
      <c r="G1466" s="779"/>
    </row>
    <row r="1467" spans="1:7">
      <c r="A1467" s="779"/>
      <c r="B1467" s="779"/>
      <c r="C1467" s="779"/>
      <c r="D1467" s="779"/>
      <c r="E1467" s="779"/>
      <c r="F1467" s="779"/>
      <c r="G1467" s="779"/>
    </row>
    <row r="1468" spans="1:7">
      <c r="A1468" s="779"/>
      <c r="B1468" s="779"/>
      <c r="C1468" s="779"/>
      <c r="D1468" s="779"/>
      <c r="E1468" s="779"/>
      <c r="F1468" s="779"/>
      <c r="G1468" s="779"/>
    </row>
    <row r="1469" spans="1:7">
      <c r="A1469" s="779"/>
      <c r="B1469" s="779"/>
      <c r="C1469" s="779"/>
      <c r="D1469" s="779"/>
      <c r="E1469" s="779"/>
      <c r="F1469" s="779"/>
      <c r="G1469" s="779"/>
    </row>
    <row r="1470" spans="1:7">
      <c r="A1470" s="779"/>
      <c r="B1470" s="779"/>
      <c r="C1470" s="779"/>
      <c r="D1470" s="779"/>
      <c r="E1470" s="779"/>
      <c r="F1470" s="779"/>
      <c r="G1470" s="779"/>
    </row>
    <row r="1471" spans="1:7">
      <c r="A1471" s="779"/>
      <c r="B1471" s="779"/>
      <c r="C1471" s="779"/>
      <c r="D1471" s="779"/>
      <c r="E1471" s="779"/>
      <c r="F1471" s="779"/>
      <c r="G1471" s="779"/>
    </row>
    <row r="1472" spans="1:7">
      <c r="A1472" s="779"/>
      <c r="B1472" s="779"/>
      <c r="C1472" s="779"/>
      <c r="D1472" s="779"/>
      <c r="E1472" s="779"/>
      <c r="F1472" s="779"/>
      <c r="G1472" s="779"/>
    </row>
    <row r="1473" spans="1:7">
      <c r="A1473" s="779"/>
      <c r="B1473" s="779"/>
      <c r="C1473" s="779"/>
      <c r="D1473" s="779"/>
      <c r="E1473" s="779"/>
      <c r="F1473" s="779"/>
      <c r="G1473" s="779"/>
    </row>
    <row r="1474" spans="1:7">
      <c r="A1474" s="779"/>
      <c r="B1474" s="779"/>
      <c r="C1474" s="779"/>
      <c r="D1474" s="779"/>
      <c r="E1474" s="779"/>
      <c r="F1474" s="779"/>
      <c r="G1474" s="779"/>
    </row>
    <row r="1475" spans="1:7">
      <c r="A1475" s="779"/>
      <c r="B1475" s="779"/>
      <c r="C1475" s="779"/>
      <c r="D1475" s="779"/>
      <c r="E1475" s="779"/>
      <c r="F1475" s="779"/>
      <c r="G1475" s="779"/>
    </row>
    <row r="1476" spans="1:7">
      <c r="A1476" s="779"/>
      <c r="B1476" s="779"/>
      <c r="C1476" s="779"/>
      <c r="D1476" s="779"/>
      <c r="E1476" s="779"/>
      <c r="F1476" s="779"/>
      <c r="G1476" s="779"/>
    </row>
    <row r="1477" spans="1:7">
      <c r="A1477" s="779"/>
      <c r="B1477" s="779"/>
      <c r="C1477" s="779"/>
      <c r="D1477" s="779"/>
      <c r="E1477" s="779"/>
      <c r="F1477" s="779"/>
      <c r="G1477" s="779"/>
    </row>
    <row r="1478" spans="1:7">
      <c r="A1478" s="779"/>
      <c r="B1478" s="779"/>
      <c r="C1478" s="779"/>
      <c r="D1478" s="779"/>
      <c r="E1478" s="779"/>
      <c r="F1478" s="779"/>
      <c r="G1478" s="779"/>
    </row>
    <row r="1479" spans="1:7">
      <c r="A1479" s="779"/>
      <c r="B1479" s="779"/>
      <c r="C1479" s="779"/>
      <c r="D1479" s="779"/>
      <c r="E1479" s="779"/>
      <c r="F1479" s="779"/>
      <c r="G1479" s="779"/>
    </row>
    <row r="1480" spans="1:7">
      <c r="A1480" s="779"/>
      <c r="B1480" s="779"/>
      <c r="C1480" s="779"/>
      <c r="D1480" s="779"/>
      <c r="E1480" s="779"/>
      <c r="F1480" s="779"/>
      <c r="G1480" s="779"/>
    </row>
    <row r="1481" spans="1:7">
      <c r="A1481" s="779"/>
      <c r="B1481" s="779"/>
      <c r="C1481" s="779"/>
      <c r="D1481" s="779"/>
      <c r="E1481" s="779"/>
      <c r="F1481" s="779"/>
      <c r="G1481" s="779"/>
    </row>
    <row r="1482" spans="1:7">
      <c r="A1482" s="779"/>
      <c r="B1482" s="779"/>
      <c r="C1482" s="779"/>
      <c r="D1482" s="779"/>
      <c r="E1482" s="779"/>
      <c r="F1482" s="779"/>
      <c r="G1482" s="779"/>
    </row>
    <row r="1483" spans="1:7">
      <c r="A1483" s="779"/>
      <c r="B1483" s="779"/>
      <c r="C1483" s="779"/>
      <c r="D1483" s="779"/>
      <c r="E1483" s="779"/>
      <c r="F1483" s="779"/>
      <c r="G1483" s="779"/>
    </row>
    <row r="1484" spans="1:7">
      <c r="A1484" s="779"/>
      <c r="B1484" s="779"/>
      <c r="C1484" s="779"/>
      <c r="D1484" s="779"/>
      <c r="E1484" s="779"/>
      <c r="F1484" s="779"/>
      <c r="G1484" s="779"/>
    </row>
    <row r="1485" spans="1:7">
      <c r="A1485" s="779"/>
      <c r="B1485" s="779"/>
      <c r="C1485" s="779"/>
      <c r="D1485" s="779"/>
      <c r="E1485" s="779"/>
      <c r="F1485" s="779"/>
      <c r="G1485" s="779"/>
    </row>
    <row r="1486" spans="1:7">
      <c r="A1486" s="779"/>
      <c r="B1486" s="779"/>
      <c r="C1486" s="779"/>
      <c r="D1486" s="779"/>
      <c r="E1486" s="779"/>
      <c r="F1486" s="779"/>
      <c r="G1486" s="779"/>
    </row>
    <row r="1487" spans="1:7">
      <c r="A1487" s="779"/>
      <c r="B1487" s="779"/>
      <c r="C1487" s="779"/>
      <c r="D1487" s="779"/>
      <c r="E1487" s="779"/>
      <c r="F1487" s="779"/>
      <c r="G1487" s="779"/>
    </row>
    <row r="1488" spans="1:7">
      <c r="A1488" s="779"/>
      <c r="B1488" s="779"/>
      <c r="C1488" s="779"/>
      <c r="D1488" s="779"/>
      <c r="E1488" s="779"/>
      <c r="F1488" s="779"/>
      <c r="G1488" s="779"/>
    </row>
    <row r="1489" spans="1:7">
      <c r="A1489" s="779"/>
      <c r="B1489" s="779"/>
      <c r="C1489" s="779"/>
      <c r="D1489" s="779"/>
      <c r="E1489" s="779"/>
      <c r="F1489" s="779"/>
      <c r="G1489" s="779"/>
    </row>
    <row r="1490" spans="1:7">
      <c r="A1490" s="779"/>
      <c r="B1490" s="779"/>
      <c r="C1490" s="779"/>
      <c r="D1490" s="779"/>
      <c r="E1490" s="779"/>
      <c r="F1490" s="779"/>
      <c r="G1490" s="779"/>
    </row>
    <row r="1491" spans="1:7">
      <c r="A1491" s="779"/>
      <c r="B1491" s="779"/>
      <c r="C1491" s="779"/>
      <c r="D1491" s="779"/>
      <c r="E1491" s="779"/>
      <c r="F1491" s="779"/>
      <c r="G1491" s="779"/>
    </row>
    <row r="1492" spans="1:7">
      <c r="A1492" s="779"/>
      <c r="B1492" s="779"/>
      <c r="C1492" s="779"/>
      <c r="D1492" s="779"/>
      <c r="E1492" s="779"/>
      <c r="F1492" s="779"/>
      <c r="G1492" s="779"/>
    </row>
    <row r="1493" spans="1:7">
      <c r="A1493" s="779"/>
      <c r="B1493" s="779"/>
      <c r="C1493" s="779"/>
      <c r="D1493" s="779"/>
      <c r="E1493" s="779"/>
      <c r="F1493" s="779"/>
      <c r="G1493" s="779"/>
    </row>
    <row r="1494" spans="1:7">
      <c r="A1494" s="779"/>
      <c r="B1494" s="779"/>
      <c r="C1494" s="779"/>
      <c r="D1494" s="779"/>
      <c r="E1494" s="779"/>
      <c r="F1494" s="779"/>
      <c r="G1494" s="779"/>
    </row>
    <row r="1495" spans="1:7">
      <c r="A1495" s="779"/>
      <c r="B1495" s="779"/>
      <c r="C1495" s="779"/>
      <c r="D1495" s="779"/>
      <c r="E1495" s="779"/>
      <c r="F1495" s="779"/>
      <c r="G1495" s="779"/>
    </row>
    <row r="1496" spans="1:7">
      <c r="A1496" s="779"/>
      <c r="B1496" s="779"/>
      <c r="C1496" s="779"/>
      <c r="D1496" s="779"/>
      <c r="E1496" s="779"/>
      <c r="F1496" s="779"/>
      <c r="G1496" s="779"/>
    </row>
    <row r="1497" spans="1:7">
      <c r="A1497" s="779"/>
      <c r="B1497" s="779"/>
      <c r="C1497" s="779"/>
      <c r="D1497" s="779"/>
      <c r="E1497" s="779"/>
      <c r="F1497" s="779"/>
      <c r="G1497" s="779"/>
    </row>
    <row r="1498" spans="1:7">
      <c r="A1498" s="779"/>
      <c r="B1498" s="779"/>
      <c r="C1498" s="779"/>
      <c r="D1498" s="779"/>
      <c r="E1498" s="779"/>
      <c r="F1498" s="779"/>
      <c r="G1498" s="779"/>
    </row>
    <row r="1499" spans="1:7">
      <c r="A1499" s="779"/>
      <c r="B1499" s="779"/>
      <c r="C1499" s="779"/>
      <c r="D1499" s="779"/>
      <c r="E1499" s="779"/>
      <c r="F1499" s="779"/>
      <c r="G1499" s="779"/>
    </row>
    <row r="1500" spans="1:7">
      <c r="A1500" s="779"/>
      <c r="B1500" s="779"/>
      <c r="C1500" s="779"/>
      <c r="D1500" s="779"/>
      <c r="E1500" s="779"/>
      <c r="F1500" s="779"/>
      <c r="G1500" s="779"/>
    </row>
    <row r="1501" spans="1:7">
      <c r="A1501" s="779"/>
      <c r="B1501" s="779"/>
      <c r="C1501" s="779"/>
      <c r="D1501" s="779"/>
      <c r="E1501" s="779"/>
      <c r="F1501" s="779"/>
      <c r="G1501" s="779"/>
    </row>
    <row r="1502" spans="1:7">
      <c r="A1502" s="779"/>
      <c r="B1502" s="779"/>
      <c r="C1502" s="779"/>
      <c r="D1502" s="779"/>
      <c r="E1502" s="779"/>
      <c r="F1502" s="779"/>
      <c r="G1502" s="779"/>
    </row>
    <row r="1503" spans="1:7">
      <c r="A1503" s="779"/>
      <c r="B1503" s="779"/>
      <c r="C1503" s="779"/>
      <c r="D1503" s="779"/>
      <c r="E1503" s="779"/>
      <c r="F1503" s="779"/>
      <c r="G1503" s="779"/>
    </row>
    <row r="1504" spans="1:7">
      <c r="A1504" s="779"/>
      <c r="B1504" s="779"/>
      <c r="C1504" s="779"/>
      <c r="D1504" s="779"/>
      <c r="E1504" s="779"/>
      <c r="F1504" s="779"/>
      <c r="G1504" s="779"/>
    </row>
    <row r="1505" spans="1:7">
      <c r="A1505" s="779"/>
      <c r="B1505" s="779"/>
      <c r="C1505" s="779"/>
      <c r="D1505" s="779"/>
      <c r="E1505" s="779"/>
      <c r="F1505" s="779"/>
      <c r="G1505" s="779"/>
    </row>
    <row r="1506" spans="1:7">
      <c r="A1506" s="779"/>
      <c r="B1506" s="779"/>
      <c r="C1506" s="779"/>
      <c r="D1506" s="779"/>
      <c r="E1506" s="779"/>
      <c r="F1506" s="779"/>
      <c r="G1506" s="779"/>
    </row>
    <row r="1507" spans="1:7">
      <c r="A1507" s="779"/>
      <c r="B1507" s="779"/>
      <c r="C1507" s="779"/>
      <c r="D1507" s="779"/>
      <c r="E1507" s="779"/>
      <c r="F1507" s="779"/>
      <c r="G1507" s="779"/>
    </row>
    <row r="1508" spans="1:7">
      <c r="A1508" s="779"/>
      <c r="B1508" s="779"/>
      <c r="C1508" s="779"/>
      <c r="D1508" s="779"/>
      <c r="E1508" s="779"/>
      <c r="F1508" s="779"/>
      <c r="G1508" s="779"/>
    </row>
    <row r="1509" spans="1:7">
      <c r="A1509" s="779"/>
      <c r="B1509" s="779"/>
      <c r="C1509" s="779"/>
      <c r="D1509" s="779"/>
      <c r="E1509" s="779"/>
      <c r="F1509" s="779"/>
      <c r="G1509" s="779"/>
    </row>
    <row r="1510" spans="1:7">
      <c r="A1510" s="779"/>
      <c r="B1510" s="779"/>
      <c r="C1510" s="779"/>
      <c r="D1510" s="779"/>
      <c r="E1510" s="779"/>
      <c r="F1510" s="779"/>
      <c r="G1510" s="779"/>
    </row>
    <row r="1511" spans="1:7">
      <c r="A1511" s="779"/>
      <c r="B1511" s="779"/>
      <c r="C1511" s="779"/>
      <c r="D1511" s="779"/>
      <c r="E1511" s="779"/>
      <c r="F1511" s="779"/>
      <c r="G1511" s="779"/>
    </row>
    <row r="1512" spans="1:7">
      <c r="A1512" s="779"/>
      <c r="B1512" s="779"/>
      <c r="C1512" s="779"/>
      <c r="D1512" s="779"/>
      <c r="E1512" s="779"/>
      <c r="F1512" s="779"/>
      <c r="G1512" s="779"/>
    </row>
    <row r="1513" spans="1:7">
      <c r="A1513" s="779"/>
      <c r="B1513" s="779"/>
      <c r="C1513" s="779"/>
      <c r="D1513" s="779"/>
      <c r="E1513" s="779"/>
      <c r="F1513" s="779"/>
      <c r="G1513" s="779"/>
    </row>
    <row r="1514" spans="1:7">
      <c r="A1514" s="779"/>
      <c r="B1514" s="779"/>
      <c r="C1514" s="779"/>
      <c r="D1514" s="779"/>
      <c r="E1514" s="779"/>
      <c r="F1514" s="779"/>
      <c r="G1514" s="779"/>
    </row>
    <row r="1515" spans="1:7">
      <c r="A1515" s="779"/>
      <c r="B1515" s="779"/>
      <c r="C1515" s="779"/>
      <c r="D1515" s="779"/>
      <c r="E1515" s="779"/>
      <c r="F1515" s="779"/>
      <c r="G1515" s="779"/>
    </row>
    <row r="1516" spans="1:7">
      <c r="A1516" s="779"/>
      <c r="B1516" s="779"/>
      <c r="C1516" s="779"/>
      <c r="D1516" s="779"/>
      <c r="E1516" s="779"/>
      <c r="F1516" s="779"/>
      <c r="G1516" s="779"/>
    </row>
    <row r="1517" spans="1:7">
      <c r="A1517" s="779"/>
      <c r="B1517" s="779"/>
      <c r="C1517" s="779"/>
      <c r="D1517" s="779"/>
      <c r="E1517" s="779"/>
      <c r="F1517" s="779"/>
      <c r="G1517" s="779"/>
    </row>
    <row r="1518" spans="1:7">
      <c r="A1518" s="779"/>
      <c r="B1518" s="779"/>
      <c r="C1518" s="779"/>
      <c r="D1518" s="779"/>
      <c r="E1518" s="779"/>
      <c r="F1518" s="779"/>
      <c r="G1518" s="779"/>
    </row>
    <row r="1519" spans="1:7">
      <c r="A1519" s="779"/>
      <c r="B1519" s="779"/>
      <c r="C1519" s="779"/>
      <c r="D1519" s="779"/>
      <c r="E1519" s="779"/>
      <c r="F1519" s="779"/>
      <c r="G1519" s="779"/>
    </row>
    <row r="1520" spans="1:7"/>
    <row r="1521" spans="7:9"/>
    <row r="1522" spans="7:9"/>
    <row r="1523" spans="7:9">
      <c r="G1523" s="1934"/>
      <c r="H1523" s="1934"/>
      <c r="I1523" s="193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E187" sqref="E187:AE188"/>
    </sheetView>
  </sheetViews>
  <sheetFormatPr defaultColWidth="0" defaultRowHeight="12.95"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51" width="0" style="39" hidden="1"/>
    <col min="52" max="95" width="0" style="12" hidden="1"/>
    <col min="96" max="96" width="0" style="25" hidden="1"/>
    <col min="97" max="16383" width="0" style="12" hidden="1"/>
    <col min="16384" max="16384" width="3.7109375" style="12" hidden="1"/>
  </cols>
  <sheetData>
    <row r="1" spans="1:96" ht="12.95" customHeight="1">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0"/>
      <c r="AN1" s="670"/>
      <c r="AO1" s="670"/>
      <c r="AP1" s="670"/>
      <c r="AQ1" s="670"/>
      <c r="AR1" s="670"/>
      <c r="AS1" s="1685">
        <v>4</v>
      </c>
      <c r="AT1" s="670"/>
      <c r="AU1" s="670"/>
      <c r="AV1" s="670"/>
      <c r="AW1" s="670"/>
      <c r="AX1" s="670"/>
      <c r="AY1" s="670"/>
    </row>
    <row r="2" spans="1:96" ht="12.95"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0"/>
      <c r="AN2" s="670"/>
      <c r="AO2" s="670"/>
      <c r="AP2" s="670"/>
      <c r="AQ2" s="670"/>
      <c r="AR2" s="670"/>
      <c r="AS2" s="670"/>
      <c r="AT2" s="670"/>
      <c r="AU2" s="670"/>
      <c r="AV2" s="670"/>
      <c r="AW2" s="670"/>
      <c r="AX2" s="670"/>
      <c r="AY2" s="670"/>
    </row>
    <row r="3" spans="1:96" ht="12.95" customHeight="1">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0"/>
      <c r="AN3" s="670"/>
      <c r="AO3" s="670"/>
      <c r="AP3" s="670"/>
      <c r="AQ3" s="670"/>
      <c r="AR3" s="670"/>
      <c r="AS3" s="670"/>
      <c r="AT3" s="670"/>
      <c r="AU3" s="670"/>
      <c r="AV3" s="670"/>
      <c r="AW3" s="670"/>
      <c r="AX3" s="670"/>
      <c r="AY3" s="670"/>
    </row>
    <row r="4" spans="1:96" ht="12.95" customHeight="1">
      <c r="A4" s="25"/>
      <c r="B4" s="25"/>
      <c r="C4" s="25"/>
      <c r="D4" s="25"/>
      <c r="E4" s="25"/>
      <c r="F4" s="25"/>
      <c r="G4" s="25"/>
      <c r="H4" s="25"/>
      <c r="I4" s="25"/>
      <c r="J4" s="25"/>
      <c r="K4" s="25"/>
      <c r="L4" s="25"/>
      <c r="M4" s="25"/>
      <c r="N4" s="25"/>
      <c r="O4" s="25"/>
      <c r="P4" s="25"/>
      <c r="Q4" s="25"/>
      <c r="R4" s="25"/>
      <c r="S4" s="25"/>
      <c r="T4" s="25"/>
      <c r="U4" s="25"/>
      <c r="V4" s="25"/>
      <c r="W4" s="25"/>
      <c r="X4" s="25"/>
    </row>
    <row r="5" spans="1:96" ht="12.95" customHeight="1">
      <c r="A5" s="25"/>
      <c r="B5" s="25"/>
      <c r="C5" s="25"/>
      <c r="D5" s="25"/>
      <c r="E5" s="25"/>
      <c r="F5" s="25"/>
      <c r="G5" s="3"/>
      <c r="H5" s="25"/>
      <c r="I5" s="25"/>
      <c r="J5" s="25"/>
      <c r="K5" s="25"/>
      <c r="L5" s="25"/>
      <c r="M5" s="25"/>
      <c r="N5" s="25"/>
      <c r="O5" s="25"/>
      <c r="P5" s="25"/>
      <c r="Q5" s="25"/>
      <c r="R5" s="25"/>
      <c r="S5" s="25"/>
      <c r="T5" s="25"/>
      <c r="U5" s="25"/>
      <c r="V5" s="25"/>
      <c r="W5" s="25"/>
      <c r="X5" s="25"/>
    </row>
    <row r="6" spans="1:96" ht="12.95"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0"/>
      <c r="AN6" s="670"/>
      <c r="AO6" s="670"/>
      <c r="AP6" s="670"/>
      <c r="AQ6" s="670"/>
      <c r="AR6" s="670"/>
      <c r="AS6" s="670"/>
      <c r="AT6" s="670"/>
      <c r="AU6" s="670"/>
      <c r="AV6" s="670"/>
      <c r="AW6" s="670"/>
      <c r="AX6" s="670"/>
      <c r="AY6" s="670"/>
    </row>
    <row r="7" spans="1:96" ht="12.95" customHeight="1"/>
    <row r="8" spans="1:96" ht="26.25" customHeight="1">
      <c r="A8" s="2462" t="s">
        <v>101</v>
      </c>
      <c r="B8" s="2462"/>
      <c r="C8" s="2462"/>
      <c r="D8" s="2462"/>
      <c r="E8" s="2462"/>
      <c r="F8" s="2462"/>
      <c r="G8" s="2462"/>
      <c r="H8" s="2462"/>
      <c r="I8" s="2462"/>
      <c r="J8" s="2462"/>
      <c r="K8" s="2462"/>
      <c r="L8" s="2462"/>
      <c r="M8" s="2462"/>
      <c r="N8" s="2462"/>
      <c r="O8" s="2462"/>
      <c r="P8" s="2462"/>
      <c r="Q8" s="2462"/>
      <c r="R8" s="2462"/>
      <c r="S8" s="2462"/>
      <c r="T8" s="2462"/>
      <c r="U8" s="2462"/>
      <c r="V8" s="2462"/>
      <c r="W8" s="2462"/>
      <c r="X8" s="2462"/>
      <c r="Y8" s="2462"/>
      <c r="Z8" s="2462"/>
      <c r="AA8" s="2462"/>
      <c r="AB8" s="2462"/>
      <c r="AC8" s="2462"/>
      <c r="AD8" s="2462"/>
      <c r="AE8" s="2462"/>
      <c r="AF8" s="2462"/>
      <c r="AG8" s="2462"/>
      <c r="AH8" s="2462"/>
      <c r="AI8" s="2462"/>
      <c r="AJ8" s="2462"/>
      <c r="AK8" s="2462"/>
      <c r="AL8" s="2462"/>
      <c r="AM8" s="1413"/>
      <c r="AN8" s="1413"/>
      <c r="AO8" s="1413"/>
      <c r="AP8" s="1413"/>
      <c r="AQ8" s="1413"/>
      <c r="AR8" s="1413"/>
      <c r="AS8" s="1413"/>
      <c r="AT8" s="1413"/>
      <c r="AU8" s="1413"/>
      <c r="AV8" s="1413"/>
      <c r="AW8" s="1413"/>
      <c r="AX8" s="1413"/>
      <c r="AY8" s="1413"/>
    </row>
    <row r="9" spans="1:96" s="708" customFormat="1" ht="12.95" customHeight="1">
      <c r="A9" s="2186" t="s">
        <v>2469</v>
      </c>
      <c r="B9" s="2186"/>
      <c r="C9" s="2186"/>
      <c r="D9" s="2186"/>
      <c r="E9" s="2186"/>
      <c r="F9" s="2186"/>
      <c r="G9" s="2186"/>
      <c r="H9" s="2186"/>
      <c r="I9" s="2186"/>
      <c r="J9" s="2186"/>
      <c r="K9" s="2186"/>
      <c r="L9" s="2186"/>
      <c r="M9" s="2186"/>
      <c r="N9" s="2186"/>
      <c r="O9" s="2186"/>
      <c r="P9" s="2186"/>
      <c r="Q9" s="2186"/>
      <c r="R9" s="2186"/>
      <c r="S9" s="2186"/>
      <c r="T9" s="2186"/>
      <c r="U9" s="2186"/>
      <c r="V9" s="2186"/>
      <c r="W9" s="2186"/>
      <c r="X9" s="2186"/>
      <c r="Y9" s="2186"/>
      <c r="Z9" s="2186"/>
      <c r="AA9" s="2186"/>
      <c r="AB9" s="2186"/>
      <c r="AC9" s="2186"/>
      <c r="AD9" s="2186"/>
      <c r="AE9" s="2186"/>
      <c r="AF9" s="2186"/>
      <c r="AG9" s="2186"/>
      <c r="AH9" s="2186"/>
      <c r="AI9" s="2186"/>
      <c r="AJ9" s="2186"/>
      <c r="AK9" s="2186"/>
      <c r="AL9" s="2186"/>
      <c r="AM9" s="1397"/>
      <c r="AN9" s="1397"/>
      <c r="AO9" s="1397"/>
      <c r="AP9" s="1397"/>
      <c r="AQ9" s="1397"/>
      <c r="AR9" s="1397"/>
      <c r="AS9" s="1397"/>
      <c r="AT9" s="1397"/>
      <c r="AU9" s="1397"/>
      <c r="AV9" s="1397"/>
      <c r="AW9" s="1397"/>
      <c r="AX9" s="1397"/>
      <c r="AY9" s="1397"/>
      <c r="CR9" s="25"/>
    </row>
    <row r="10" spans="1:96" ht="12.95" customHeight="1">
      <c r="A10" s="2264" t="s">
        <v>2602</v>
      </c>
      <c r="B10" s="2264"/>
      <c r="C10" s="2264"/>
      <c r="D10" s="2264"/>
      <c r="E10" s="2264"/>
      <c r="F10" s="2264"/>
      <c r="G10" s="2264"/>
      <c r="H10" s="2264"/>
      <c r="I10" s="2264"/>
      <c r="J10" s="2264"/>
      <c r="K10" s="2264"/>
      <c r="L10" s="2264"/>
      <c r="M10" s="2264"/>
      <c r="N10" s="2264"/>
      <c r="O10" s="2264"/>
      <c r="P10" s="2264"/>
      <c r="Q10" s="2264"/>
      <c r="R10" s="2264"/>
      <c r="S10" s="2264"/>
      <c r="T10" s="2264"/>
      <c r="U10" s="2264"/>
      <c r="V10" s="2264"/>
      <c r="W10" s="2264"/>
      <c r="X10" s="2264"/>
      <c r="Y10" s="2264"/>
      <c r="Z10" s="2264"/>
      <c r="AA10" s="2264"/>
      <c r="AB10" s="2264"/>
      <c r="AC10" s="2264"/>
      <c r="AD10" s="2264"/>
      <c r="AE10" s="2264"/>
      <c r="AF10" s="2264"/>
      <c r="AG10" s="2264"/>
      <c r="AH10" s="2264"/>
      <c r="AI10" s="2264"/>
      <c r="AJ10" s="2264"/>
      <c r="AK10" s="2264"/>
      <c r="AL10" s="2264"/>
      <c r="AM10" s="20"/>
      <c r="AN10" s="20"/>
      <c r="AO10" s="20"/>
      <c r="AP10" s="20"/>
      <c r="AQ10" s="20"/>
      <c r="AR10" s="20"/>
      <c r="AS10" s="20"/>
      <c r="AT10" s="20"/>
      <c r="AU10" s="20"/>
      <c r="AV10" s="20"/>
      <c r="AW10" s="20"/>
      <c r="AX10" s="20"/>
      <c r="AY10" s="20"/>
    </row>
    <row r="11" spans="1:96" ht="12.95" customHeight="1">
      <c r="A11" s="2186" t="s">
        <v>1837</v>
      </c>
      <c r="B11" s="2186"/>
      <c r="C11" s="2186"/>
      <c r="D11" s="2186"/>
      <c r="E11" s="2186"/>
      <c r="F11" s="2186"/>
      <c r="G11" s="2186"/>
      <c r="H11" s="2186"/>
      <c r="I11" s="2186"/>
      <c r="J11" s="2186"/>
      <c r="K11" s="2186"/>
      <c r="L11" s="2186"/>
      <c r="M11" s="2186"/>
      <c r="N11" s="2186"/>
      <c r="O11" s="2186"/>
      <c r="P11" s="2186"/>
      <c r="Q11" s="2186"/>
      <c r="R11" s="2186"/>
      <c r="S11" s="2186"/>
      <c r="T11" s="2186"/>
      <c r="U11" s="2186"/>
      <c r="V11" s="2186"/>
      <c r="W11" s="2186"/>
      <c r="X11" s="2186"/>
      <c r="Y11" s="2186"/>
      <c r="Z11" s="2186"/>
      <c r="AA11" s="2186"/>
      <c r="AB11" s="2186"/>
      <c r="AC11" s="2186"/>
      <c r="AD11" s="2186"/>
      <c r="AE11" s="2186"/>
      <c r="AF11" s="2186"/>
      <c r="AG11" s="2186"/>
      <c r="AH11" s="2186"/>
      <c r="AI11" s="2186"/>
      <c r="AJ11" s="2186"/>
      <c r="AK11" s="2186"/>
      <c r="AL11" s="2186"/>
      <c r="AM11" s="1397"/>
      <c r="AN11" s="1397"/>
      <c r="AO11" s="1397"/>
      <c r="AP11" s="1397"/>
      <c r="AQ11" s="1397"/>
      <c r="AR11" s="1397"/>
      <c r="AS11" s="1397"/>
      <c r="AT11" s="1397"/>
      <c r="AU11" s="1397"/>
      <c r="AV11" s="1397"/>
      <c r="AW11" s="1397"/>
      <c r="AX11" s="1397"/>
      <c r="AY11" s="1397"/>
    </row>
    <row r="12" spans="1:96" ht="12.95" customHeight="1">
      <c r="A12" s="2272" t="s">
        <v>2610</v>
      </c>
      <c r="B12" s="2273"/>
      <c r="C12" s="2273"/>
      <c r="D12" s="2273"/>
      <c r="E12" s="2273"/>
      <c r="F12" s="2273"/>
      <c r="G12" s="2273"/>
      <c r="H12" s="2273"/>
      <c r="I12" s="2273"/>
      <c r="J12" s="2273"/>
      <c r="K12" s="2273"/>
      <c r="L12" s="2273"/>
      <c r="M12" s="2273"/>
      <c r="N12" s="2273"/>
      <c r="O12" s="2273"/>
      <c r="P12" s="2273"/>
      <c r="Q12" s="2273"/>
      <c r="R12" s="2273"/>
      <c r="S12" s="2273"/>
      <c r="T12" s="2273"/>
      <c r="U12" s="2273"/>
      <c r="V12" s="2273"/>
      <c r="W12" s="2273"/>
      <c r="X12" s="2273"/>
      <c r="Y12" s="2273"/>
      <c r="Z12" s="2273"/>
      <c r="AA12" s="2273"/>
      <c r="AB12" s="2273"/>
      <c r="AC12" s="2273"/>
      <c r="AD12" s="2273"/>
      <c r="AE12" s="2273"/>
      <c r="AF12" s="2273"/>
      <c r="AG12" s="2273"/>
      <c r="AH12" s="2273"/>
      <c r="AI12" s="2273"/>
      <c r="AJ12" s="2273"/>
      <c r="AK12" s="2273"/>
      <c r="AL12" s="2273"/>
      <c r="AM12" s="1403"/>
      <c r="AN12" s="1403"/>
      <c r="AO12" s="1403"/>
      <c r="AP12" s="1403"/>
      <c r="AQ12" s="1403"/>
      <c r="AR12" s="1403"/>
      <c r="AS12" s="1403"/>
      <c r="AT12" s="1403"/>
      <c r="AU12" s="1403"/>
      <c r="AV12" s="1403"/>
      <c r="AW12" s="1403"/>
      <c r="AX12" s="1403"/>
      <c r="AY12" s="1403"/>
    </row>
    <row r="13" spans="1:96" ht="12.95" customHeight="1">
      <c r="A13" s="1930" t="s">
        <v>2470</v>
      </c>
      <c r="B13" s="1930"/>
      <c r="C13" s="1930"/>
      <c r="D13" s="1930"/>
      <c r="E13" s="1930"/>
      <c r="F13" s="1930"/>
      <c r="G13" s="1930"/>
      <c r="H13" s="1930"/>
      <c r="I13" s="1930"/>
      <c r="J13" s="1930"/>
      <c r="K13" s="1930"/>
      <c r="L13" s="1930"/>
      <c r="M13" s="1930"/>
      <c r="N13" s="1930"/>
      <c r="O13" s="1930"/>
      <c r="P13" s="1930"/>
      <c r="Q13" s="1930"/>
      <c r="R13" s="1930"/>
      <c r="S13" s="1930"/>
      <c r="T13" s="1930"/>
      <c r="U13" s="1930"/>
      <c r="V13" s="1930"/>
      <c r="W13" s="1930"/>
      <c r="X13" s="1930"/>
      <c r="Y13" s="1930"/>
      <c r="Z13" s="1930"/>
      <c r="AA13" s="1930"/>
      <c r="AB13" s="1930"/>
      <c r="AC13" s="1930"/>
      <c r="AD13" s="1930"/>
      <c r="AE13" s="1930"/>
      <c r="AF13" s="1930"/>
      <c r="AG13" s="1930"/>
      <c r="AH13" s="1930"/>
      <c r="AI13" s="1930"/>
      <c r="AJ13" s="1930"/>
      <c r="AK13" s="1930"/>
      <c r="AL13" s="1930"/>
      <c r="AM13" s="1414"/>
      <c r="AN13" s="1414"/>
      <c r="AO13" s="1414"/>
      <c r="AP13" s="1414"/>
      <c r="AQ13" s="1414"/>
      <c r="AR13" s="1414"/>
      <c r="AS13" s="1414"/>
      <c r="AT13" s="1414"/>
      <c r="AU13" s="1414"/>
      <c r="AV13" s="1414"/>
      <c r="AW13" s="1414"/>
      <c r="AX13" s="1414"/>
      <c r="AY13" s="1414"/>
    </row>
    <row r="14" spans="1:96" ht="12.95" customHeight="1" thickBot="1">
      <c r="A14" s="1931"/>
      <c r="B14" s="1931"/>
      <c r="C14" s="1931"/>
      <c r="D14" s="1931"/>
      <c r="E14" s="1931"/>
      <c r="F14" s="1931"/>
      <c r="G14" s="1931"/>
      <c r="H14" s="1931"/>
      <c r="I14" s="1931"/>
      <c r="J14" s="1931"/>
      <c r="K14" s="1931"/>
      <c r="L14" s="1931"/>
      <c r="M14" s="1931"/>
      <c r="N14" s="1931"/>
      <c r="O14" s="1931"/>
      <c r="P14" s="1931"/>
      <c r="Q14" s="1931"/>
      <c r="R14" s="1931"/>
      <c r="S14" s="1931"/>
      <c r="T14" s="1931"/>
      <c r="U14" s="1931"/>
      <c r="V14" s="1931"/>
      <c r="W14" s="1931"/>
      <c r="X14" s="1931"/>
      <c r="Y14" s="1931"/>
      <c r="Z14" s="1931"/>
      <c r="AA14" s="1931"/>
      <c r="AB14" s="1931"/>
      <c r="AC14" s="1931"/>
      <c r="AD14" s="1931"/>
      <c r="AE14" s="1931"/>
      <c r="AF14" s="1931"/>
      <c r="AG14" s="1931"/>
      <c r="AH14" s="1931"/>
      <c r="AI14" s="1931"/>
      <c r="AJ14" s="1931"/>
      <c r="AK14" s="1931"/>
      <c r="AL14" s="1931"/>
      <c r="AM14" s="1414"/>
      <c r="AN14" s="1414"/>
      <c r="AO14" s="1414"/>
      <c r="AP14" s="1414"/>
      <c r="AQ14" s="1414"/>
      <c r="AR14" s="1414"/>
      <c r="AS14" s="1414"/>
      <c r="AT14" s="1414"/>
      <c r="AU14" s="1414"/>
      <c r="AV14" s="1414"/>
      <c r="AW14" s="1414"/>
      <c r="AX14" s="1414"/>
      <c r="AY14" s="1414"/>
    </row>
    <row r="15" spans="1:96" ht="12.95" customHeight="1" thickTop="1">
      <c r="A15" s="145"/>
      <c r="B15" s="145"/>
      <c r="C15" s="145"/>
      <c r="D15" s="145"/>
      <c r="E15" s="145"/>
      <c r="F15" s="145"/>
      <c r="G15" s="145"/>
      <c r="AC15" s="145"/>
      <c r="AD15" s="145"/>
      <c r="AE15" s="145"/>
      <c r="AF15" s="145"/>
      <c r="AG15" s="145"/>
      <c r="AH15" s="145"/>
      <c r="AI15" s="145"/>
      <c r="AJ15" s="145"/>
      <c r="AK15" s="145"/>
      <c r="AL15" s="145"/>
      <c r="AM15" s="1415"/>
      <c r="AN15" s="1415"/>
      <c r="AO15" s="1415"/>
      <c r="AP15" s="1415"/>
      <c r="AQ15" s="1415"/>
      <c r="AR15" s="1415"/>
      <c r="AS15" s="1415"/>
      <c r="AT15" s="1415"/>
      <c r="AU15" s="1415"/>
      <c r="AV15" s="1415"/>
      <c r="AW15" s="1415"/>
      <c r="AX15" s="1415"/>
      <c r="AY15" s="1415"/>
    </row>
    <row r="16" spans="1:96" ht="12.95" customHeight="1">
      <c r="A16" s="134" t="s">
        <v>2471</v>
      </c>
      <c r="C16" s="7"/>
      <c r="D16" s="7"/>
      <c r="E16" s="7"/>
      <c r="F16" s="7"/>
      <c r="G16" s="7"/>
      <c r="H16" s="2263" t="s">
        <v>2613</v>
      </c>
      <c r="I16" s="2168"/>
      <c r="J16" s="2168"/>
      <c r="K16" s="2168"/>
      <c r="L16" s="2168"/>
      <c r="M16" s="2168"/>
      <c r="N16" s="2168"/>
      <c r="O16" s="2168"/>
      <c r="P16" s="2168"/>
      <c r="Q16" s="2168"/>
      <c r="R16" s="2168"/>
      <c r="S16" s="2168"/>
      <c r="T16" s="2168"/>
      <c r="U16" s="2168"/>
      <c r="V16" s="2168"/>
      <c r="W16" s="2168"/>
      <c r="X16" s="2168"/>
      <c r="Y16" s="2168"/>
      <c r="Z16" s="2168"/>
      <c r="AA16" s="2168"/>
      <c r="AB16" s="2168"/>
      <c r="AC16" s="2168"/>
      <c r="AD16" s="2168"/>
      <c r="AE16" s="2168"/>
      <c r="AF16" s="2168"/>
      <c r="AG16" s="2168"/>
      <c r="AH16" s="2168"/>
      <c r="AI16" s="2168"/>
      <c r="AJ16" s="2168"/>
    </row>
    <row r="17" spans="1:96" ht="12.95" customHeight="1"/>
    <row r="18" spans="1:96" ht="12.95" customHeight="1">
      <c r="A18" s="134" t="s">
        <v>102</v>
      </c>
      <c r="C18" s="7"/>
      <c r="D18" s="7"/>
      <c r="E18" s="7"/>
      <c r="F18" s="7"/>
      <c r="G18" s="7"/>
      <c r="H18" s="2269" t="s">
        <v>2614</v>
      </c>
      <c r="I18" s="2162"/>
      <c r="J18" s="2162"/>
      <c r="K18" s="2162"/>
      <c r="L18" s="2162"/>
      <c r="M18" s="2162"/>
      <c r="N18" s="2162"/>
      <c r="O18" s="2162"/>
      <c r="P18" s="2162"/>
      <c r="Q18" s="2162"/>
      <c r="R18" s="2162"/>
      <c r="S18" s="2162"/>
      <c r="T18" s="2162"/>
      <c r="U18" s="2162"/>
      <c r="V18" s="2162"/>
      <c r="W18" s="2162"/>
      <c r="X18" s="2162"/>
      <c r="Y18" s="2162"/>
      <c r="Z18" s="2162"/>
      <c r="AA18" s="2162"/>
      <c r="AB18" s="2162"/>
      <c r="AC18" s="2162"/>
      <c r="AD18" s="2162"/>
      <c r="AE18" s="2162"/>
      <c r="AF18" s="2162"/>
      <c r="AG18" s="2162"/>
      <c r="AH18" s="2162"/>
      <c r="AI18" s="2162"/>
      <c r="AJ18" s="2162"/>
    </row>
    <row r="19" spans="1:96" ht="12.95" customHeight="1"/>
    <row r="20" spans="1:96" ht="12.95" customHeight="1">
      <c r="A20" s="2267" t="s">
        <v>901</v>
      </c>
      <c r="B20" s="2267"/>
      <c r="C20" s="2267"/>
      <c r="D20" s="2267"/>
      <c r="E20" s="2267"/>
      <c r="F20" s="2267"/>
      <c r="G20" s="2267"/>
      <c r="H20" s="2267"/>
      <c r="I20" s="2267"/>
      <c r="J20" s="2267"/>
      <c r="K20" s="2267"/>
      <c r="L20" s="2267"/>
      <c r="M20" s="2267"/>
      <c r="N20" s="2267"/>
      <c r="O20" s="2267"/>
      <c r="P20" s="2267"/>
      <c r="Q20" s="2267"/>
      <c r="R20" s="2267"/>
      <c r="S20" s="2267"/>
      <c r="T20" s="2267"/>
      <c r="U20" s="2267"/>
      <c r="V20" s="2267"/>
      <c r="W20" s="2267"/>
      <c r="X20" s="2267"/>
      <c r="Y20" s="2267"/>
      <c r="Z20" s="2267"/>
      <c r="AA20" s="2267"/>
      <c r="AB20" s="2267"/>
      <c r="AC20" s="2267"/>
      <c r="AD20" s="2267"/>
      <c r="AE20" s="2267"/>
      <c r="AF20" s="2267"/>
      <c r="AG20" s="2267"/>
      <c r="AH20" s="2267"/>
      <c r="AI20" s="2267"/>
      <c r="AJ20" s="2267"/>
      <c r="AK20" s="2267"/>
      <c r="AL20" s="2267"/>
      <c r="AM20" s="1416"/>
      <c r="AN20" s="1416"/>
      <c r="AO20" s="1416"/>
      <c r="AP20" s="1416"/>
      <c r="AQ20" s="1416"/>
      <c r="AR20" s="1416"/>
      <c r="AS20" s="1416"/>
      <c r="AT20" s="1416"/>
      <c r="AU20" s="1416"/>
      <c r="AV20" s="1416"/>
      <c r="AW20" s="1416"/>
      <c r="AX20" s="1416"/>
      <c r="AY20" s="1416"/>
    </row>
    <row r="21" spans="1:96" ht="12.95" customHeight="1">
      <c r="A21" s="2275" t="s">
        <v>1065</v>
      </c>
      <c r="B21" s="2275"/>
      <c r="C21" s="2275"/>
      <c r="D21" s="2275"/>
      <c r="E21" s="2275"/>
      <c r="F21" s="2275"/>
      <c r="G21" s="2275"/>
      <c r="H21" s="2275"/>
      <c r="I21" s="2275"/>
      <c r="J21" s="2275"/>
      <c r="K21" s="2275"/>
      <c r="L21" s="2275"/>
      <c r="M21" s="2275"/>
      <c r="N21" s="2275"/>
      <c r="O21" s="2275"/>
      <c r="P21" s="2275"/>
      <c r="Q21" s="2275"/>
      <c r="R21" s="2275"/>
      <c r="S21" s="2275"/>
      <c r="T21" s="2275"/>
      <c r="U21" s="2275"/>
      <c r="V21" s="2275"/>
      <c r="W21" s="2275"/>
      <c r="X21" s="2275"/>
      <c r="Y21" s="2275"/>
      <c r="Z21" s="2275"/>
      <c r="AA21" s="2275"/>
      <c r="AB21" s="2275"/>
      <c r="AC21" s="2275"/>
      <c r="AD21" s="2275"/>
      <c r="AE21" s="2275"/>
      <c r="AF21" s="2275"/>
      <c r="AG21" s="2275"/>
      <c r="AH21" s="2275"/>
      <c r="AI21" s="2275"/>
      <c r="AJ21" s="2275"/>
      <c r="AK21" s="2275"/>
      <c r="AL21" s="2275"/>
      <c r="AM21" s="1417"/>
      <c r="AN21" s="1417"/>
      <c r="AO21" s="1417"/>
      <c r="AP21" s="1417"/>
      <c r="AQ21" s="1417"/>
      <c r="AR21" s="1417"/>
      <c r="AS21" s="1417"/>
      <c r="AT21" s="1417"/>
      <c r="AU21" s="1417"/>
      <c r="AV21" s="1417"/>
      <c r="AW21" s="1417"/>
      <c r="AX21" s="1417"/>
      <c r="AY21" s="1417"/>
    </row>
    <row r="22" spans="1:96" ht="12.9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95" customHeight="1">
      <c r="A23" s="180" t="s">
        <v>2472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18"/>
      <c r="AN23" s="1418"/>
      <c r="AO23" s="1418"/>
      <c r="AP23" s="1418"/>
      <c r="AQ23" s="1418"/>
      <c r="AR23" s="1418"/>
      <c r="AS23" s="1418"/>
      <c r="AT23" s="1418"/>
      <c r="AU23" s="1418"/>
      <c r="AV23" s="1418"/>
      <c r="AW23" s="1418"/>
      <c r="AX23" s="1418"/>
      <c r="AY23" s="1418"/>
      <c r="AZ23" s="28"/>
    </row>
    <row r="24" spans="1:96" ht="12.95" customHeight="1">
      <c r="A24" s="173" t="s">
        <v>1026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18"/>
      <c r="AN24" s="1418"/>
      <c r="AO24" s="1418"/>
      <c r="AP24" s="1418"/>
      <c r="AQ24" s="1418"/>
      <c r="AR24" s="1418"/>
      <c r="AS24" s="1418"/>
      <c r="AT24" s="1418"/>
      <c r="AU24" s="1418"/>
      <c r="AV24" s="1418"/>
      <c r="AW24" s="1418"/>
      <c r="AX24" s="1418"/>
      <c r="AY24" s="1418"/>
      <c r="AZ24" s="28"/>
    </row>
    <row r="25" spans="1:96" ht="12.9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95" customHeight="1">
      <c r="A26" s="7"/>
      <c r="C26" s="7"/>
      <c r="D26" s="7"/>
      <c r="E26" s="7"/>
      <c r="F26" s="7"/>
      <c r="G26" s="7"/>
      <c r="H26" s="7"/>
      <c r="I26" s="7"/>
      <c r="J26" s="7"/>
      <c r="K26" s="7"/>
      <c r="L26" s="7"/>
      <c r="M26" s="2274">
        <f>'Basis &amp; Credits'!AB56</f>
        <v>1622392</v>
      </c>
      <c r="N26" s="2274"/>
      <c r="O26" s="2274"/>
      <c r="P26" s="2274"/>
      <c r="Q26" s="2274"/>
      <c r="R26" s="7" t="s">
        <v>783</v>
      </c>
      <c r="S26" s="7"/>
      <c r="T26" s="7"/>
      <c r="U26" s="7"/>
      <c r="V26" s="7"/>
      <c r="W26" s="7"/>
      <c r="X26" s="7"/>
      <c r="Y26" s="7"/>
      <c r="Z26" s="7"/>
      <c r="AF26" s="7"/>
      <c r="AG26" s="7"/>
      <c r="AH26" s="7"/>
      <c r="AI26" s="7"/>
      <c r="AJ26" s="7"/>
      <c r="AK26" s="7"/>
    </row>
    <row r="27" spans="1:96" ht="12.95" customHeight="1">
      <c r="A27" s="7"/>
      <c r="C27" s="7"/>
      <c r="D27" s="7"/>
      <c r="E27" s="7"/>
      <c r="F27" s="7"/>
      <c r="G27" s="7"/>
      <c r="H27" s="7"/>
      <c r="I27" s="7"/>
      <c r="J27" s="7"/>
      <c r="K27" s="7"/>
      <c r="L27" s="7"/>
      <c r="M27" s="2214">
        <f>'Basis &amp; Credits'!AB77</f>
        <v>12150653</v>
      </c>
      <c r="N27" s="2214"/>
      <c r="O27" s="2214"/>
      <c r="P27" s="2214"/>
      <c r="Q27" s="2214"/>
      <c r="R27" s="58" t="s">
        <v>1424</v>
      </c>
      <c r="S27" s="7"/>
      <c r="T27" s="7"/>
      <c r="U27" s="7"/>
      <c r="V27" s="7"/>
      <c r="W27" s="7"/>
      <c r="X27" s="7"/>
      <c r="Y27" s="7"/>
      <c r="Z27" s="7"/>
      <c r="AF27" s="7"/>
      <c r="AG27" s="7"/>
      <c r="AH27" s="7"/>
      <c r="AI27" s="7"/>
      <c r="AJ27" s="7"/>
      <c r="AK27" s="7"/>
    </row>
    <row r="28" spans="1:96" ht="12.9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95" customHeight="1">
      <c r="A29" s="7" t="s">
        <v>770</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95" customHeight="1">
      <c r="A30" s="7" t="s">
        <v>771</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95" customHeight="1">
      <c r="A31" s="138" t="s">
        <v>2473</v>
      </c>
      <c r="C31" s="138"/>
      <c r="D31" s="138"/>
      <c r="E31" s="138"/>
      <c r="F31" s="138"/>
      <c r="G31" s="138"/>
      <c r="H31" s="138"/>
      <c r="I31" s="138"/>
      <c r="J31" s="138"/>
      <c r="K31" s="138"/>
      <c r="L31" s="138"/>
      <c r="M31" s="138"/>
      <c r="N31" s="138"/>
      <c r="O31" s="138"/>
      <c r="P31" s="138"/>
      <c r="Q31" s="138"/>
      <c r="R31" s="138"/>
      <c r="S31" s="138"/>
      <c r="T31" s="277"/>
      <c r="U31" s="277"/>
      <c r="V31" s="277"/>
      <c r="W31" s="277"/>
      <c r="X31" s="277"/>
      <c r="Y31" s="277"/>
      <c r="Z31" s="277"/>
      <c r="AA31" s="278"/>
      <c r="AB31" s="278"/>
      <c r="AC31" s="278"/>
      <c r="AD31" s="278"/>
      <c r="AE31" s="278"/>
      <c r="AF31" s="31"/>
      <c r="AG31" s="31"/>
      <c r="AH31" s="31"/>
      <c r="AI31" s="31"/>
      <c r="AJ31" s="31"/>
      <c r="AK31" s="31"/>
      <c r="AL31" s="31"/>
      <c r="AM31" s="278"/>
      <c r="AN31" s="278"/>
      <c r="AO31" s="278"/>
      <c r="AP31" s="278"/>
      <c r="AQ31" s="278"/>
      <c r="AR31" s="278"/>
      <c r="AS31" s="278"/>
      <c r="AT31" s="278"/>
      <c r="AU31" s="278"/>
      <c r="AV31" s="278"/>
      <c r="AW31" s="278"/>
      <c r="AX31" s="278"/>
      <c r="AY31" s="278"/>
      <c r="AZ31" s="31"/>
    </row>
    <row r="32" spans="1:96" s="39" customFormat="1" ht="12.9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8"/>
      <c r="AN32" s="278"/>
      <c r="AO32" s="278"/>
      <c r="AP32" s="278"/>
      <c r="AQ32" s="278"/>
      <c r="AR32" s="278"/>
      <c r="AS32" s="278"/>
      <c r="AT32" s="278"/>
      <c r="AU32" s="278"/>
      <c r="AV32" s="278"/>
      <c r="AW32" s="278"/>
      <c r="AX32" s="278"/>
      <c r="AY32" s="278"/>
      <c r="AZ32" s="278"/>
      <c r="CR32" s="670"/>
    </row>
    <row r="33" spans="1:96" s="39" customFormat="1" ht="12.95" customHeight="1">
      <c r="A33" s="879" t="s">
        <v>1435</v>
      </c>
      <c r="C33" s="879"/>
      <c r="D33" s="879"/>
      <c r="E33" s="879"/>
      <c r="F33" s="879"/>
      <c r="G33" s="879"/>
      <c r="H33" s="879"/>
      <c r="I33" s="879"/>
      <c r="J33" s="879"/>
      <c r="K33" s="879"/>
      <c r="L33" s="879"/>
      <c r="M33" s="879"/>
      <c r="N33" s="879"/>
      <c r="O33" s="2095" t="s">
        <v>554</v>
      </c>
      <c r="P33" s="2095"/>
      <c r="Q33" s="879" t="s">
        <v>1436</v>
      </c>
      <c r="S33" s="879"/>
      <c r="T33" s="879"/>
      <c r="U33" s="879"/>
      <c r="V33" s="879"/>
      <c r="W33" s="879"/>
      <c r="X33" s="879"/>
      <c r="Y33" s="879"/>
      <c r="Z33" s="879"/>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35"/>
      <c r="CR33" s="670"/>
    </row>
    <row r="34" spans="1:96" s="39" customFormat="1" ht="12.95" customHeight="1">
      <c r="A34" s="238" t="s">
        <v>1438</v>
      </c>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CR34" s="670"/>
    </row>
    <row r="35" spans="1:96" s="39" customFormat="1" ht="12.95" customHeight="1">
      <c r="A35" s="238" t="s">
        <v>1437</v>
      </c>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CR35" s="670"/>
    </row>
    <row r="36" spans="1:96" ht="12.95" customHeight="1">
      <c r="A36" s="880" t="s">
        <v>1439</v>
      </c>
      <c r="B36" s="3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31"/>
    </row>
    <row r="37" spans="1:96" ht="12.95" customHeight="1">
      <c r="A37" s="58" t="s">
        <v>1440</v>
      </c>
      <c r="AZ37" s="31"/>
    </row>
    <row r="38" spans="1:96" ht="12.95" customHeight="1">
      <c r="A38" s="58" t="s">
        <v>1441</v>
      </c>
      <c r="AZ38" s="31"/>
    </row>
    <row r="39" spans="1:96" ht="12.95" customHeight="1">
      <c r="AZ39" s="31"/>
    </row>
    <row r="40" spans="1:96" ht="12.95" customHeight="1">
      <c r="A40" s="879" t="s">
        <v>2474</v>
      </c>
      <c r="B40" s="39"/>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31"/>
    </row>
    <row r="41" spans="1:96" ht="12.95" customHeight="1">
      <c r="A41" s="889" t="s">
        <v>2475</v>
      </c>
      <c r="B41" s="39"/>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31"/>
    </row>
    <row r="42" spans="1:96" ht="12.95" customHeight="1">
      <c r="A42" s="889" t="s">
        <v>1464</v>
      </c>
      <c r="B42" s="39"/>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278"/>
      <c r="AC42" s="278"/>
      <c r="AD42" s="278"/>
      <c r="AE42" s="278"/>
      <c r="AF42" s="278"/>
      <c r="AG42" s="278"/>
      <c r="AH42" s="278"/>
      <c r="AI42" s="278"/>
      <c r="AJ42" s="278"/>
      <c r="AK42" s="279"/>
      <c r="AL42" s="235"/>
      <c r="AM42" s="1398"/>
      <c r="AN42" s="1398"/>
      <c r="AO42" s="1398"/>
      <c r="AP42" s="1398"/>
      <c r="AQ42" s="1398"/>
      <c r="AR42" s="1398"/>
      <c r="AS42" s="1398"/>
      <c r="AT42" s="1398"/>
      <c r="AU42" s="1398"/>
      <c r="AV42" s="1398"/>
      <c r="AW42" s="1398"/>
      <c r="AX42" s="1398"/>
      <c r="AY42" s="1398"/>
      <c r="AZ42" s="31"/>
    </row>
    <row r="43" spans="1:96" ht="12.95" customHeight="1">
      <c r="A43" s="889" t="s">
        <v>2476</v>
      </c>
      <c r="B43" s="39"/>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31"/>
    </row>
    <row r="44" spans="1:96" ht="12.95" customHeight="1">
      <c r="A44" s="890" t="s">
        <v>1465</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8"/>
      <c r="AN44" s="278"/>
      <c r="AO44" s="278"/>
      <c r="AP44" s="278"/>
      <c r="AQ44" s="278"/>
      <c r="AR44" s="278"/>
      <c r="AS44" s="278"/>
      <c r="AT44" s="278"/>
      <c r="AU44" s="278"/>
      <c r="AV44" s="278"/>
      <c r="AW44" s="278"/>
      <c r="AX44" s="278"/>
      <c r="AY44" s="278"/>
      <c r="AZ44" s="31"/>
    </row>
    <row r="45" spans="1:96" ht="12.95" customHeight="1">
      <c r="A45" s="890" t="s">
        <v>2477</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8"/>
      <c r="AN45" s="278"/>
      <c r="AO45" s="278"/>
      <c r="AP45" s="278"/>
      <c r="AQ45" s="278"/>
      <c r="AR45" s="278"/>
      <c r="AS45" s="278"/>
      <c r="AT45" s="278"/>
      <c r="AU45" s="278"/>
      <c r="AV45" s="278"/>
      <c r="AW45" s="278"/>
      <c r="AX45" s="278"/>
      <c r="AY45" s="278"/>
      <c r="AZ45" s="32"/>
    </row>
    <row r="46" spans="1:96" ht="12.95" customHeight="1">
      <c r="A46" s="890" t="s">
        <v>1466</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8"/>
      <c r="AN46" s="278"/>
      <c r="AO46" s="278"/>
      <c r="AP46" s="278"/>
      <c r="AQ46" s="278"/>
      <c r="AR46" s="278"/>
      <c r="AS46" s="278"/>
      <c r="AT46" s="278"/>
      <c r="AU46" s="278"/>
      <c r="AV46" s="278"/>
      <c r="AW46" s="278"/>
      <c r="AX46" s="278"/>
      <c r="AY46" s="278"/>
      <c r="AZ46" s="31"/>
    </row>
    <row r="47" spans="1:96" ht="12.9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8"/>
      <c r="AN47" s="278"/>
      <c r="AO47" s="278"/>
      <c r="AP47" s="278"/>
      <c r="AQ47" s="278"/>
      <c r="AR47" s="278"/>
      <c r="AS47" s="278"/>
      <c r="AT47" s="278"/>
      <c r="AU47" s="278"/>
      <c r="AV47" s="278"/>
      <c r="AW47" s="278"/>
      <c r="AX47" s="278"/>
      <c r="AY47" s="278"/>
      <c r="AZ47" s="31"/>
    </row>
    <row r="48" spans="1:96" ht="12.95" customHeight="1">
      <c r="A48" s="891" t="s">
        <v>1467</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8"/>
      <c r="AN48" s="278"/>
      <c r="AO48" s="278"/>
      <c r="AP48" s="278"/>
      <c r="AQ48" s="278"/>
      <c r="AR48" s="278"/>
      <c r="AS48" s="278"/>
      <c r="AT48" s="278"/>
      <c r="AU48" s="278"/>
      <c r="AV48" s="278"/>
      <c r="AW48" s="278"/>
      <c r="AX48" s="278"/>
      <c r="AY48" s="278"/>
      <c r="AZ48" s="31"/>
    </row>
    <row r="49" spans="1:52" ht="12.95" customHeight="1">
      <c r="A49" s="888" t="s">
        <v>1468</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8"/>
      <c r="AN49" s="278"/>
      <c r="AO49" s="278"/>
      <c r="AP49" s="278"/>
      <c r="AQ49" s="278"/>
      <c r="AR49" s="278"/>
      <c r="AS49" s="278"/>
      <c r="AT49" s="278"/>
      <c r="AU49" s="278"/>
      <c r="AV49" s="278"/>
      <c r="AW49" s="278"/>
      <c r="AX49" s="278"/>
      <c r="AY49" s="278"/>
      <c r="AZ49" s="31"/>
    </row>
    <row r="50" spans="1:52" ht="12.95" customHeight="1">
      <c r="A50" s="888" t="s">
        <v>2478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8"/>
      <c r="AN50" s="278"/>
      <c r="AO50" s="278"/>
      <c r="AP50" s="278"/>
      <c r="AQ50" s="278"/>
      <c r="AR50" s="278"/>
      <c r="AS50" s="278"/>
      <c r="AT50" s="278"/>
      <c r="AU50" s="278"/>
      <c r="AV50" s="278"/>
      <c r="AW50" s="278"/>
      <c r="AX50" s="278"/>
      <c r="AY50" s="278"/>
      <c r="AZ50" s="31"/>
    </row>
    <row r="51" spans="1:52" ht="12.95" customHeight="1">
      <c r="A51" s="888" t="s">
        <v>1469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8"/>
      <c r="AN51" s="278"/>
      <c r="AO51" s="278"/>
      <c r="AP51" s="278"/>
      <c r="AQ51" s="278"/>
      <c r="AR51" s="278"/>
      <c r="AS51" s="278"/>
      <c r="AT51" s="278"/>
      <c r="AU51" s="278"/>
      <c r="AV51" s="278"/>
      <c r="AW51" s="278"/>
      <c r="AX51" s="278"/>
      <c r="AY51" s="278"/>
      <c r="AZ51" s="31"/>
    </row>
    <row r="52" spans="1:52" ht="12.95" customHeight="1">
      <c r="A52" s="888" t="s">
        <v>1470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8"/>
      <c r="AN52" s="278"/>
      <c r="AO52" s="278"/>
      <c r="AP52" s="278"/>
      <c r="AQ52" s="278"/>
      <c r="AR52" s="278"/>
      <c r="AS52" s="278"/>
      <c r="AT52" s="278"/>
      <c r="AU52" s="278"/>
      <c r="AV52" s="278"/>
      <c r="AW52" s="278"/>
      <c r="AX52" s="278"/>
      <c r="AY52" s="278"/>
      <c r="AZ52" s="31"/>
    </row>
    <row r="53" spans="1:52" ht="12.9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8"/>
      <c r="AN53" s="278"/>
      <c r="AO53" s="278"/>
      <c r="AP53" s="278"/>
      <c r="AQ53" s="278"/>
      <c r="AR53" s="278"/>
      <c r="AS53" s="278"/>
      <c r="AT53" s="278"/>
      <c r="AU53" s="278"/>
      <c r="AV53" s="278"/>
      <c r="AW53" s="278"/>
      <c r="AX53" s="278"/>
      <c r="AY53" s="278"/>
      <c r="AZ53" s="31"/>
    </row>
    <row r="54" spans="1:52" ht="12.95" customHeight="1">
      <c r="A54" s="872" t="s">
        <v>71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8"/>
      <c r="AN54" s="278"/>
      <c r="AO54" s="278"/>
      <c r="AP54" s="278"/>
      <c r="AQ54" s="278"/>
      <c r="AR54" s="278"/>
      <c r="AS54" s="278"/>
      <c r="AT54" s="278"/>
      <c r="AU54" s="278"/>
      <c r="AV54" s="278"/>
      <c r="AW54" s="278"/>
      <c r="AX54" s="278"/>
      <c r="AY54" s="278"/>
      <c r="AZ54" s="33"/>
    </row>
    <row r="55" spans="1:52" ht="12.95" customHeight="1">
      <c r="A55" s="138" t="s">
        <v>955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398"/>
      <c r="AN55" s="1398"/>
      <c r="AO55" s="1398"/>
      <c r="AP55" s="1398"/>
      <c r="AQ55" s="1398"/>
      <c r="AR55" s="1398"/>
      <c r="AS55" s="1398"/>
      <c r="AT55" s="1398"/>
      <c r="AU55" s="1398"/>
      <c r="AV55" s="1398"/>
      <c r="AW55" s="1398"/>
      <c r="AX55" s="1398"/>
      <c r="AY55" s="1398"/>
      <c r="AZ55" s="33"/>
    </row>
    <row r="56" spans="1:52" ht="12.95" customHeight="1">
      <c r="A56" s="138" t="s">
        <v>839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398"/>
      <c r="AN56" s="1398"/>
      <c r="AO56" s="1398"/>
      <c r="AP56" s="1398"/>
      <c r="AQ56" s="1398"/>
      <c r="AR56" s="1398"/>
      <c r="AS56" s="1398"/>
      <c r="AT56" s="1398"/>
      <c r="AU56" s="1398"/>
      <c r="AV56" s="1398"/>
      <c r="AW56" s="1398"/>
      <c r="AX56" s="1398"/>
      <c r="AY56" s="1398"/>
      <c r="AZ56" s="32"/>
    </row>
    <row r="57" spans="1:52" ht="12.95" customHeight="1">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398"/>
      <c r="AN57" s="1398"/>
      <c r="AO57" s="1398"/>
      <c r="AP57" s="1398"/>
      <c r="AQ57" s="1398"/>
      <c r="AR57" s="1398"/>
      <c r="AS57" s="1398"/>
      <c r="AT57" s="1398"/>
      <c r="AU57" s="1398"/>
      <c r="AV57" s="1398"/>
      <c r="AW57" s="1398"/>
      <c r="AX57" s="1398"/>
      <c r="AY57" s="1398"/>
      <c r="AZ57" s="32"/>
    </row>
    <row r="58" spans="1:52" ht="12.95" customHeight="1">
      <c r="A58" s="138" t="s">
        <v>1029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398"/>
      <c r="AN58" s="1398"/>
      <c r="AO58" s="1398"/>
      <c r="AP58" s="1398"/>
      <c r="AQ58" s="1398"/>
      <c r="AR58" s="1398"/>
      <c r="AS58" s="1398"/>
      <c r="AT58" s="1398"/>
      <c r="AU58" s="1398"/>
      <c r="AV58" s="1398"/>
      <c r="AW58" s="1398"/>
      <c r="AX58" s="1398"/>
      <c r="AY58" s="1398"/>
      <c r="AZ58" s="32"/>
    </row>
    <row r="59" spans="1:52" ht="12.95" customHeight="1">
      <c r="A59" s="175" t="s">
        <v>1030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8"/>
      <c r="AN59" s="278"/>
      <c r="AO59" s="278"/>
      <c r="AP59" s="278"/>
      <c r="AQ59" s="278"/>
      <c r="AR59" s="278"/>
      <c r="AS59" s="278"/>
      <c r="AT59" s="278"/>
      <c r="AU59" s="278"/>
      <c r="AV59" s="278"/>
      <c r="AW59" s="278"/>
      <c r="AX59" s="278"/>
      <c r="AY59" s="278"/>
      <c r="AZ59" s="31"/>
    </row>
    <row r="60" spans="1:52" ht="12.95" customHeight="1">
      <c r="A60" s="175" t="s">
        <v>1031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8"/>
      <c r="AN60" s="278"/>
      <c r="AO60" s="278"/>
      <c r="AP60" s="278"/>
      <c r="AQ60" s="278"/>
      <c r="AR60" s="278"/>
      <c r="AS60" s="278"/>
      <c r="AT60" s="278"/>
      <c r="AU60" s="278"/>
      <c r="AV60" s="278"/>
      <c r="AW60" s="278"/>
      <c r="AX60" s="278"/>
      <c r="AY60" s="278"/>
      <c r="AZ60" s="31"/>
    </row>
    <row r="61" spans="1:52" ht="12.95" customHeight="1">
      <c r="A61" s="175" t="s">
        <v>1032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8"/>
      <c r="AN61" s="278"/>
      <c r="AO61" s="278"/>
      <c r="AP61" s="278"/>
      <c r="AQ61" s="278"/>
      <c r="AR61" s="278"/>
      <c r="AS61" s="278"/>
      <c r="AT61" s="278"/>
      <c r="AU61" s="278"/>
      <c r="AV61" s="278"/>
      <c r="AW61" s="278"/>
      <c r="AX61" s="278"/>
      <c r="AY61" s="278"/>
      <c r="AZ61" s="31"/>
    </row>
    <row r="62" spans="1:52" ht="12.95" customHeight="1">
      <c r="A62" s="138" t="s">
        <v>2479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8"/>
      <c r="AN62" s="278"/>
      <c r="AO62" s="278"/>
      <c r="AP62" s="278"/>
      <c r="AQ62" s="278"/>
      <c r="AR62" s="278"/>
      <c r="AS62" s="278"/>
      <c r="AT62" s="278"/>
      <c r="AU62" s="278"/>
      <c r="AV62" s="278"/>
      <c r="AW62" s="278"/>
      <c r="AX62" s="278"/>
      <c r="AY62" s="278"/>
      <c r="AZ62" s="31"/>
    </row>
    <row r="63" spans="1:52" ht="12.95" customHeight="1">
      <c r="A63" s="138" t="s">
        <v>1033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8"/>
      <c r="AN63" s="278"/>
      <c r="AO63" s="278"/>
      <c r="AP63" s="278"/>
      <c r="AQ63" s="278"/>
      <c r="AR63" s="278"/>
      <c r="AS63" s="278"/>
      <c r="AT63" s="278"/>
      <c r="AU63" s="278"/>
      <c r="AV63" s="278"/>
      <c r="AW63" s="278"/>
      <c r="AX63" s="278"/>
      <c r="AY63" s="278"/>
      <c r="AZ63" s="31"/>
    </row>
    <row r="64" spans="1:52" ht="12.95" customHeight="1">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8"/>
      <c r="AN64" s="278"/>
      <c r="AO64" s="278"/>
      <c r="AP64" s="278"/>
      <c r="AQ64" s="278"/>
      <c r="AR64" s="278"/>
      <c r="AS64" s="278"/>
      <c r="AT64" s="278"/>
      <c r="AU64" s="278"/>
      <c r="AV64" s="278"/>
      <c r="AW64" s="278"/>
      <c r="AX64" s="278"/>
      <c r="AY64" s="278"/>
      <c r="AZ64" s="31"/>
    </row>
    <row r="65" spans="1:52" ht="12.95" customHeight="1">
      <c r="A65" s="175" t="s">
        <v>992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19"/>
      <c r="AN65" s="1419"/>
      <c r="AO65" s="1419"/>
      <c r="AP65" s="1419"/>
      <c r="AQ65" s="1419"/>
      <c r="AR65" s="1419"/>
      <c r="AS65" s="1419"/>
      <c r="AT65" s="1419"/>
      <c r="AU65" s="1419"/>
      <c r="AV65" s="1419"/>
      <c r="AW65" s="1419"/>
      <c r="AX65" s="1419"/>
      <c r="AY65" s="1419"/>
      <c r="AZ65" s="31"/>
    </row>
    <row r="66" spans="1:52" ht="12.95" customHeight="1">
      <c r="A66" s="175" t="s">
        <v>956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19"/>
      <c r="AN66" s="1419"/>
      <c r="AO66" s="1419"/>
      <c r="AP66" s="1419"/>
      <c r="AQ66" s="1419"/>
      <c r="AR66" s="1419"/>
      <c r="AS66" s="1419"/>
      <c r="AT66" s="1419"/>
      <c r="AU66" s="1419"/>
      <c r="AV66" s="1419"/>
      <c r="AW66" s="1419"/>
      <c r="AX66" s="1419"/>
      <c r="AY66" s="1419"/>
      <c r="AZ66" s="31"/>
    </row>
    <row r="67" spans="1:52" ht="12.9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398"/>
      <c r="AN67" s="1398"/>
      <c r="AO67" s="1398"/>
      <c r="AP67" s="1398"/>
      <c r="AQ67" s="1398"/>
      <c r="AR67" s="1398"/>
      <c r="AS67" s="1398"/>
      <c r="AT67" s="1398"/>
      <c r="AU67" s="1398"/>
      <c r="AV67" s="1398"/>
      <c r="AW67" s="1398"/>
      <c r="AX67" s="1398"/>
      <c r="AY67" s="1398"/>
      <c r="AZ67" s="31"/>
    </row>
    <row r="68" spans="1:52" ht="12.95" customHeight="1">
      <c r="A68" s="135" t="s">
        <v>2480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398"/>
      <c r="AN68" s="1398"/>
      <c r="AO68" s="1398"/>
      <c r="AP68" s="1398"/>
      <c r="AQ68" s="1398"/>
      <c r="AR68" s="1398"/>
      <c r="AS68" s="1398"/>
      <c r="AT68" s="1398"/>
      <c r="AU68" s="1398"/>
      <c r="AV68" s="1398"/>
      <c r="AW68" s="1398"/>
      <c r="AX68" s="1398"/>
      <c r="AY68" s="1398"/>
      <c r="AZ68" s="31"/>
    </row>
    <row r="69" spans="1:52" ht="12.95" customHeight="1">
      <c r="A69" s="135" t="s">
        <v>772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398"/>
      <c r="AN69" s="1398"/>
      <c r="AO69" s="1398"/>
      <c r="AP69" s="1398"/>
      <c r="AQ69" s="1398"/>
      <c r="AR69" s="1398"/>
      <c r="AS69" s="1398"/>
      <c r="AT69" s="1398"/>
      <c r="AU69" s="1398"/>
      <c r="AV69" s="1398"/>
      <c r="AW69" s="1398"/>
      <c r="AX69" s="1398"/>
      <c r="AY69" s="1398"/>
      <c r="AZ69" s="31"/>
    </row>
    <row r="70" spans="1:52" ht="12.9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8"/>
      <c r="AN70" s="278"/>
      <c r="AO70" s="278"/>
      <c r="AP70" s="278"/>
      <c r="AQ70" s="278"/>
      <c r="AR70" s="278"/>
      <c r="AS70" s="278"/>
      <c r="AT70" s="278"/>
      <c r="AU70" s="278"/>
      <c r="AV70" s="278"/>
      <c r="AW70" s="278"/>
      <c r="AX70" s="278"/>
      <c r="AY70" s="278"/>
      <c r="AZ70" s="31"/>
    </row>
    <row r="71" spans="1:52" ht="12.95" customHeight="1">
      <c r="A71" s="175" t="s">
        <v>2481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8"/>
      <c r="AN71" s="278"/>
      <c r="AO71" s="278"/>
      <c r="AP71" s="278"/>
      <c r="AQ71" s="278"/>
      <c r="AR71" s="278"/>
      <c r="AS71" s="278"/>
      <c r="AT71" s="278"/>
      <c r="AU71" s="278"/>
      <c r="AV71" s="278"/>
      <c r="AW71" s="278"/>
      <c r="AX71" s="278"/>
      <c r="AY71" s="278"/>
      <c r="AZ71" s="31"/>
    </row>
    <row r="72" spans="1:52" ht="12.95" customHeight="1">
      <c r="A72" s="142" t="s">
        <v>2482</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8"/>
      <c r="AN72" s="278"/>
      <c r="AO72" s="278"/>
      <c r="AP72" s="278"/>
      <c r="AQ72" s="278"/>
      <c r="AR72" s="278"/>
      <c r="AS72" s="278"/>
      <c r="AT72" s="278"/>
      <c r="AU72" s="278"/>
      <c r="AV72" s="278"/>
      <c r="AW72" s="278"/>
      <c r="AX72" s="278"/>
      <c r="AY72" s="278"/>
      <c r="AZ72" s="31"/>
    </row>
    <row r="73" spans="1:52" ht="12.95" customHeight="1">
      <c r="A73" s="176" t="s">
        <v>773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8"/>
      <c r="AN73" s="278"/>
      <c r="AO73" s="278"/>
      <c r="AP73" s="278"/>
      <c r="AQ73" s="278"/>
      <c r="AR73" s="278"/>
      <c r="AS73" s="278"/>
      <c r="AT73" s="278"/>
      <c r="AU73" s="278"/>
      <c r="AV73" s="278"/>
      <c r="AW73" s="278"/>
      <c r="AX73" s="278"/>
      <c r="AY73" s="278"/>
      <c r="AZ73" s="31"/>
    </row>
    <row r="74" spans="1:52" ht="12.95" customHeight="1">
      <c r="A74" s="175" t="s">
        <v>774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8"/>
      <c r="AN74" s="278"/>
      <c r="AO74" s="278"/>
      <c r="AP74" s="278"/>
      <c r="AQ74" s="278"/>
      <c r="AR74" s="278"/>
      <c r="AS74" s="278"/>
      <c r="AT74" s="278"/>
      <c r="AU74" s="278"/>
      <c r="AV74" s="278"/>
      <c r="AW74" s="278"/>
      <c r="AX74" s="278"/>
      <c r="AY74" s="278"/>
      <c r="AZ74" s="31"/>
    </row>
    <row r="75" spans="1:52" ht="12.9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8"/>
      <c r="AN75" s="278"/>
      <c r="AO75" s="278"/>
      <c r="AP75" s="278"/>
      <c r="AQ75" s="278"/>
      <c r="AR75" s="278"/>
      <c r="AS75" s="278"/>
      <c r="AT75" s="278"/>
      <c r="AU75" s="278"/>
      <c r="AV75" s="278"/>
      <c r="AW75" s="278"/>
      <c r="AX75" s="278"/>
      <c r="AY75" s="278"/>
      <c r="AZ75" s="31"/>
    </row>
    <row r="76" spans="1:52" ht="12.95" customHeight="1">
      <c r="A76" s="175" t="s">
        <v>775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8"/>
      <c r="AN76" s="278"/>
      <c r="AO76" s="278"/>
      <c r="AP76" s="278"/>
      <c r="AQ76" s="278"/>
      <c r="AR76" s="278"/>
      <c r="AS76" s="278"/>
      <c r="AT76" s="278"/>
      <c r="AU76" s="278"/>
      <c r="AV76" s="278"/>
      <c r="AW76" s="278"/>
      <c r="AX76" s="278"/>
      <c r="AY76" s="278"/>
      <c r="AZ76" s="27"/>
    </row>
    <row r="77" spans="1:52" ht="12.95" customHeight="1">
      <c r="A77" s="175" t="s">
        <v>776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8"/>
      <c r="AN77" s="278"/>
      <c r="AO77" s="278"/>
      <c r="AP77" s="278"/>
      <c r="AQ77" s="278"/>
      <c r="AR77" s="278"/>
      <c r="AS77" s="278"/>
      <c r="AT77" s="278"/>
      <c r="AU77" s="278"/>
      <c r="AV77" s="278"/>
      <c r="AW77" s="278"/>
      <c r="AX77" s="278"/>
      <c r="AY77" s="278"/>
      <c r="AZ77" s="27"/>
    </row>
    <row r="78" spans="1:52" ht="12.95" customHeight="1">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8"/>
      <c r="AN78" s="278"/>
      <c r="AO78" s="278"/>
      <c r="AP78" s="278"/>
      <c r="AQ78" s="278"/>
      <c r="AR78" s="278"/>
      <c r="AS78" s="278"/>
      <c r="AT78" s="278"/>
      <c r="AU78" s="278"/>
      <c r="AV78" s="278"/>
      <c r="AW78" s="278"/>
      <c r="AX78" s="278"/>
      <c r="AY78" s="278"/>
      <c r="AZ78" s="27"/>
    </row>
    <row r="79" spans="1:52" ht="12.95" customHeight="1">
      <c r="A79" s="138" t="s">
        <v>714</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8"/>
      <c r="AN79" s="278"/>
      <c r="AO79" s="278"/>
      <c r="AP79" s="278"/>
      <c r="AQ79" s="278"/>
      <c r="AR79" s="278"/>
      <c r="AS79" s="278"/>
      <c r="AT79" s="278"/>
      <c r="AU79" s="278"/>
      <c r="AV79" s="278"/>
      <c r="AW79" s="278"/>
      <c r="AX79" s="278"/>
      <c r="AY79" s="278"/>
      <c r="AZ79" s="31"/>
    </row>
    <row r="80" spans="1:52" ht="12.95" customHeight="1">
      <c r="A80" s="138" t="s">
        <v>715</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8"/>
      <c r="AN80" s="278"/>
      <c r="AO80" s="278"/>
      <c r="AP80" s="278"/>
      <c r="AQ80" s="278"/>
      <c r="AR80" s="278"/>
      <c r="AS80" s="278"/>
      <c r="AT80" s="278"/>
      <c r="AU80" s="278"/>
      <c r="AV80" s="278"/>
      <c r="AW80" s="278"/>
      <c r="AX80" s="278"/>
      <c r="AY80" s="278"/>
      <c r="AZ80" s="31"/>
    </row>
    <row r="81" spans="1:96" ht="12.95" customHeight="1">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8"/>
      <c r="AN81" s="278"/>
      <c r="AO81" s="278"/>
      <c r="AP81" s="278"/>
      <c r="AQ81" s="278"/>
      <c r="AR81" s="278"/>
      <c r="AS81" s="278"/>
      <c r="AT81" s="278"/>
      <c r="AU81" s="278"/>
      <c r="AV81" s="278"/>
      <c r="AW81" s="278"/>
      <c r="AX81" s="278"/>
      <c r="AY81" s="278"/>
      <c r="AZ81" s="31"/>
    </row>
    <row r="82" spans="1:96" ht="12.95" customHeight="1">
      <c r="A82" s="175" t="s">
        <v>1069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8"/>
      <c r="AN82" s="278"/>
      <c r="AO82" s="278"/>
      <c r="AP82" s="278"/>
      <c r="AQ82" s="278"/>
      <c r="AR82" s="278"/>
      <c r="AS82" s="278"/>
      <c r="AT82" s="278"/>
      <c r="AU82" s="278"/>
      <c r="AV82" s="278"/>
      <c r="AW82" s="278"/>
      <c r="AX82" s="278"/>
      <c r="AY82" s="278"/>
      <c r="AZ82" s="31"/>
    </row>
    <row r="83" spans="1:96" ht="12.95" customHeight="1">
      <c r="A83" s="138" t="s">
        <v>2483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8"/>
      <c r="AN83" s="278"/>
      <c r="AO83" s="278"/>
      <c r="AP83" s="278"/>
      <c r="AQ83" s="278"/>
      <c r="AR83" s="278"/>
      <c r="AS83" s="278"/>
      <c r="AT83" s="278"/>
      <c r="AU83" s="278"/>
      <c r="AV83" s="278"/>
      <c r="AW83" s="278"/>
      <c r="AX83" s="278"/>
      <c r="AY83" s="278"/>
      <c r="AZ83" s="31"/>
    </row>
    <row r="84" spans="1:96" ht="12.95" customHeight="1">
      <c r="A84" s="138" t="s">
        <v>1034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8"/>
      <c r="AN84" s="278"/>
      <c r="AO84" s="278"/>
      <c r="AP84" s="278"/>
      <c r="AQ84" s="278"/>
      <c r="AR84" s="278"/>
      <c r="AS84" s="278"/>
      <c r="AT84" s="278"/>
      <c r="AU84" s="278"/>
      <c r="AV84" s="278"/>
      <c r="AW84" s="278"/>
      <c r="AX84" s="278"/>
      <c r="AY84" s="278"/>
      <c r="AZ84" s="31"/>
    </row>
    <row r="85" spans="1:96" ht="12.95" customHeight="1">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8"/>
      <c r="AN85" s="278"/>
      <c r="AO85" s="278"/>
      <c r="AP85" s="278"/>
      <c r="AQ85" s="278"/>
      <c r="AR85" s="278"/>
      <c r="AS85" s="278"/>
      <c r="AT85" s="278"/>
      <c r="AU85" s="278"/>
      <c r="AV85" s="278"/>
      <c r="AW85" s="278"/>
      <c r="AX85" s="278"/>
      <c r="AY85" s="278"/>
      <c r="AZ85" s="31"/>
    </row>
    <row r="86" spans="1:96" ht="12.95" customHeight="1">
      <c r="A86" s="175" t="s">
        <v>1028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8"/>
      <c r="AN86" s="278"/>
      <c r="AO86" s="278"/>
      <c r="AP86" s="278"/>
      <c r="AQ86" s="278"/>
      <c r="AR86" s="278"/>
      <c r="AS86" s="278"/>
      <c r="AT86" s="278"/>
      <c r="AU86" s="278"/>
      <c r="AV86" s="278"/>
      <c r="AW86" s="278"/>
      <c r="AX86" s="278"/>
      <c r="AY86" s="278"/>
      <c r="AZ86" s="31"/>
    </row>
    <row r="87" spans="1:96" ht="12.95" customHeight="1">
      <c r="A87" s="138" t="s">
        <v>1027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8"/>
      <c r="AN87" s="278"/>
      <c r="AO87" s="278"/>
      <c r="AP87" s="278"/>
      <c r="AQ87" s="278"/>
      <c r="AR87" s="278"/>
      <c r="AS87" s="278"/>
      <c r="AT87" s="278"/>
      <c r="AU87" s="278"/>
      <c r="AV87" s="278"/>
      <c r="AW87" s="278"/>
      <c r="AX87" s="278"/>
      <c r="AY87" s="278"/>
      <c r="AZ87" s="31"/>
    </row>
    <row r="88" spans="1:96" ht="12.95" customHeight="1">
      <c r="A88" s="138" t="s">
        <v>777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8"/>
      <c r="AN88" s="278"/>
      <c r="AO88" s="278"/>
      <c r="AP88" s="278"/>
      <c r="AQ88" s="278"/>
      <c r="AR88" s="278"/>
      <c r="AS88" s="278"/>
      <c r="AT88" s="278"/>
      <c r="AU88" s="278"/>
      <c r="AV88" s="278"/>
      <c r="AW88" s="278"/>
      <c r="AX88" s="278"/>
      <c r="AY88" s="278"/>
      <c r="AZ88" s="31"/>
    </row>
    <row r="89" spans="1:96" s="39" customFormat="1" ht="12.95" customHeight="1">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0"/>
      <c r="AN89" s="1420"/>
      <c r="AO89" s="1420"/>
      <c r="AP89" s="1420"/>
      <c r="AQ89" s="1420"/>
      <c r="AR89" s="1420"/>
      <c r="AS89" s="1420"/>
      <c r="AT89" s="1420"/>
      <c r="AU89" s="1420"/>
      <c r="AV89" s="1420"/>
      <c r="AW89" s="1420"/>
      <c r="AX89" s="1420"/>
      <c r="AY89" s="1420"/>
      <c r="AZ89" s="278"/>
      <c r="CR89" s="670"/>
    </row>
    <row r="90" spans="1:96" s="39" customFormat="1" ht="12.95" customHeight="1">
      <c r="A90" s="138" t="s">
        <v>2484</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0"/>
      <c r="AN90" s="1420"/>
      <c r="AO90" s="1420"/>
      <c r="AP90" s="1420"/>
      <c r="AQ90" s="1420"/>
      <c r="AR90" s="1420"/>
      <c r="AS90" s="1420"/>
      <c r="AT90" s="1420"/>
      <c r="AU90" s="1420"/>
      <c r="AV90" s="1420"/>
      <c r="AW90" s="1420"/>
      <c r="AX90" s="1420"/>
      <c r="AY90" s="1420"/>
      <c r="AZ90" s="278"/>
      <c r="CR90" s="670"/>
    </row>
    <row r="91" spans="1:96" s="39" customFormat="1" ht="12.95" customHeight="1">
      <c r="A91" s="138" t="s">
        <v>2485</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0"/>
      <c r="AN91" s="1420"/>
      <c r="AO91" s="1420"/>
      <c r="AP91" s="1420"/>
      <c r="AQ91" s="1420"/>
      <c r="AR91" s="1420"/>
      <c r="AS91" s="1420"/>
      <c r="AT91" s="1420"/>
      <c r="AU91" s="1420"/>
      <c r="AV91" s="1420"/>
      <c r="AW91" s="1420"/>
      <c r="AX91" s="1420"/>
      <c r="AY91" s="1420"/>
      <c r="AZ91" s="278"/>
      <c r="CR91" s="670"/>
    </row>
    <row r="92" spans="1:96" s="39" customFormat="1" ht="12.95" customHeight="1">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8"/>
      <c r="AN92" s="278"/>
      <c r="AO92" s="278"/>
      <c r="AP92" s="278"/>
      <c r="AQ92" s="278"/>
      <c r="AR92" s="278"/>
      <c r="AS92" s="278"/>
      <c r="AT92" s="278"/>
      <c r="AU92" s="278"/>
      <c r="AV92" s="278"/>
      <c r="AW92" s="278"/>
      <c r="AX92" s="278"/>
      <c r="AY92" s="278"/>
      <c r="AZ92" s="278"/>
      <c r="CR92" s="670"/>
    </row>
    <row r="93" spans="1:96" s="39" customFormat="1" ht="12.95" customHeight="1">
      <c r="A93" s="206" t="s">
        <v>1037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8"/>
      <c r="AN93" s="278"/>
      <c r="AO93" s="278"/>
      <c r="AP93" s="278"/>
      <c r="AQ93" s="278"/>
      <c r="AR93" s="278"/>
      <c r="AS93" s="278"/>
      <c r="AT93" s="278"/>
      <c r="AU93" s="278"/>
      <c r="AV93" s="278"/>
      <c r="AW93" s="278"/>
      <c r="AX93" s="278"/>
      <c r="AY93" s="278"/>
      <c r="AZ93" s="278"/>
      <c r="CR93" s="670"/>
    </row>
    <row r="94" spans="1:96" s="39" customFormat="1" ht="12.95" customHeight="1">
      <c r="A94" s="173" t="s">
        <v>1036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8"/>
      <c r="AN94" s="278"/>
      <c r="AO94" s="278"/>
      <c r="AP94" s="278"/>
      <c r="AQ94" s="278"/>
      <c r="AR94" s="278"/>
      <c r="AS94" s="278"/>
      <c r="AT94" s="278"/>
      <c r="AU94" s="278"/>
      <c r="AV94" s="278"/>
      <c r="AW94" s="278"/>
      <c r="AX94" s="278"/>
      <c r="AY94" s="278"/>
      <c r="AZ94" s="278"/>
      <c r="CR94" s="670"/>
    </row>
    <row r="95" spans="1:96" s="39" customFormat="1" ht="12.95" customHeight="1">
      <c r="A95" s="138" t="s">
        <v>1035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8"/>
      <c r="AN95" s="278"/>
      <c r="AO95" s="278"/>
      <c r="AP95" s="278"/>
      <c r="AQ95" s="278"/>
      <c r="AR95" s="278"/>
      <c r="AS95" s="278"/>
      <c r="AT95" s="278"/>
      <c r="AU95" s="278"/>
      <c r="AV95" s="278"/>
      <c r="AW95" s="278"/>
      <c r="AX95" s="278"/>
      <c r="AY95" s="278"/>
      <c r="AZ95" s="278"/>
      <c r="CR95" s="670"/>
    </row>
    <row r="96" spans="1:96" s="39" customFormat="1" ht="12.95" customHeight="1">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CR96" s="670"/>
    </row>
    <row r="97" spans="1:96" s="39" customFormat="1" ht="12.95" customHeight="1">
      <c r="A97" s="175" t="s">
        <v>778</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CR97" s="670"/>
    </row>
    <row r="98" spans="1:96" s="39" customFormat="1" ht="12.95" customHeight="1">
      <c r="A98" s="175" t="s">
        <v>920</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CR98" s="670"/>
    </row>
    <row r="99" spans="1:96" s="39" customFormat="1" ht="12.95" customHeight="1">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CR99" s="670"/>
    </row>
    <row r="100" spans="1:96" s="39" customFormat="1" ht="12.95" customHeight="1">
      <c r="A100" s="861" t="s">
        <v>2486</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CR100" s="670"/>
    </row>
    <row r="101" spans="1:96" s="39" customFormat="1" ht="12.95" customHeight="1">
      <c r="A101" s="39" t="s">
        <v>2487</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CR101" s="670"/>
    </row>
    <row r="102" spans="1:96" s="39" customFormat="1" ht="12.95" customHeight="1">
      <c r="A102" s="670" t="s">
        <v>1393</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CR102" s="670"/>
    </row>
    <row r="103" spans="1:96" ht="12.95" customHeight="1">
      <c r="A103" s="862" t="s">
        <v>1394</v>
      </c>
      <c r="B103" s="39"/>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row>
    <row r="104" spans="1:96" ht="12.95" customHeight="1">
      <c r="A104" s="1" t="s">
        <v>1395</v>
      </c>
      <c r="B104" s="39"/>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row>
    <row r="105" spans="1:96" ht="12.95" customHeight="1">
      <c r="A105" s="862" t="s">
        <v>1396</v>
      </c>
      <c r="B105" s="3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row>
    <row r="106" spans="1:96" ht="12.95" customHeight="1">
      <c r="A106" s="862" t="s">
        <v>1397</v>
      </c>
      <c r="B106" s="3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row>
    <row r="107" spans="1:96" ht="12.95" customHeight="1">
      <c r="A107" s="862" t="s">
        <v>1398</v>
      </c>
      <c r="B107" s="3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row>
    <row r="108" spans="1:96" ht="12.95" customHeight="1">
      <c r="A108" s="862" t="s">
        <v>1399</v>
      </c>
      <c r="B108" s="3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row>
    <row r="109" spans="1:96" ht="12.95" customHeight="1">
      <c r="B109" s="3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row>
    <row r="110" spans="1:96" ht="12.95" customHeight="1">
      <c r="A110" s="863" t="s">
        <v>1077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8"/>
      <c r="AN110" s="278"/>
      <c r="AO110" s="278"/>
      <c r="AP110" s="278"/>
      <c r="AQ110" s="278"/>
      <c r="AR110" s="278"/>
      <c r="AS110" s="278"/>
      <c r="AT110" s="278"/>
      <c r="AU110" s="278"/>
      <c r="AV110" s="278"/>
      <c r="AW110" s="278"/>
      <c r="AX110" s="278"/>
      <c r="AY110" s="278"/>
    </row>
    <row r="111" spans="1:96" s="39" customFormat="1" ht="12.95" customHeight="1">
      <c r="A111" s="447" t="s">
        <v>2488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8"/>
      <c r="AN111" s="278"/>
      <c r="AO111" s="278"/>
      <c r="AP111" s="278"/>
      <c r="AQ111" s="278"/>
      <c r="AR111" s="278"/>
      <c r="AS111" s="278"/>
      <c r="AT111" s="278"/>
      <c r="AU111" s="278"/>
      <c r="AV111" s="278"/>
      <c r="AW111" s="278"/>
      <c r="AX111" s="278"/>
      <c r="AY111" s="278"/>
      <c r="CR111" s="670"/>
    </row>
    <row r="112" spans="1:96" ht="12.95" customHeight="1">
      <c r="A112" s="446" t="s">
        <v>1079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8"/>
      <c r="AN112" s="278"/>
      <c r="AO112" s="278"/>
      <c r="AP112" s="278"/>
      <c r="AQ112" s="278"/>
      <c r="AR112" s="278"/>
      <c r="AS112" s="278"/>
      <c r="AT112" s="278"/>
      <c r="AU112" s="278"/>
      <c r="AV112" s="278"/>
      <c r="AW112" s="278"/>
      <c r="AX112" s="278"/>
      <c r="AY112" s="278"/>
    </row>
    <row r="113" spans="1:96" ht="12.95" customHeight="1">
      <c r="A113" s="446" t="s">
        <v>1078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8"/>
      <c r="AN113" s="278"/>
      <c r="AO113" s="278"/>
      <c r="AP113" s="278"/>
      <c r="AQ113" s="278"/>
      <c r="AR113" s="278"/>
      <c r="AS113" s="278"/>
      <c r="AT113" s="278"/>
      <c r="AU113" s="278"/>
      <c r="AV113" s="278"/>
      <c r="AW113" s="278"/>
      <c r="AX113" s="278"/>
      <c r="AY113" s="278"/>
    </row>
    <row r="114" spans="1:96" ht="12.95" customHeight="1">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8"/>
      <c r="AN114" s="278"/>
      <c r="AO114" s="278"/>
      <c r="AP114" s="278"/>
      <c r="AQ114" s="278"/>
      <c r="AR114" s="278"/>
      <c r="AS114" s="278"/>
      <c r="AT114" s="278"/>
      <c r="AU114" s="278"/>
      <c r="AV114" s="278"/>
      <c r="AW114" s="278"/>
      <c r="AX114" s="278"/>
      <c r="AY114" s="278"/>
    </row>
    <row r="115" spans="1:96" ht="12.95" customHeight="1">
      <c r="A115" s="175" t="s">
        <v>779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8"/>
      <c r="AN115" s="278"/>
      <c r="AO115" s="278"/>
      <c r="AP115" s="278"/>
      <c r="AQ115" s="278"/>
      <c r="AR115" s="278"/>
      <c r="AS115" s="278"/>
      <c r="AT115" s="278"/>
      <c r="AU115" s="278"/>
      <c r="AV115" s="278"/>
      <c r="AW115" s="278"/>
      <c r="AX115" s="278"/>
      <c r="AY115" s="278"/>
    </row>
    <row r="116" spans="1:96" ht="12.95" customHeight="1">
      <c r="A116" s="138" t="s">
        <v>2489</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8"/>
      <c r="AN116" s="278"/>
      <c r="AO116" s="278"/>
      <c r="AP116" s="278"/>
      <c r="AQ116" s="278"/>
      <c r="AR116" s="278"/>
      <c r="AS116" s="278"/>
      <c r="AT116" s="278"/>
      <c r="AU116" s="278"/>
      <c r="AV116" s="278"/>
      <c r="AW116" s="278"/>
      <c r="AX116" s="278"/>
      <c r="AY116" s="278"/>
    </row>
    <row r="117" spans="1:96" ht="12.95" customHeight="1">
      <c r="A117" s="138" t="s">
        <v>780</v>
      </c>
      <c r="B117" s="35"/>
      <c r="C117" s="35"/>
    </row>
    <row r="118" spans="1:96" ht="12.95" customHeight="1"/>
    <row r="119" spans="1:96" ht="12.95" customHeight="1">
      <c r="A119" s="138" t="s">
        <v>2490</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2.95" customHeight="1">
      <c r="A120" s="138" t="s">
        <v>781</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2.95" customHeight="1">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2.95" customHeight="1">
      <c r="A122" s="58"/>
      <c r="B122" s="58"/>
      <c r="C122" s="238" t="s">
        <v>181</v>
      </c>
      <c r="G122" s="2262">
        <v>26</v>
      </c>
      <c r="H122" s="2262"/>
      <c r="I122" s="238" t="s">
        <v>182</v>
      </c>
      <c r="L122" s="2262" t="s">
        <v>2791</v>
      </c>
      <c r="M122" s="2262"/>
      <c r="N122" s="2262"/>
      <c r="O122" s="2282" t="s">
        <v>2793</v>
      </c>
      <c r="P122" s="2282"/>
      <c r="Q122" s="2282"/>
      <c r="R122" s="2282"/>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2.95" customHeight="1">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70"/>
    </row>
    <row r="124" spans="1:96" ht="12.95" customHeight="1">
      <c r="A124" s="58"/>
      <c r="B124" s="58"/>
      <c r="C124" s="2163" t="s">
        <v>2792</v>
      </c>
      <c r="D124" s="2163"/>
      <c r="E124" s="2163"/>
      <c r="F124" s="2163"/>
      <c r="G124" s="2163"/>
      <c r="H124" s="2163"/>
      <c r="I124" s="2163"/>
      <c r="J124" s="2163"/>
      <c r="K124" s="2163"/>
      <c r="L124" s="322" t="s">
        <v>636</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2.95" customHeight="1">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2.95" customHeight="1">
      <c r="X126" s="238" t="s">
        <v>637</v>
      </c>
      <c r="Y126" s="2262"/>
      <c r="Z126" s="2262"/>
      <c r="AA126" s="2262"/>
      <c r="AB126" s="2262"/>
      <c r="AC126" s="2262"/>
      <c r="AD126" s="2262"/>
      <c r="AE126" s="2262"/>
      <c r="AF126" s="2262"/>
      <c r="AG126" s="2262"/>
      <c r="AH126" s="2262"/>
      <c r="AI126" s="2262"/>
      <c r="AJ126" s="2262"/>
      <c r="AK126" s="2262"/>
    </row>
    <row r="127" spans="1:96" ht="12.95" customHeight="1">
      <c r="A127" s="178"/>
      <c r="B127" s="178"/>
      <c r="R127" s="178"/>
      <c r="S127" s="178"/>
      <c r="T127" s="178"/>
      <c r="U127" s="178"/>
      <c r="V127" s="178"/>
      <c r="W127" s="178"/>
      <c r="X127" s="58"/>
      <c r="Y127" s="58"/>
      <c r="Z127" s="58" t="s">
        <v>638</v>
      </c>
      <c r="AA127" s="58"/>
      <c r="AB127" s="58"/>
      <c r="AC127" s="58"/>
      <c r="AD127" s="58"/>
      <c r="AE127" s="58"/>
      <c r="AF127" s="58"/>
      <c r="AG127" s="58"/>
      <c r="AH127" s="58"/>
      <c r="AI127" s="58"/>
      <c r="AJ127" s="58"/>
      <c r="AK127" s="58"/>
      <c r="AL127" s="178"/>
      <c r="AM127" s="236"/>
      <c r="AN127" s="236"/>
      <c r="AO127" s="236"/>
      <c r="AP127" s="236"/>
      <c r="AQ127" s="236"/>
      <c r="AR127" s="236"/>
      <c r="AS127" s="236"/>
      <c r="AT127" s="236"/>
      <c r="AU127" s="236"/>
      <c r="AV127" s="236"/>
      <c r="AW127" s="236"/>
      <c r="AX127" s="236"/>
      <c r="AY127" s="236"/>
    </row>
    <row r="128" spans="1:96" ht="12.95" customHeight="1">
      <c r="A128" s="686"/>
      <c r="B128" s="25"/>
      <c r="R128" s="25"/>
      <c r="S128" s="25"/>
      <c r="T128" s="25"/>
      <c r="U128" s="25"/>
      <c r="V128" s="25"/>
      <c r="W128" s="25"/>
      <c r="X128" s="58"/>
      <c r="AL128" s="686"/>
      <c r="AM128" s="1421"/>
      <c r="AN128" s="1421"/>
      <c r="AO128" s="1421"/>
      <c r="AP128" s="1421"/>
      <c r="AQ128" s="1421"/>
      <c r="AR128" s="1421"/>
      <c r="AS128" s="1421"/>
      <c r="AT128" s="1421"/>
      <c r="AU128" s="1421"/>
      <c r="AV128" s="1421"/>
      <c r="AW128" s="1421"/>
      <c r="AX128" s="1421"/>
      <c r="AY128" s="1421"/>
    </row>
    <row r="129" spans="1:96" ht="12.95" customHeight="1">
      <c r="A129" s="686"/>
      <c r="B129" s="150"/>
      <c r="R129" s="264"/>
      <c r="S129" s="264"/>
      <c r="T129" s="264"/>
      <c r="U129" s="264"/>
      <c r="V129" s="264"/>
      <c r="W129" s="264"/>
      <c r="X129" s="58"/>
      <c r="Y129" s="2262" t="s">
        <v>2788</v>
      </c>
      <c r="Z129" s="2262"/>
      <c r="AA129" s="2262"/>
      <c r="AB129" s="2262"/>
      <c r="AC129" s="2262"/>
      <c r="AD129" s="2262"/>
      <c r="AE129" s="2262"/>
      <c r="AF129" s="2262"/>
      <c r="AG129" s="2262"/>
      <c r="AH129" s="2262"/>
      <c r="AI129" s="2262"/>
      <c r="AJ129" s="2262"/>
      <c r="AK129" s="2262"/>
      <c r="AL129" s="686"/>
      <c r="AM129" s="1421"/>
      <c r="AN129" s="1421"/>
      <c r="AO129" s="1421"/>
      <c r="AP129" s="1421"/>
      <c r="AQ129" s="1421"/>
      <c r="AR129" s="1421"/>
      <c r="AS129" s="1421"/>
      <c r="AT129" s="1421"/>
      <c r="AU129" s="1421"/>
      <c r="AV129" s="1421"/>
      <c r="AW129" s="1421"/>
      <c r="AX129" s="1421"/>
      <c r="AY129" s="1421"/>
    </row>
    <row r="130" spans="1:96" ht="12.95" customHeight="1">
      <c r="A130" s="177"/>
      <c r="B130" s="147"/>
      <c r="C130" s="264"/>
      <c r="R130" s="264"/>
      <c r="S130" s="264"/>
      <c r="T130" s="264"/>
      <c r="U130" s="264"/>
      <c r="V130" s="264"/>
      <c r="W130" s="264"/>
      <c r="X130" s="58"/>
      <c r="Y130" s="58"/>
      <c r="Z130" s="58" t="s">
        <v>639</v>
      </c>
      <c r="AA130" s="58"/>
      <c r="AB130" s="58"/>
      <c r="AC130" s="58"/>
      <c r="AD130" s="58"/>
      <c r="AE130" s="58"/>
      <c r="AF130" s="58"/>
      <c r="AG130" s="58"/>
      <c r="AH130" s="58"/>
      <c r="AI130" s="58"/>
      <c r="AJ130" s="58"/>
      <c r="AK130" s="58"/>
      <c r="AL130" s="177"/>
      <c r="AM130" s="239"/>
      <c r="AN130" s="239"/>
      <c r="AO130" s="239"/>
      <c r="AP130" s="239"/>
      <c r="AQ130" s="239"/>
      <c r="AR130" s="239"/>
      <c r="AS130" s="239"/>
      <c r="AT130" s="239"/>
      <c r="AU130" s="239"/>
      <c r="AV130" s="239"/>
      <c r="AW130" s="239"/>
      <c r="AX130" s="239"/>
      <c r="AY130" s="239"/>
    </row>
    <row r="131" spans="1:96" ht="12.95" customHeight="1">
      <c r="A131" s="177"/>
      <c r="B131" s="25"/>
      <c r="C131" s="25"/>
      <c r="R131" s="25"/>
      <c r="S131" s="25"/>
      <c r="T131" s="25"/>
      <c r="U131" s="25"/>
      <c r="V131" s="25"/>
      <c r="W131" s="25"/>
      <c r="AL131" s="177"/>
      <c r="AM131" s="239"/>
      <c r="AN131" s="239"/>
      <c r="AO131" s="239"/>
      <c r="AP131" s="239"/>
      <c r="AQ131" s="239"/>
      <c r="AR131" s="239"/>
      <c r="AS131" s="239"/>
      <c r="AT131" s="239"/>
      <c r="AU131" s="239"/>
      <c r="AV131" s="239"/>
      <c r="AW131" s="239"/>
      <c r="AX131" s="239"/>
      <c r="AY131" s="239"/>
    </row>
    <row r="132" spans="1:96" ht="12.95" customHeight="1">
      <c r="A132" s="177"/>
      <c r="B132" s="177"/>
      <c r="C132" s="177"/>
      <c r="D132" s="177"/>
      <c r="E132" s="25"/>
      <c r="F132" s="878"/>
      <c r="G132" s="878"/>
      <c r="H132" s="878"/>
      <c r="I132" s="878"/>
      <c r="J132" s="878"/>
      <c r="K132" s="878"/>
      <c r="L132" s="878"/>
      <c r="M132" s="878"/>
      <c r="N132" s="177"/>
      <c r="O132" s="25"/>
      <c r="P132" s="177"/>
      <c r="Q132" s="177"/>
      <c r="R132" s="25"/>
      <c r="S132" s="25"/>
      <c r="T132" s="25"/>
      <c r="U132" s="177"/>
      <c r="V132" s="177"/>
      <c r="W132" s="177"/>
      <c r="X132" s="177"/>
      <c r="Y132" s="2262" t="s">
        <v>2789</v>
      </c>
      <c r="Z132" s="2262"/>
      <c r="AA132" s="2262"/>
      <c r="AB132" s="2262"/>
      <c r="AC132" s="2262"/>
      <c r="AD132" s="2262"/>
      <c r="AE132" s="2262"/>
      <c r="AF132" s="2262"/>
      <c r="AG132" s="2262"/>
      <c r="AH132" s="2262"/>
      <c r="AI132" s="2262"/>
      <c r="AJ132" s="2262"/>
      <c r="AK132" s="2262"/>
      <c r="AL132" s="177"/>
      <c r="AM132" s="239"/>
      <c r="AN132" s="239"/>
      <c r="AO132" s="239"/>
      <c r="AP132" s="239"/>
      <c r="AQ132" s="239"/>
      <c r="AR132" s="239"/>
      <c r="AS132" s="239"/>
      <c r="AT132" s="239"/>
      <c r="AU132" s="239"/>
      <c r="AV132" s="239"/>
      <c r="AW132" s="239"/>
      <c r="AX132" s="239"/>
      <c r="AY132" s="239"/>
    </row>
    <row r="133" spans="1:96" ht="12.9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640</v>
      </c>
      <c r="AA133" s="177"/>
      <c r="AB133" s="177"/>
      <c r="AC133" s="177"/>
      <c r="AD133" s="177"/>
      <c r="AE133" s="177"/>
      <c r="AF133" s="177"/>
      <c r="AG133" s="177"/>
      <c r="AH133" s="177"/>
      <c r="AI133" s="177"/>
      <c r="AJ133" s="177"/>
      <c r="AK133" s="177"/>
      <c r="AL133" s="177"/>
      <c r="AM133" s="239"/>
      <c r="AN133" s="239"/>
      <c r="AO133" s="239"/>
      <c r="AP133" s="239"/>
      <c r="AQ133" s="239"/>
      <c r="AR133" s="239"/>
      <c r="AS133" s="239"/>
      <c r="AT133" s="239"/>
      <c r="AU133" s="239"/>
      <c r="AV133" s="239"/>
      <c r="AW133" s="239"/>
      <c r="AX133" s="239"/>
      <c r="AY133" s="239"/>
    </row>
    <row r="134" spans="1:96" s="708" customFormat="1" ht="12.9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39"/>
      <c r="AN134" s="239"/>
      <c r="AO134" s="239"/>
      <c r="AP134" s="239"/>
      <c r="AQ134" s="239"/>
      <c r="AR134" s="239"/>
      <c r="AS134" s="239"/>
      <c r="AT134" s="239"/>
      <c r="AU134" s="239"/>
      <c r="AV134" s="239"/>
      <c r="AW134" s="239"/>
      <c r="AX134" s="239"/>
      <c r="AY134" s="239"/>
      <c r="CR134" s="25"/>
    </row>
    <row r="135" spans="1:96" s="708" customFormat="1" ht="12.9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39"/>
      <c r="AN135" s="239"/>
      <c r="AO135" s="239"/>
      <c r="AP135" s="239"/>
      <c r="AQ135" s="239"/>
      <c r="AR135" s="239"/>
      <c r="AS135" s="239"/>
      <c r="AT135" s="239"/>
      <c r="AU135" s="239"/>
      <c r="AV135" s="239"/>
      <c r="AW135" s="239"/>
      <c r="AX135" s="239"/>
      <c r="AY135" s="239"/>
      <c r="CR135" s="25"/>
    </row>
    <row r="136" spans="1:96" s="708" customFormat="1" ht="12.9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39"/>
      <c r="AN136" s="239"/>
      <c r="AO136" s="239"/>
      <c r="AP136" s="239"/>
      <c r="AQ136" s="239"/>
      <c r="AR136" s="239"/>
      <c r="AS136" s="239"/>
      <c r="AT136" s="239"/>
      <c r="AU136" s="239"/>
      <c r="AV136" s="239"/>
      <c r="AW136" s="239"/>
      <c r="AX136" s="239"/>
      <c r="AY136" s="239"/>
      <c r="CR136" s="25"/>
    </row>
    <row r="137" spans="1:96" s="708" customFormat="1" ht="12.9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39"/>
      <c r="AN137" s="239"/>
      <c r="AO137" s="239"/>
      <c r="AP137" s="239"/>
      <c r="AQ137" s="239"/>
      <c r="AR137" s="239"/>
      <c r="AS137" s="239"/>
      <c r="AT137" s="239"/>
      <c r="AU137" s="239"/>
      <c r="AV137" s="239"/>
      <c r="AW137" s="239"/>
      <c r="AX137" s="239"/>
      <c r="AY137" s="239"/>
      <c r="CR137" s="25"/>
    </row>
    <row r="138" spans="1:96" s="708" customFormat="1" ht="12.9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39"/>
      <c r="AN138" s="239"/>
      <c r="AO138" s="239"/>
      <c r="AP138" s="239"/>
      <c r="AQ138" s="239"/>
      <c r="AR138" s="239"/>
      <c r="AS138" s="239"/>
      <c r="AT138" s="239"/>
      <c r="AU138" s="239"/>
      <c r="AV138" s="239"/>
      <c r="AW138" s="239"/>
      <c r="AX138" s="239"/>
      <c r="AY138" s="239"/>
      <c r="CR138" s="25"/>
    </row>
    <row r="139" spans="1:96" s="708" customFormat="1" ht="12.95" customHeight="1">
      <c r="A139" s="177"/>
      <c r="B139" s="178"/>
      <c r="C139" s="178"/>
      <c r="D139" s="178"/>
      <c r="E139" s="178"/>
      <c r="F139" s="178"/>
      <c r="G139" s="178"/>
      <c r="H139" s="178"/>
      <c r="I139" s="178"/>
      <c r="J139" s="178"/>
      <c r="K139" s="178"/>
      <c r="L139" s="178"/>
      <c r="M139" s="178"/>
      <c r="N139" s="178"/>
      <c r="O139" s="178"/>
      <c r="P139" s="178"/>
      <c r="Q139" s="178"/>
      <c r="R139" s="178"/>
      <c r="S139" s="179"/>
      <c r="T139" s="868"/>
      <c r="U139" s="868"/>
      <c r="V139" s="868"/>
      <c r="W139" s="868"/>
      <c r="X139" s="868"/>
      <c r="Y139" s="868"/>
      <c r="Z139" s="868"/>
      <c r="AA139" s="868"/>
      <c r="AB139" s="868"/>
      <c r="AC139" s="868"/>
      <c r="AD139" s="868"/>
      <c r="AE139" s="868"/>
      <c r="AF139" s="868"/>
      <c r="AG139" s="868"/>
      <c r="AH139" s="868"/>
      <c r="AI139" s="868"/>
      <c r="AJ139" s="868"/>
      <c r="AK139" s="177"/>
      <c r="AL139" s="177"/>
      <c r="AM139" s="239"/>
      <c r="AN139" s="239"/>
      <c r="AO139" s="239"/>
      <c r="AP139" s="239"/>
      <c r="AQ139" s="239"/>
      <c r="AR139" s="239"/>
      <c r="AS139" s="239"/>
      <c r="AT139" s="239"/>
      <c r="AU139" s="239"/>
      <c r="AV139" s="239"/>
      <c r="AW139" s="239"/>
      <c r="AX139" s="239"/>
      <c r="AY139" s="239"/>
      <c r="CR139" s="25"/>
    </row>
    <row r="140" spans="1:96" s="708" customFormat="1" ht="12.95" customHeight="1">
      <c r="A140" s="177"/>
      <c r="B140" s="869"/>
      <c r="C140" s="868"/>
      <c r="D140" s="868"/>
      <c r="E140" s="868"/>
      <c r="F140" s="868"/>
      <c r="G140" s="868"/>
      <c r="H140" s="868"/>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177"/>
      <c r="AL140" s="177"/>
      <c r="AM140" s="239"/>
      <c r="AN140" s="239"/>
      <c r="AO140" s="239"/>
      <c r="AP140" s="239"/>
      <c r="AQ140" s="239"/>
      <c r="AR140" s="239"/>
      <c r="AS140" s="239"/>
      <c r="AT140" s="239"/>
      <c r="AU140" s="239"/>
      <c r="AV140" s="239"/>
      <c r="AW140" s="239"/>
      <c r="AX140" s="239"/>
      <c r="AY140" s="239"/>
      <c r="CR140" s="25"/>
    </row>
    <row r="141" spans="1:96" s="708" customFormat="1" ht="12.95" customHeight="1">
      <c r="A141" s="177"/>
      <c r="B141" s="869"/>
      <c r="C141" s="868"/>
      <c r="D141" s="868"/>
      <c r="E141" s="868"/>
      <c r="F141" s="868"/>
      <c r="G141" s="868"/>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177"/>
      <c r="AL141" s="177"/>
      <c r="AM141" s="239"/>
      <c r="AN141" s="239"/>
      <c r="AO141" s="239"/>
      <c r="AP141" s="239"/>
      <c r="AQ141" s="239"/>
      <c r="AR141" s="239"/>
      <c r="AS141" s="239"/>
      <c r="AT141" s="239"/>
      <c r="AU141" s="239"/>
      <c r="AV141" s="239"/>
      <c r="AW141" s="239"/>
      <c r="AX141" s="239"/>
      <c r="AY141" s="239"/>
      <c r="CR141" s="25"/>
    </row>
    <row r="142" spans="1:96" s="708" customFormat="1" ht="12.95" customHeight="1">
      <c r="A142" s="177"/>
      <c r="B142" s="869"/>
      <c r="C142" s="870"/>
      <c r="D142" s="870"/>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177"/>
      <c r="AL142" s="177"/>
      <c r="AM142" s="239"/>
      <c r="AN142" s="239"/>
      <c r="AO142" s="239"/>
      <c r="AP142" s="239"/>
      <c r="AQ142" s="239"/>
      <c r="AR142" s="239"/>
      <c r="AS142" s="239"/>
      <c r="AT142" s="239"/>
      <c r="AU142" s="239"/>
      <c r="AV142" s="239"/>
      <c r="AW142" s="239"/>
      <c r="AX142" s="239"/>
      <c r="AY142" s="239"/>
      <c r="CR142" s="25"/>
    </row>
    <row r="143" spans="1:96" s="708" customFormat="1" ht="12.95" customHeight="1">
      <c r="A143" s="177"/>
      <c r="B143" s="25"/>
      <c r="C143" s="25"/>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177"/>
      <c r="AL143" s="177"/>
      <c r="AM143" s="239"/>
      <c r="AN143" s="239"/>
      <c r="AO143" s="239"/>
      <c r="AP143" s="239"/>
      <c r="AQ143" s="239"/>
      <c r="AR143" s="239"/>
      <c r="AS143" s="239"/>
      <c r="AT143" s="239"/>
      <c r="AU143" s="239"/>
      <c r="AV143" s="239"/>
      <c r="AW143" s="239"/>
      <c r="AX143" s="239"/>
      <c r="AY143" s="239"/>
      <c r="CR143" s="25"/>
    </row>
    <row r="144" spans="1:96" s="708" customFormat="1" ht="12.95" customHeight="1">
      <c r="A144" s="177"/>
      <c r="B144" s="871"/>
      <c r="C144" s="870"/>
      <c r="D144" s="870"/>
      <c r="E144" s="870"/>
      <c r="F144" s="870"/>
      <c r="G144" s="870"/>
      <c r="H144" s="870"/>
      <c r="I144" s="870"/>
      <c r="J144" s="87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0"/>
      <c r="AJ144" s="870"/>
      <c r="AK144" s="177"/>
      <c r="AL144" s="177"/>
      <c r="AM144" s="239"/>
      <c r="AN144" s="239"/>
      <c r="AO144" s="239"/>
      <c r="AP144" s="239"/>
      <c r="AQ144" s="239"/>
      <c r="AR144" s="239"/>
      <c r="AS144" s="239"/>
      <c r="AT144" s="239"/>
      <c r="AU144" s="239"/>
      <c r="AV144" s="239"/>
      <c r="AW144" s="239"/>
      <c r="AX144" s="239"/>
      <c r="AY144" s="239"/>
      <c r="CR144" s="25"/>
    </row>
    <row r="145" spans="1:96" s="708" customFormat="1" ht="12.95" customHeight="1">
      <c r="A145" s="177"/>
      <c r="B145" s="178"/>
      <c r="C145" s="870"/>
      <c r="D145" s="870"/>
      <c r="E145" s="870"/>
      <c r="F145" s="870"/>
      <c r="G145" s="870"/>
      <c r="H145" s="870"/>
      <c r="I145" s="870"/>
      <c r="J145" s="87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0"/>
      <c r="AJ145" s="870"/>
      <c r="AK145" s="177"/>
      <c r="AL145" s="177"/>
      <c r="AM145" s="239"/>
      <c r="AN145" s="239"/>
      <c r="AO145" s="239"/>
      <c r="AP145" s="239"/>
      <c r="AQ145" s="239"/>
      <c r="AR145" s="239"/>
      <c r="AS145" s="239"/>
      <c r="AT145" s="239"/>
      <c r="AU145" s="239"/>
      <c r="AV145" s="239"/>
      <c r="AW145" s="239"/>
      <c r="AX145" s="239"/>
      <c r="AY145" s="239"/>
      <c r="CR145" s="25"/>
    </row>
    <row r="146" spans="1:96" s="708" customFormat="1" ht="12.95" customHeight="1">
      <c r="A146" s="177"/>
      <c r="B146" s="25"/>
      <c r="C146" s="25"/>
      <c r="D146" s="870"/>
      <c r="E146" s="870"/>
      <c r="F146" s="870"/>
      <c r="G146" s="870"/>
      <c r="H146" s="870"/>
      <c r="I146" s="870"/>
      <c r="J146" s="87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0"/>
      <c r="AJ146" s="870"/>
      <c r="AK146" s="177"/>
      <c r="AL146" s="177"/>
      <c r="AM146" s="239"/>
      <c r="AN146" s="239"/>
      <c r="AO146" s="239"/>
      <c r="AP146" s="239"/>
      <c r="AQ146" s="239"/>
      <c r="AR146" s="239"/>
      <c r="AS146" s="239"/>
      <c r="AT146" s="239"/>
      <c r="AU146" s="239"/>
      <c r="AV146" s="239"/>
      <c r="AW146" s="239"/>
      <c r="AX146" s="239"/>
      <c r="AY146" s="239"/>
      <c r="CR146" s="25"/>
    </row>
    <row r="147" spans="1:96" s="708" customFormat="1" ht="12.95" customHeight="1">
      <c r="A147" s="177"/>
      <c r="B147" s="87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39"/>
      <c r="AN147" s="239"/>
      <c r="AO147" s="239"/>
      <c r="AP147" s="239"/>
      <c r="AQ147" s="239"/>
      <c r="AR147" s="239"/>
      <c r="AS147" s="239"/>
      <c r="AT147" s="239"/>
      <c r="AU147" s="239"/>
      <c r="AV147" s="239"/>
      <c r="AW147" s="239"/>
      <c r="AX147" s="239"/>
      <c r="AY147" s="239"/>
      <c r="CR147" s="25"/>
    </row>
    <row r="148" spans="1:96" s="708" customFormat="1" ht="12.9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39"/>
      <c r="AN148" s="239"/>
      <c r="AO148" s="239"/>
      <c r="AP148" s="239"/>
      <c r="AQ148" s="239"/>
      <c r="AR148" s="239"/>
      <c r="AS148" s="239"/>
      <c r="AT148" s="239"/>
      <c r="AU148" s="239"/>
      <c r="AV148" s="239"/>
      <c r="AW148" s="239"/>
      <c r="AX148" s="239"/>
      <c r="AY148" s="239"/>
      <c r="CR148" s="25"/>
    </row>
    <row r="149" spans="1:96" s="708" customFormat="1" ht="12.9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39"/>
      <c r="AN149" s="239"/>
      <c r="AO149" s="239"/>
      <c r="AP149" s="239"/>
      <c r="AQ149" s="239"/>
      <c r="AR149" s="239"/>
      <c r="AS149" s="239"/>
      <c r="AT149" s="239"/>
      <c r="AU149" s="239"/>
      <c r="AV149" s="239"/>
      <c r="AW149" s="239"/>
      <c r="AX149" s="239"/>
      <c r="AY149" s="239"/>
      <c r="CR149" s="25"/>
    </row>
    <row r="150" spans="1:96" s="708" customFormat="1" ht="12.95" customHeight="1">
      <c r="A150" s="177"/>
      <c r="B150" s="177"/>
      <c r="C150" s="25"/>
      <c r="D150" s="177"/>
      <c r="E150" s="177"/>
      <c r="F150" s="2276"/>
      <c r="G150" s="2276"/>
      <c r="H150" s="2276"/>
      <c r="I150" s="2276"/>
      <c r="J150" s="2276"/>
      <c r="K150" s="2276"/>
      <c r="L150" s="2276"/>
      <c r="M150" s="2276"/>
      <c r="N150" s="2276"/>
      <c r="O150" s="2276"/>
      <c r="P150" s="2276"/>
      <c r="Q150" s="2276"/>
      <c r="R150" s="2276"/>
      <c r="S150" s="2276"/>
      <c r="T150" s="2276"/>
      <c r="U150" s="177"/>
      <c r="V150" s="177"/>
      <c r="W150" s="177"/>
      <c r="X150" s="177"/>
      <c r="Y150" s="177"/>
      <c r="Z150" s="177"/>
      <c r="AA150" s="177"/>
      <c r="AB150" s="177"/>
      <c r="AC150" s="177"/>
      <c r="AD150" s="177"/>
      <c r="AE150" s="177"/>
      <c r="AF150" s="177"/>
      <c r="AG150" s="177"/>
      <c r="AH150" s="177"/>
      <c r="AI150" s="177"/>
      <c r="AJ150" s="177"/>
      <c r="AK150" s="177"/>
      <c r="AL150" s="177"/>
      <c r="AM150" s="239"/>
      <c r="AN150" s="239"/>
      <c r="AO150" s="239"/>
      <c r="AP150" s="239"/>
      <c r="AQ150" s="239"/>
      <c r="AR150" s="239"/>
      <c r="AS150" s="239"/>
      <c r="AT150" s="239"/>
      <c r="AU150" s="239"/>
      <c r="AV150" s="239"/>
      <c r="AW150" s="239"/>
      <c r="AX150" s="239"/>
      <c r="AY150" s="239"/>
      <c r="CR150" s="25"/>
    </row>
    <row r="151" spans="1:96" ht="12.9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39"/>
      <c r="AN151" s="239"/>
      <c r="AO151" s="239"/>
      <c r="AP151" s="239"/>
      <c r="AQ151" s="239"/>
      <c r="AR151" s="239"/>
      <c r="AS151" s="239"/>
      <c r="AT151" s="239"/>
      <c r="AU151" s="239"/>
      <c r="AV151" s="239"/>
      <c r="AW151" s="239"/>
      <c r="AX151" s="239"/>
      <c r="AY151" s="239"/>
    </row>
    <row r="152" spans="1:96" ht="12.95" customHeight="1">
      <c r="K152" s="3"/>
      <c r="L152" s="3"/>
      <c r="M152" s="3"/>
      <c r="N152" s="3"/>
      <c r="O152" s="3"/>
      <c r="P152" s="3"/>
      <c r="Q152" s="3"/>
      <c r="R152" s="3"/>
      <c r="S152" s="3"/>
      <c r="T152" s="3"/>
      <c r="U152" s="3"/>
      <c r="V152" s="3"/>
      <c r="W152" s="3"/>
      <c r="X152" s="3"/>
      <c r="Y152" s="3"/>
      <c r="Z152" s="3"/>
      <c r="AA152" s="3"/>
      <c r="AB152" s="3"/>
    </row>
    <row r="153" spans="1:96" ht="12.95" customHeight="1">
      <c r="D153" s="32" t="s">
        <v>654</v>
      </c>
      <c r="F153" s="32"/>
      <c r="G153" s="32"/>
      <c r="H153" s="32"/>
      <c r="I153" s="32"/>
      <c r="J153" s="32"/>
      <c r="K153" s="32"/>
      <c r="L153" s="32"/>
      <c r="M153" s="32"/>
      <c r="N153" s="32"/>
      <c r="O153" s="2269" t="s">
        <v>2615</v>
      </c>
      <c r="P153" s="2162"/>
      <c r="Q153" s="2162"/>
      <c r="R153" s="2162"/>
      <c r="S153" s="2162"/>
      <c r="T153" s="2162"/>
      <c r="U153" s="2162"/>
      <c r="V153" s="2162"/>
      <c r="W153" s="2162"/>
      <c r="X153" s="2162"/>
      <c r="Y153" s="2162"/>
      <c r="Z153" s="2162"/>
      <c r="AA153" s="2162"/>
      <c r="AB153" s="2162"/>
      <c r="AC153" s="2162"/>
      <c r="AD153" s="2162"/>
      <c r="AE153" s="2162"/>
      <c r="AF153" s="2162"/>
      <c r="AG153" s="2162"/>
      <c r="AH153" s="2162"/>
    </row>
    <row r="154" spans="1:96" ht="12.95" customHeight="1">
      <c r="D154" s="461" t="s">
        <v>442</v>
      </c>
      <c r="F154" s="32"/>
      <c r="G154" s="32"/>
      <c r="H154" s="32"/>
      <c r="I154" s="32"/>
      <c r="J154" s="32"/>
      <c r="K154" s="32"/>
      <c r="L154" s="32"/>
      <c r="M154" s="32"/>
      <c r="N154" s="32"/>
      <c r="O154" s="2279" t="s">
        <v>2616</v>
      </c>
      <c r="P154" s="2167"/>
      <c r="Q154" s="2167"/>
      <c r="R154" s="2167"/>
      <c r="S154" s="2167"/>
      <c r="T154" s="2167"/>
      <c r="U154" s="2167"/>
      <c r="V154" s="2167"/>
      <c r="W154" s="2167"/>
      <c r="X154" s="2167"/>
      <c r="Y154" s="2167"/>
      <c r="Z154" s="2167"/>
      <c r="AA154" s="2167"/>
      <c r="AB154" s="2167"/>
      <c r="AC154" s="2167"/>
      <c r="AD154" s="2167"/>
      <c r="AE154" s="2167"/>
      <c r="AF154" s="2167"/>
      <c r="AG154" s="2167"/>
      <c r="AH154" s="2167"/>
      <c r="AZ154" s="25"/>
    </row>
    <row r="155" spans="1:96" ht="12.95" customHeight="1">
      <c r="D155" s="13" t="s">
        <v>444</v>
      </c>
      <c r="F155" s="13"/>
      <c r="G155" s="13"/>
      <c r="H155" s="13"/>
      <c r="I155" s="13"/>
      <c r="J155" s="13"/>
      <c r="K155" s="13"/>
      <c r="L155" s="13"/>
      <c r="M155" s="13"/>
      <c r="N155" s="13"/>
      <c r="O155" s="2278" t="s">
        <v>443</v>
      </c>
      <c r="P155" s="2278"/>
      <c r="Q155" s="2278"/>
      <c r="R155" s="2278"/>
      <c r="S155" s="2278"/>
      <c r="T155" s="2278"/>
      <c r="U155" s="2278"/>
      <c r="V155" s="2278"/>
      <c r="W155" s="2278"/>
      <c r="X155" s="2278"/>
      <c r="Y155" s="2278"/>
      <c r="Z155" s="2278"/>
      <c r="AA155" s="2278"/>
      <c r="AB155" s="2278"/>
      <c r="AC155" s="2278"/>
      <c r="AD155" s="2278"/>
      <c r="AE155" s="2278"/>
      <c r="AF155" s="2278"/>
      <c r="AG155" s="2278"/>
      <c r="AH155" s="2278"/>
      <c r="AZ155" s="25"/>
    </row>
    <row r="156" spans="1:96" ht="12.95" customHeight="1">
      <c r="D156" s="32" t="s">
        <v>314</v>
      </c>
      <c r="F156" s="32"/>
      <c r="G156" s="32"/>
      <c r="H156" s="32"/>
      <c r="I156" s="32"/>
      <c r="J156" s="32"/>
      <c r="K156" s="32"/>
      <c r="L156" s="32"/>
      <c r="M156" s="32"/>
      <c r="N156" s="32"/>
      <c r="O156" s="2113" t="s">
        <v>2617</v>
      </c>
      <c r="P156" s="2113"/>
      <c r="Q156" s="2113"/>
      <c r="R156" s="2113"/>
      <c r="S156" s="2113"/>
      <c r="T156" s="2113"/>
      <c r="U156" s="2113"/>
      <c r="V156" s="2113"/>
      <c r="W156" s="2113"/>
      <c r="X156" s="2113"/>
      <c r="Y156" s="2113"/>
      <c r="Z156" s="2113"/>
      <c r="AA156" s="2113"/>
      <c r="AB156" s="2113"/>
      <c r="AC156" s="2113"/>
      <c r="AD156" s="2113"/>
      <c r="AE156" s="2113"/>
      <c r="AF156" s="2113"/>
      <c r="AG156" s="2113"/>
      <c r="AH156" s="2113"/>
      <c r="BT156" s="12" t="s">
        <v>308</v>
      </c>
    </row>
    <row r="157" spans="1:96" ht="12.95" customHeight="1">
      <c r="D157" s="32" t="s">
        <v>315</v>
      </c>
      <c r="F157" s="32"/>
      <c r="G157" s="32"/>
      <c r="H157" s="32"/>
      <c r="I157" s="32"/>
      <c r="J157" s="32"/>
      <c r="K157" s="32"/>
      <c r="L157" s="32"/>
      <c r="M157" s="32"/>
      <c r="N157" s="32"/>
      <c r="O157" s="2269" t="s">
        <v>2618</v>
      </c>
      <c r="P157" s="2162"/>
      <c r="Q157" s="2162"/>
      <c r="R157" s="2162"/>
      <c r="S157" s="2162"/>
      <c r="T157" s="2162"/>
      <c r="U157" s="2162"/>
      <c r="V157" s="2162"/>
      <c r="W157" s="2162"/>
      <c r="X157" s="2162"/>
      <c r="Y157" s="14"/>
      <c r="Z157" s="14"/>
      <c r="AA157" s="14"/>
      <c r="AB157" s="14"/>
      <c r="AC157" s="14"/>
      <c r="AD157" s="14"/>
      <c r="AE157" s="14"/>
      <c r="AF157" s="14"/>
      <c r="BN157" s="36" t="s">
        <v>645</v>
      </c>
      <c r="BT157" s="12" t="s">
        <v>485</v>
      </c>
    </row>
    <row r="158" spans="1:96" ht="12.95" customHeight="1">
      <c r="D158" s="32" t="s">
        <v>316</v>
      </c>
      <c r="F158" s="32"/>
      <c r="G158" s="32"/>
      <c r="H158" s="32"/>
      <c r="I158" s="32"/>
      <c r="J158" s="32"/>
      <c r="K158" s="32"/>
      <c r="L158" s="32"/>
      <c r="M158" s="32"/>
      <c r="N158" s="32"/>
      <c r="O158" s="2280">
        <v>92262</v>
      </c>
      <c r="P158" s="2280"/>
      <c r="Q158" s="2280"/>
      <c r="R158" s="2280"/>
      <c r="S158" s="15"/>
      <c r="T158" s="15"/>
      <c r="U158" s="15"/>
      <c r="V158" s="15"/>
      <c r="W158" s="15"/>
      <c r="X158" s="15"/>
      <c r="Y158" s="15"/>
      <c r="Z158" s="15"/>
      <c r="AA158" s="15"/>
      <c r="AB158" s="15"/>
      <c r="AC158" s="15"/>
      <c r="AD158" s="15"/>
      <c r="AE158" s="15"/>
      <c r="AF158" s="15"/>
      <c r="BN158" s="36" t="s">
        <v>646</v>
      </c>
      <c r="BT158" s="12" t="s">
        <v>486</v>
      </c>
    </row>
    <row r="159" spans="1:96" ht="12.95" customHeight="1">
      <c r="D159" s="32" t="s">
        <v>317</v>
      </c>
      <c r="F159" s="32"/>
      <c r="G159" s="32"/>
      <c r="H159" s="32"/>
      <c r="I159" s="32"/>
      <c r="J159" s="32"/>
      <c r="K159" s="32"/>
      <c r="L159" s="32"/>
      <c r="M159" s="32"/>
      <c r="N159" s="32"/>
      <c r="O159" s="2164" t="s">
        <v>2619</v>
      </c>
      <c r="P159" s="2164"/>
      <c r="Q159" s="2164"/>
      <c r="R159" s="2164"/>
      <c r="S159" s="2164"/>
      <c r="T159" s="2164"/>
      <c r="V159" s="146" t="s">
        <v>272</v>
      </c>
      <c r="W159" s="2281"/>
      <c r="X159" s="2281"/>
      <c r="Y159" s="16"/>
      <c r="Z159" s="16"/>
      <c r="AA159" s="16"/>
      <c r="AB159" s="16"/>
      <c r="AC159" s="16"/>
      <c r="AD159" s="16"/>
      <c r="AE159" s="16"/>
      <c r="AF159" s="16"/>
      <c r="BN159" s="36" t="s">
        <v>340</v>
      </c>
      <c r="BT159" s="12" t="s">
        <v>487</v>
      </c>
    </row>
    <row r="160" spans="1:96" ht="12.95" customHeight="1">
      <c r="D160" s="32" t="s">
        <v>318</v>
      </c>
      <c r="F160" s="32"/>
      <c r="G160" s="32"/>
      <c r="H160" s="32"/>
      <c r="I160" s="32"/>
      <c r="J160" s="32"/>
      <c r="K160" s="32"/>
      <c r="L160" s="32"/>
      <c r="M160" s="32"/>
      <c r="N160" s="32"/>
      <c r="O160" s="2164" t="s">
        <v>2620</v>
      </c>
      <c r="P160" s="2164"/>
      <c r="Q160" s="2164"/>
      <c r="R160" s="2164"/>
      <c r="S160" s="2164"/>
      <c r="T160" s="2164"/>
      <c r="U160" s="16"/>
      <c r="V160" s="16"/>
      <c r="W160" s="16"/>
      <c r="X160" s="16"/>
      <c r="Y160" s="16"/>
      <c r="Z160" s="16"/>
      <c r="AA160" s="16"/>
      <c r="AB160" s="16"/>
      <c r="AC160" s="16"/>
      <c r="AD160" s="16"/>
      <c r="AE160" s="16"/>
      <c r="AF160" s="16"/>
      <c r="BN160" s="36" t="s">
        <v>669</v>
      </c>
      <c r="BT160" s="12" t="s">
        <v>488</v>
      </c>
    </row>
    <row r="161" spans="1:72" ht="12.95" customHeight="1">
      <c r="D161" s="32" t="s">
        <v>319</v>
      </c>
      <c r="F161" s="32"/>
      <c r="G161" s="32"/>
      <c r="H161" s="32"/>
      <c r="I161" s="32"/>
      <c r="J161" s="32"/>
      <c r="K161" s="32"/>
      <c r="L161" s="32"/>
      <c r="M161" s="32"/>
      <c r="N161" s="32"/>
      <c r="O161" s="2165" t="s">
        <v>2621</v>
      </c>
      <c r="P161" s="2165"/>
      <c r="Q161" s="2165"/>
      <c r="R161" s="2165"/>
      <c r="S161" s="2165"/>
      <c r="T161" s="2165"/>
      <c r="U161" s="2165"/>
      <c r="V161" s="2165"/>
      <c r="W161" s="2165"/>
      <c r="X161" s="2165"/>
      <c r="Y161" s="2165"/>
      <c r="Z161" s="2165"/>
      <c r="AA161" s="2165"/>
      <c r="AB161" s="2165"/>
      <c r="AC161" s="2165"/>
      <c r="AD161" s="2165"/>
      <c r="AE161" s="2165"/>
      <c r="AF161" s="2165"/>
      <c r="AG161" s="2165"/>
      <c r="AH161" s="2165"/>
      <c r="BJ161" s="12" t="s">
        <v>678</v>
      </c>
      <c r="BN161" s="36" t="s">
        <v>670</v>
      </c>
      <c r="BT161" s="12" t="s">
        <v>489</v>
      </c>
    </row>
    <row r="162" spans="1:72" ht="12.95" customHeight="1">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554</v>
      </c>
      <c r="BN162" s="36" t="s">
        <v>671</v>
      </c>
      <c r="BT162" s="12" t="s">
        <v>490</v>
      </c>
    </row>
    <row r="163" spans="1:72" ht="12.95" customHeight="1">
      <c r="C163" s="141" t="s">
        <v>83</v>
      </c>
      <c r="D163" s="880" t="s">
        <v>2513</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672</v>
      </c>
      <c r="BT163" s="12" t="s">
        <v>491</v>
      </c>
    </row>
    <row r="164" spans="1:72" ht="12.95" customHeight="1">
      <c r="C164" s="141"/>
      <c r="D164" s="2166" t="s">
        <v>1386</v>
      </c>
      <c r="E164" s="2166"/>
      <c r="F164" s="2166"/>
      <c r="G164" s="2166"/>
      <c r="H164" s="2166"/>
      <c r="I164" s="2166"/>
      <c r="J164" s="2166"/>
      <c r="K164" s="2166"/>
      <c r="L164" s="2166"/>
      <c r="M164" s="2166"/>
      <c r="N164" s="2166"/>
      <c r="O164" s="2166"/>
      <c r="P164" s="2166"/>
      <c r="Q164" s="2166"/>
      <c r="R164" s="2166"/>
      <c r="S164" s="2166"/>
      <c r="T164" s="2166"/>
      <c r="U164" s="2166"/>
      <c r="V164" s="2166"/>
      <c r="W164" s="2166"/>
      <c r="X164" s="2166"/>
      <c r="Y164" s="2166"/>
      <c r="Z164" s="2166"/>
      <c r="AA164" s="2166"/>
      <c r="AB164" s="2166"/>
      <c r="AC164" s="2166"/>
      <c r="AD164" s="2166"/>
      <c r="AE164" s="2166"/>
      <c r="AF164" s="2166"/>
      <c r="AG164" s="2166"/>
      <c r="AH164" s="2166"/>
      <c r="AI164" s="39"/>
      <c r="AJ164" s="39"/>
      <c r="AK164" s="39"/>
      <c r="AL164" s="39"/>
      <c r="BN164" s="36" t="s">
        <v>673</v>
      </c>
      <c r="BT164" s="12" t="s">
        <v>492</v>
      </c>
    </row>
    <row r="165" spans="1:72" ht="12.95" customHeight="1">
      <c r="C165" s="141"/>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674</v>
      </c>
      <c r="BT165" s="12" t="s">
        <v>493</v>
      </c>
    </row>
    <row r="166" spans="1:72" ht="12.95" customHeight="1">
      <c r="B166" s="50"/>
      <c r="C166" s="141"/>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676</v>
      </c>
      <c r="BT166" s="12" t="s">
        <v>494</v>
      </c>
    </row>
    <row r="167" spans="1:72" ht="12.95" customHeight="1">
      <c r="B167" s="50"/>
      <c r="C167" s="141"/>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679</v>
      </c>
      <c r="BT167" s="12" t="s">
        <v>495</v>
      </c>
    </row>
    <row r="168" spans="1:72" ht="12.95" customHeight="1">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680</v>
      </c>
      <c r="BT168" s="12" t="s">
        <v>496</v>
      </c>
    </row>
    <row r="169" spans="1:72" ht="12.95" customHeight="1">
      <c r="A169" s="2176" t="s">
        <v>548</v>
      </c>
      <c r="B169" s="2176"/>
      <c r="C169" s="2176"/>
      <c r="D169" s="2176"/>
      <c r="E169" s="2176"/>
      <c r="F169" s="2176"/>
      <c r="G169" s="2176"/>
      <c r="H169" s="2176"/>
      <c r="I169" s="2176"/>
      <c r="J169" s="2176"/>
      <c r="K169" s="2176"/>
      <c r="L169" s="2176"/>
      <c r="M169" s="2176"/>
      <c r="N169" s="2176"/>
      <c r="O169" s="2176"/>
      <c r="P169" s="2176"/>
      <c r="Q169" s="2176"/>
      <c r="R169" s="2176"/>
      <c r="S169" s="2176"/>
      <c r="T169" s="2176"/>
      <c r="U169" s="2176"/>
      <c r="V169" s="2176"/>
      <c r="W169" s="2176"/>
      <c r="X169" s="2176"/>
      <c r="Y169" s="2176"/>
      <c r="Z169" s="2176"/>
      <c r="AA169" s="2176"/>
      <c r="AB169" s="2176"/>
      <c r="AC169" s="2176"/>
      <c r="AD169" s="2176"/>
      <c r="AE169" s="2176"/>
      <c r="AF169" s="2176"/>
      <c r="AG169" s="2176"/>
      <c r="AH169" s="2176"/>
      <c r="AI169" s="2176"/>
      <c r="AJ169" s="2176"/>
      <c r="AK169" s="2176"/>
      <c r="AL169" s="2176"/>
      <c r="AM169" s="144"/>
      <c r="AN169" s="144"/>
      <c r="AO169" s="144"/>
      <c r="AP169" s="144"/>
      <c r="AQ169" s="144"/>
      <c r="AR169" s="144"/>
      <c r="AS169" s="144"/>
      <c r="AT169" s="144"/>
      <c r="AU169" s="144"/>
      <c r="AV169" s="144"/>
      <c r="AW169" s="144"/>
      <c r="AX169" s="144"/>
      <c r="AY169" s="144"/>
      <c r="BN169" s="36" t="s">
        <v>682</v>
      </c>
      <c r="BT169" s="12" t="s">
        <v>497</v>
      </c>
    </row>
    <row r="170" spans="1:72" ht="12.95" customHeight="1" thickBot="1">
      <c r="A170" s="2177"/>
      <c r="B170" s="2177"/>
      <c r="C170" s="2177"/>
      <c r="D170" s="2177"/>
      <c r="E170" s="2177"/>
      <c r="F170" s="2177"/>
      <c r="G170" s="2177"/>
      <c r="H170" s="2177"/>
      <c r="I170" s="2177"/>
      <c r="J170" s="2177"/>
      <c r="K170" s="2177"/>
      <c r="L170" s="2177"/>
      <c r="M170" s="2177"/>
      <c r="N170" s="2177"/>
      <c r="O170" s="2177"/>
      <c r="P170" s="2177"/>
      <c r="Q170" s="2177"/>
      <c r="R170" s="2177"/>
      <c r="S170" s="2177"/>
      <c r="T170" s="2177"/>
      <c r="U170" s="2177"/>
      <c r="V170" s="2177"/>
      <c r="W170" s="2177"/>
      <c r="X170" s="2177"/>
      <c r="Y170" s="2177"/>
      <c r="Z170" s="2177"/>
      <c r="AA170" s="2177"/>
      <c r="AB170" s="2177"/>
      <c r="AC170" s="2177"/>
      <c r="AD170" s="2177"/>
      <c r="AE170" s="2177"/>
      <c r="AF170" s="2177"/>
      <c r="AG170" s="2177"/>
      <c r="AH170" s="2177"/>
      <c r="AI170" s="2177"/>
      <c r="AJ170" s="2177"/>
      <c r="AK170" s="2177"/>
      <c r="AL170" s="2177"/>
      <c r="AM170" s="144"/>
      <c r="AN170" s="144"/>
      <c r="AO170" s="144"/>
      <c r="AP170" s="144"/>
      <c r="AQ170" s="144"/>
      <c r="AR170" s="144"/>
      <c r="AS170" s="144"/>
      <c r="AT170" s="144"/>
      <c r="AU170" s="144"/>
      <c r="AV170" s="144"/>
      <c r="AW170" s="144"/>
      <c r="AX170" s="144"/>
      <c r="AY170" s="144"/>
      <c r="BN170" s="36" t="s">
        <v>683</v>
      </c>
      <c r="BT170" s="12" t="s">
        <v>498</v>
      </c>
    </row>
    <row r="171" spans="1:72" ht="12.95" customHeight="1" thickTop="1">
      <c r="A171" s="25"/>
      <c r="B171" s="25"/>
      <c r="C171" s="25"/>
      <c r="D171" s="25"/>
      <c r="E171" s="25"/>
      <c r="F171" s="25"/>
      <c r="G171" s="3"/>
      <c r="H171" s="25"/>
      <c r="AK171" s="3"/>
      <c r="AL171" s="3"/>
      <c r="AM171" s="670"/>
      <c r="AN171" s="670"/>
      <c r="AO171" s="670"/>
      <c r="AP171" s="670"/>
      <c r="AQ171" s="670"/>
      <c r="AR171" s="670"/>
      <c r="AS171" s="670"/>
      <c r="AT171" s="670"/>
      <c r="AU171" s="670"/>
      <c r="AV171" s="670"/>
      <c r="AW171" s="670"/>
      <c r="AX171" s="670"/>
      <c r="AY171" s="670"/>
      <c r="BN171" s="36" t="s">
        <v>212</v>
      </c>
      <c r="BT171" s="12" t="s">
        <v>499</v>
      </c>
    </row>
    <row r="172" spans="1:72" ht="12.95" customHeight="1">
      <c r="A172" s="37" t="s">
        <v>320</v>
      </c>
      <c r="C172" s="37" t="s">
        <v>321</v>
      </c>
      <c r="D172" s="3"/>
      <c r="E172" s="3"/>
      <c r="F172" s="3"/>
      <c r="G172" s="3"/>
      <c r="H172" s="3"/>
      <c r="I172" s="3"/>
      <c r="T172" s="3"/>
      <c r="U172" s="3"/>
      <c r="V172" s="3"/>
      <c r="W172" s="3"/>
      <c r="X172" s="3"/>
      <c r="Y172" s="3"/>
      <c r="Z172" s="3"/>
      <c r="AA172" s="3"/>
      <c r="AB172" s="3"/>
      <c r="AC172" s="3"/>
      <c r="AD172" s="3"/>
      <c r="AE172" s="3"/>
      <c r="AF172" s="3"/>
      <c r="AH172" s="3"/>
      <c r="AJ172" s="3"/>
      <c r="AK172" s="3"/>
      <c r="AL172" s="3"/>
      <c r="AM172" s="670"/>
      <c r="AN172" s="670"/>
      <c r="AO172" s="670"/>
      <c r="AP172" s="670"/>
      <c r="AQ172" s="670"/>
      <c r="AR172" s="670"/>
      <c r="AS172" s="670"/>
      <c r="AT172" s="670"/>
      <c r="AU172" s="670"/>
      <c r="AV172" s="670"/>
      <c r="AW172" s="670"/>
      <c r="AX172" s="670"/>
      <c r="AY172" s="670"/>
      <c r="BN172" s="36" t="s">
        <v>214</v>
      </c>
      <c r="BT172" s="12" t="s">
        <v>500</v>
      </c>
    </row>
    <row r="173" spans="1:72" ht="12.95" customHeight="1">
      <c r="A173" s="25"/>
      <c r="C173" s="38"/>
      <c r="D173" s="39" t="s">
        <v>322</v>
      </c>
      <c r="J173" s="2277" t="s">
        <v>372</v>
      </c>
      <c r="K173" s="2277"/>
      <c r="L173" s="2277"/>
      <c r="M173" s="2277"/>
      <c r="N173" s="2277"/>
      <c r="O173" s="2277"/>
      <c r="P173" s="2277"/>
      <c r="Q173" s="2277"/>
      <c r="R173" s="2277"/>
      <c r="S173" s="2277"/>
      <c r="U173" s="40"/>
      <c r="X173" s="40"/>
      <c r="AF173" s="25"/>
      <c r="AH173" s="25"/>
      <c r="AJ173" s="3"/>
      <c r="AK173" s="3"/>
      <c r="AL173" s="3"/>
      <c r="AM173" s="670"/>
      <c r="AN173" s="670"/>
      <c r="AO173" s="670"/>
      <c r="AP173" s="670"/>
      <c r="AQ173" s="670"/>
      <c r="AR173" s="670"/>
      <c r="AS173" s="670"/>
      <c r="AT173" s="670"/>
      <c r="AU173" s="670"/>
      <c r="AV173" s="670"/>
      <c r="AW173" s="670"/>
      <c r="AX173" s="670"/>
      <c r="AY173" s="670"/>
      <c r="BN173" s="36" t="s">
        <v>215</v>
      </c>
      <c r="BT173" s="12" t="s">
        <v>501</v>
      </c>
    </row>
    <row r="174" spans="1:72" ht="12.95" customHeight="1">
      <c r="A174" s="25"/>
      <c r="C174" s="38"/>
      <c r="D174" s="58" t="s">
        <v>1344</v>
      </c>
      <c r="E174" s="25"/>
      <c r="F174" s="25"/>
      <c r="G174" s="25"/>
      <c r="H174" s="25"/>
      <c r="I174" s="25"/>
      <c r="J174" s="2113" t="s">
        <v>2519</v>
      </c>
      <c r="K174" s="2113"/>
      <c r="L174" s="2113"/>
      <c r="M174" s="2113"/>
      <c r="N174" s="2113"/>
      <c r="O174" s="2113"/>
      <c r="P174" s="2113"/>
      <c r="Q174" s="2113"/>
      <c r="R174" s="2113"/>
      <c r="S174" s="2113"/>
      <c r="T174" s="2113"/>
      <c r="U174" s="2113"/>
      <c r="V174" s="2113"/>
      <c r="W174" s="2113"/>
      <c r="X174" s="2113"/>
      <c r="Y174" s="2113"/>
      <c r="Z174" s="2113"/>
      <c r="AA174" s="2113"/>
      <c r="AB174" s="2113"/>
      <c r="AH174" s="25"/>
      <c r="AJ174" s="3"/>
      <c r="AK174" s="3"/>
      <c r="AL174" s="3"/>
      <c r="AM174" s="670"/>
      <c r="AN174" s="670"/>
      <c r="AO174" s="670"/>
      <c r="AP174" s="670"/>
      <c r="AQ174" s="670"/>
      <c r="AR174" s="670"/>
      <c r="AS174" s="670"/>
      <c r="AT174" s="670"/>
      <c r="AU174" s="670"/>
      <c r="AV174" s="670"/>
      <c r="AW174" s="670"/>
      <c r="AX174" s="670"/>
      <c r="AY174" s="670"/>
      <c r="BN174" s="36" t="s">
        <v>217</v>
      </c>
      <c r="BT174" s="12" t="s">
        <v>502</v>
      </c>
    </row>
    <row r="175" spans="1:72" ht="12.95" customHeight="1">
      <c r="A175" s="25"/>
      <c r="C175" s="13"/>
      <c r="D175" s="58" t="s">
        <v>323</v>
      </c>
      <c r="F175" s="708"/>
      <c r="G175" s="708"/>
      <c r="H175" s="708"/>
      <c r="I175" s="708"/>
      <c r="J175" s="708"/>
      <c r="K175" s="708"/>
      <c r="L175" s="708"/>
      <c r="M175" s="708"/>
      <c r="N175" s="708"/>
      <c r="O175" s="42"/>
      <c r="Q175" s="25"/>
      <c r="R175" s="25"/>
      <c r="T175" s="708"/>
      <c r="U175" s="2095" t="s">
        <v>554</v>
      </c>
      <c r="V175" s="2095"/>
      <c r="Z175" s="25"/>
      <c r="AC175" s="25"/>
      <c r="AD175" s="25"/>
      <c r="AE175" s="25"/>
      <c r="AF175" s="25"/>
      <c r="AH175" s="25"/>
      <c r="AJ175" s="3"/>
      <c r="AK175" s="3"/>
      <c r="AL175" s="3"/>
      <c r="AM175" s="670"/>
      <c r="AN175" s="670"/>
      <c r="AO175" s="670"/>
      <c r="AP175" s="670"/>
      <c r="AQ175" s="670"/>
      <c r="AR175" s="670"/>
      <c r="AS175" s="670"/>
      <c r="AT175" s="670"/>
      <c r="AU175" s="670"/>
      <c r="AV175" s="670"/>
      <c r="AW175" s="670"/>
      <c r="AX175" s="670"/>
      <c r="AY175" s="670"/>
      <c r="BN175" s="36" t="s">
        <v>218</v>
      </c>
      <c r="BT175" s="12" t="s">
        <v>503</v>
      </c>
    </row>
    <row r="176" spans="1:72" ht="12.95" customHeight="1">
      <c r="A176" s="25"/>
      <c r="C176" s="13"/>
      <c r="D176" s="41"/>
      <c r="E176" s="708" t="s">
        <v>305</v>
      </c>
      <c r="F176" s="708"/>
      <c r="G176" s="708"/>
      <c r="H176" s="708"/>
      <c r="I176" s="708"/>
      <c r="J176" s="708"/>
      <c r="K176" s="708"/>
      <c r="L176" s="708"/>
      <c r="M176" s="708"/>
      <c r="N176" s="708"/>
      <c r="O176" s="42"/>
      <c r="P176" s="25" t="s">
        <v>2491</v>
      </c>
      <c r="Q176" s="25"/>
      <c r="R176" s="25"/>
      <c r="T176" s="42" t="s">
        <v>306</v>
      </c>
      <c r="U176" s="2268">
        <v>22</v>
      </c>
      <c r="V176" s="2268"/>
      <c r="W176" s="4" t="s">
        <v>307</v>
      </c>
      <c r="X176" s="2283">
        <v>473</v>
      </c>
      <c r="Y176" s="2283"/>
      <c r="AC176" s="25"/>
      <c r="AD176" s="25"/>
      <c r="AE176" s="25"/>
      <c r="AF176" s="25"/>
      <c r="AH176" s="25"/>
      <c r="AJ176" s="3"/>
      <c r="AK176" s="3"/>
      <c r="AL176" s="3"/>
      <c r="AM176" s="670"/>
      <c r="AN176" s="670"/>
      <c r="AO176" s="670"/>
      <c r="AP176" s="670"/>
      <c r="AQ176" s="670"/>
      <c r="AR176" s="670"/>
      <c r="AS176" s="670"/>
      <c r="AT176" s="670"/>
      <c r="AU176" s="670"/>
      <c r="AV176" s="670"/>
      <c r="AW176" s="670"/>
      <c r="AX176" s="670"/>
      <c r="AY176" s="670"/>
      <c r="BN176" s="36" t="s">
        <v>220</v>
      </c>
      <c r="BT176" s="12" t="s">
        <v>504</v>
      </c>
    </row>
    <row r="177" spans="1:96" s="708" customFormat="1" ht="12.95" customHeight="1">
      <c r="A177" s="25"/>
      <c r="B177" s="12"/>
      <c r="C177" s="43"/>
      <c r="D177" s="25" t="s">
        <v>250</v>
      </c>
      <c r="E177" s="12"/>
      <c r="F177" s="12"/>
      <c r="G177" s="12"/>
      <c r="H177" s="12"/>
      <c r="I177" s="12"/>
      <c r="J177" s="12"/>
      <c r="K177" s="12"/>
      <c r="L177" s="12"/>
      <c r="M177" s="25"/>
      <c r="N177" s="12"/>
      <c r="O177" s="12"/>
      <c r="P177" s="12"/>
      <c r="Q177" s="12"/>
      <c r="R177" s="2095" t="s">
        <v>678</v>
      </c>
      <c r="S177" s="2095"/>
      <c r="T177" s="3"/>
      <c r="V177" s="12"/>
      <c r="W177" s="3"/>
      <c r="X177" s="3"/>
      <c r="Y177" s="3"/>
      <c r="AD177" s="25"/>
      <c r="AF177" s="25"/>
      <c r="AH177" s="25"/>
      <c r="AJ177" s="670"/>
      <c r="AK177" s="670"/>
      <c r="AL177" s="670"/>
      <c r="AM177" s="670"/>
      <c r="AN177" s="670"/>
      <c r="AO177" s="670"/>
      <c r="AP177" s="670"/>
      <c r="AQ177" s="670"/>
      <c r="AR177" s="670"/>
      <c r="AS177" s="670"/>
      <c r="AT177" s="670"/>
      <c r="AU177" s="670"/>
      <c r="AV177" s="670"/>
      <c r="AW177" s="670"/>
      <c r="AX177" s="670"/>
      <c r="AY177" s="670"/>
      <c r="BN177" s="36" t="s">
        <v>221</v>
      </c>
      <c r="BT177" s="708" t="s">
        <v>505</v>
      </c>
      <c r="CR177" s="25"/>
    </row>
    <row r="178" spans="1:96" s="708" customFormat="1" ht="12.95" customHeight="1">
      <c r="A178" s="25"/>
      <c r="B178" s="12"/>
      <c r="C178" s="43"/>
      <c r="D178" s="58" t="s">
        <v>1345</v>
      </c>
      <c r="E178" s="12"/>
      <c r="F178" s="12"/>
      <c r="G178" s="12"/>
      <c r="H178" s="12"/>
      <c r="I178" s="12"/>
      <c r="J178" s="12"/>
      <c r="K178" s="12"/>
      <c r="L178" s="12"/>
      <c r="M178" s="12"/>
      <c r="N178" s="12"/>
      <c r="P178" s="25"/>
      <c r="R178" s="12"/>
      <c r="S178" s="12"/>
      <c r="T178" s="12"/>
      <c r="U178" s="12"/>
      <c r="V178" s="12"/>
      <c r="W178" s="12"/>
      <c r="X178" s="12"/>
      <c r="Y178" s="12"/>
      <c r="AA178" s="25" t="s">
        <v>2491</v>
      </c>
      <c r="AC178" s="25"/>
      <c r="AE178" s="42" t="s">
        <v>306</v>
      </c>
      <c r="AF178" s="2468"/>
      <c r="AG178" s="2468"/>
      <c r="AH178" s="4" t="s">
        <v>307</v>
      </c>
      <c r="AI178" s="2250"/>
      <c r="AJ178" s="2250"/>
      <c r="AK178" s="2250"/>
      <c r="AL178" s="670"/>
      <c r="AM178" s="670"/>
      <c r="AN178" s="670"/>
      <c r="AO178" s="670"/>
      <c r="AP178" s="670"/>
      <c r="AQ178" s="670"/>
      <c r="AR178" s="670"/>
      <c r="AS178" s="670"/>
      <c r="AT178" s="670"/>
      <c r="AU178" s="670"/>
      <c r="AV178" s="670"/>
      <c r="AW178" s="670"/>
      <c r="AX178" s="670"/>
      <c r="AY178" s="670"/>
      <c r="BN178" s="36" t="s">
        <v>222</v>
      </c>
      <c r="BT178" s="708" t="s">
        <v>53</v>
      </c>
      <c r="CR178" s="25"/>
    </row>
    <row r="179" spans="1:96" s="708" customFormat="1" ht="12.95" customHeight="1">
      <c r="A179" s="25"/>
      <c r="B179" s="12"/>
      <c r="C179" s="43"/>
      <c r="AL179" s="670"/>
      <c r="AM179" s="670"/>
      <c r="AN179" s="670"/>
      <c r="AO179" s="670"/>
      <c r="AP179" s="670"/>
      <c r="AQ179" s="670"/>
      <c r="AR179" s="670"/>
      <c r="AS179" s="670"/>
      <c r="AT179" s="670"/>
      <c r="AU179" s="670"/>
      <c r="AV179" s="670"/>
      <c r="AW179" s="670"/>
      <c r="AX179" s="670"/>
      <c r="AY179" s="670"/>
      <c r="BN179" s="36" t="s">
        <v>223</v>
      </c>
      <c r="BT179" s="708" t="s">
        <v>54</v>
      </c>
      <c r="CR179" s="25"/>
    </row>
    <row r="180" spans="1:96" s="708" customFormat="1" ht="12.95" customHeight="1">
      <c r="A180" s="25"/>
      <c r="B180" s="12"/>
      <c r="C180" s="43"/>
      <c r="D180" s="670" t="s">
        <v>2492</v>
      </c>
      <c r="E180" s="25"/>
      <c r="X180" s="2095" t="s">
        <v>678</v>
      </c>
      <c r="Y180" s="2095"/>
      <c r="Z180" s="858"/>
      <c r="AK180" s="670"/>
      <c r="AL180" s="670"/>
      <c r="AM180" s="670"/>
      <c r="AN180" s="670"/>
      <c r="AO180" s="670"/>
      <c r="AP180" s="670"/>
      <c r="AQ180" s="670"/>
      <c r="AR180" s="670"/>
      <c r="AS180" s="670"/>
      <c r="AT180" s="670"/>
      <c r="AU180" s="670"/>
      <c r="AV180" s="670"/>
      <c r="AW180" s="670"/>
      <c r="AX180" s="670"/>
      <c r="AY180" s="670"/>
      <c r="BN180" s="36" t="s">
        <v>225</v>
      </c>
      <c r="BT180" s="708" t="s">
        <v>55</v>
      </c>
      <c r="CR180" s="25"/>
    </row>
    <row r="181" spans="1:96" s="708" customFormat="1" ht="12.95" customHeight="1">
      <c r="A181" s="25"/>
      <c r="B181" s="12"/>
      <c r="C181" s="44"/>
      <c r="E181" s="7" t="s">
        <v>1015</v>
      </c>
      <c r="Z181" s="25"/>
      <c r="AA181" s="25"/>
      <c r="AJ181" s="670"/>
      <c r="AK181" s="670"/>
      <c r="AL181" s="670"/>
      <c r="AM181" s="670"/>
      <c r="AN181" s="670"/>
      <c r="AO181" s="670"/>
      <c r="AP181" s="670"/>
      <c r="AQ181" s="670"/>
      <c r="AR181" s="670"/>
      <c r="AS181" s="670"/>
      <c r="AT181" s="670"/>
      <c r="AU181" s="670"/>
      <c r="AV181" s="670"/>
      <c r="AW181" s="670"/>
      <c r="AX181" s="670"/>
      <c r="AY181" s="670"/>
      <c r="BN181" s="36" t="s">
        <v>226</v>
      </c>
      <c r="BT181" s="708" t="s">
        <v>56</v>
      </c>
      <c r="CR181" s="25"/>
    </row>
    <row r="182" spans="1:96" ht="12.95" customHeight="1">
      <c r="A182" s="3"/>
      <c r="C182" s="895"/>
      <c r="D182" s="25"/>
      <c r="E182" s="25"/>
      <c r="F182" s="25"/>
      <c r="G182" s="25"/>
      <c r="H182" s="25"/>
      <c r="I182" s="25"/>
      <c r="J182" s="25"/>
      <c r="S182" s="25"/>
      <c r="T182" s="25"/>
      <c r="Z182" s="25"/>
      <c r="AA182" s="25"/>
      <c r="AD182" s="25"/>
      <c r="AE182" s="25"/>
      <c r="AF182" s="25"/>
      <c r="AH182" s="25"/>
      <c r="AJ182" s="3"/>
      <c r="AK182" s="3"/>
      <c r="AL182" s="3"/>
      <c r="AM182" s="670"/>
      <c r="AN182" s="670"/>
      <c r="AO182" s="670"/>
      <c r="AP182" s="670"/>
      <c r="AQ182" s="670"/>
      <c r="AR182" s="670"/>
      <c r="AS182" s="670"/>
      <c r="AT182" s="670"/>
      <c r="AU182" s="670"/>
      <c r="AV182" s="670"/>
      <c r="AW182" s="670"/>
      <c r="AX182" s="670"/>
      <c r="AY182" s="670"/>
      <c r="BN182" s="36" t="s">
        <v>227</v>
      </c>
      <c r="BT182" s="12" t="s">
        <v>60</v>
      </c>
    </row>
    <row r="183" spans="1:96" ht="12.95" customHeight="1">
      <c r="A183" s="37" t="s">
        <v>585</v>
      </c>
      <c r="C183" s="37" t="s">
        <v>586</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0"/>
      <c r="AN183" s="670"/>
      <c r="AO183" s="670"/>
      <c r="AP183" s="670"/>
      <c r="AQ183" s="670"/>
      <c r="AR183" s="670"/>
      <c r="AS183" s="670"/>
      <c r="AT183" s="670"/>
      <c r="AU183" s="670"/>
      <c r="AV183" s="670"/>
      <c r="AW183" s="670"/>
      <c r="AX183" s="670"/>
      <c r="AY183" s="670"/>
      <c r="BN183" s="36" t="s">
        <v>229</v>
      </c>
      <c r="BT183" s="12" t="s">
        <v>61</v>
      </c>
    </row>
    <row r="184" spans="1:96" ht="12.95" customHeight="1">
      <c r="A184" s="25"/>
      <c r="C184" s="45"/>
      <c r="D184" s="25" t="s">
        <v>587</v>
      </c>
      <c r="E184" s="25"/>
      <c r="F184" s="25"/>
      <c r="G184" s="25"/>
      <c r="H184" s="25"/>
      <c r="I184" s="2238" t="str">
        <f>H18</f>
        <v>Aloe Palm Canyon</v>
      </c>
      <c r="J184" s="2238"/>
      <c r="K184" s="2238"/>
      <c r="L184" s="2238"/>
      <c r="M184" s="2238"/>
      <c r="N184" s="2238"/>
      <c r="O184" s="2238"/>
      <c r="P184" s="2238"/>
      <c r="Q184" s="2238"/>
      <c r="R184" s="2238"/>
      <c r="S184" s="2238"/>
      <c r="T184" s="2238"/>
      <c r="U184" s="2238"/>
      <c r="V184" s="2238"/>
      <c r="W184" s="2238"/>
      <c r="X184" s="2238"/>
      <c r="Y184" s="2238"/>
      <c r="Z184" s="2238"/>
      <c r="AA184" s="2238"/>
      <c r="AB184" s="2238"/>
      <c r="AC184" s="2238"/>
      <c r="AD184" s="2238"/>
      <c r="AE184" s="2238"/>
      <c r="AF184" s="25"/>
      <c r="AH184" s="25"/>
      <c r="AJ184" s="3"/>
      <c r="AK184" s="3"/>
      <c r="AL184" s="3"/>
      <c r="AM184" s="670"/>
      <c r="AN184" s="670"/>
      <c r="AO184" s="670"/>
      <c r="AP184" s="670"/>
      <c r="AQ184" s="670"/>
      <c r="AR184" s="670"/>
      <c r="AS184" s="670"/>
      <c r="AT184" s="670"/>
      <c r="AU184" s="670"/>
      <c r="AV184" s="670"/>
      <c r="AW184" s="670"/>
      <c r="AX184" s="670"/>
      <c r="AY184" s="670"/>
      <c r="BC184" s="25" t="s">
        <v>596</v>
      </c>
      <c r="BN184" s="36" t="s">
        <v>231</v>
      </c>
      <c r="BT184" s="12" t="s">
        <v>62</v>
      </c>
    </row>
    <row r="185" spans="1:96" ht="12.95" customHeight="1">
      <c r="A185" s="25"/>
      <c r="C185" s="45"/>
      <c r="D185" s="25" t="s">
        <v>588</v>
      </c>
      <c r="E185" s="25"/>
      <c r="F185" s="25"/>
      <c r="G185" s="25"/>
      <c r="H185" s="25"/>
      <c r="I185" s="2091" t="s">
        <v>2622</v>
      </c>
      <c r="J185" s="2091"/>
      <c r="K185" s="2091"/>
      <c r="L185" s="2091"/>
      <c r="M185" s="2091"/>
      <c r="N185" s="2091"/>
      <c r="O185" s="2091"/>
      <c r="P185" s="2091"/>
      <c r="Q185" s="2091"/>
      <c r="R185" s="2091"/>
      <c r="S185" s="2091"/>
      <c r="T185" s="2091"/>
      <c r="U185" s="2091"/>
      <c r="V185" s="2091"/>
      <c r="W185" s="2091"/>
      <c r="X185" s="2091"/>
      <c r="Y185" s="2091"/>
      <c r="Z185" s="2091"/>
      <c r="AA185" s="2091"/>
      <c r="AB185" s="2091"/>
      <c r="AC185" s="2091"/>
      <c r="AD185" s="2091"/>
      <c r="AE185" s="2091"/>
      <c r="AF185" s="25"/>
      <c r="AH185" s="25"/>
      <c r="AJ185" s="3"/>
      <c r="AK185" s="3"/>
      <c r="AL185" s="3"/>
      <c r="AM185" s="670"/>
      <c r="AN185" s="670"/>
      <c r="AO185" s="670"/>
      <c r="AP185" s="670"/>
      <c r="AQ185" s="670"/>
      <c r="AR185" s="670"/>
      <c r="AS185" s="670"/>
      <c r="AT185" s="670"/>
      <c r="AU185" s="670"/>
      <c r="AV185" s="670"/>
      <c r="AW185" s="670"/>
      <c r="AX185" s="670"/>
      <c r="AY185" s="670"/>
      <c r="BC185" s="25" t="s">
        <v>597</v>
      </c>
      <c r="BN185" s="36" t="s">
        <v>232</v>
      </c>
      <c r="BT185" s="12" t="s">
        <v>63</v>
      </c>
    </row>
    <row r="186" spans="1:96" ht="12.95" customHeight="1">
      <c r="A186" s="25"/>
      <c r="C186" s="45"/>
      <c r="D186" s="25"/>
      <c r="E186" s="25" t="s">
        <v>168</v>
      </c>
      <c r="F186" s="25"/>
      <c r="G186" s="25"/>
      <c r="H186" s="25"/>
      <c r="I186" s="25"/>
      <c r="J186" s="25"/>
      <c r="K186" s="25"/>
      <c r="L186" s="25"/>
      <c r="M186" s="25"/>
      <c r="N186" s="25"/>
      <c r="O186" s="25"/>
      <c r="P186" s="25"/>
      <c r="S186" s="25"/>
      <c r="T186" s="25"/>
      <c r="AF186" s="25"/>
      <c r="AH186" s="25"/>
      <c r="AJ186" s="3"/>
      <c r="AK186" s="3"/>
      <c r="AL186" s="3"/>
      <c r="AM186" s="670"/>
      <c r="AN186" s="670"/>
      <c r="AO186" s="670"/>
      <c r="AP186" s="670"/>
      <c r="AQ186" s="670"/>
      <c r="AR186" s="670"/>
      <c r="AS186" s="670"/>
      <c r="AT186" s="670"/>
      <c r="AU186" s="670"/>
      <c r="AV186" s="670"/>
      <c r="AW186" s="670"/>
      <c r="AX186" s="670"/>
      <c r="AY186" s="670"/>
      <c r="BN186" s="36" t="s">
        <v>233</v>
      </c>
      <c r="BT186" s="12" t="s">
        <v>64</v>
      </c>
    </row>
    <row r="187" spans="1:96" ht="12.95" customHeight="1">
      <c r="A187" s="25"/>
      <c r="C187" s="45"/>
      <c r="D187" s="25"/>
      <c r="E187" s="2179"/>
      <c r="F187" s="2179"/>
      <c r="G187" s="2179"/>
      <c r="H187" s="2179"/>
      <c r="I187" s="2179"/>
      <c r="J187" s="2179"/>
      <c r="K187" s="2179"/>
      <c r="L187" s="2179"/>
      <c r="M187" s="2179"/>
      <c r="N187" s="2179"/>
      <c r="O187" s="2179"/>
      <c r="P187" s="2179"/>
      <c r="Q187" s="2179"/>
      <c r="R187" s="2179"/>
      <c r="S187" s="2179"/>
      <c r="T187" s="2179"/>
      <c r="U187" s="2179"/>
      <c r="V187" s="2179"/>
      <c r="W187" s="2179"/>
      <c r="X187" s="2179"/>
      <c r="Y187" s="2179"/>
      <c r="Z187" s="2179"/>
      <c r="AA187" s="2179"/>
      <c r="AB187" s="2179"/>
      <c r="AC187" s="2179"/>
      <c r="AD187" s="2179"/>
      <c r="AE187" s="2179"/>
      <c r="AF187" s="25"/>
      <c r="AH187" s="25"/>
      <c r="AJ187" s="3"/>
      <c r="AK187" s="3"/>
      <c r="AL187" s="3"/>
      <c r="AM187" s="670"/>
      <c r="AN187" s="670"/>
      <c r="AO187" s="670"/>
      <c r="AP187" s="670"/>
      <c r="AQ187" s="670"/>
      <c r="AR187" s="670"/>
      <c r="AS187" s="670"/>
      <c r="AT187" s="670"/>
      <c r="AU187" s="670"/>
      <c r="AV187" s="670"/>
      <c r="AW187" s="670"/>
      <c r="AX187" s="670"/>
      <c r="AY187" s="670"/>
      <c r="BN187" s="36" t="s">
        <v>234</v>
      </c>
      <c r="BT187" s="12" t="s">
        <v>65</v>
      </c>
    </row>
    <row r="188" spans="1:96" ht="12.95" customHeight="1">
      <c r="A188" s="25"/>
      <c r="C188" s="45"/>
      <c r="D188" s="25"/>
      <c r="E188" s="2180"/>
      <c r="F188" s="2180"/>
      <c r="G188" s="2180"/>
      <c r="H188" s="2180"/>
      <c r="I188" s="2180"/>
      <c r="J188" s="2180"/>
      <c r="K188" s="2180"/>
      <c r="L188" s="2180"/>
      <c r="M188" s="2180"/>
      <c r="N188" s="2180"/>
      <c r="O188" s="2180"/>
      <c r="P188" s="2180"/>
      <c r="Q188" s="2180"/>
      <c r="R188" s="2180"/>
      <c r="S188" s="2180"/>
      <c r="T188" s="2180"/>
      <c r="U188" s="2180"/>
      <c r="V188" s="2180"/>
      <c r="W188" s="2180"/>
      <c r="X188" s="2180"/>
      <c r="Y188" s="2180"/>
      <c r="Z188" s="2180"/>
      <c r="AA188" s="2180"/>
      <c r="AB188" s="2180"/>
      <c r="AC188" s="2180"/>
      <c r="AD188" s="2180"/>
      <c r="AE188" s="2180"/>
      <c r="AF188" s="25"/>
      <c r="AH188" s="25"/>
      <c r="AJ188" s="3"/>
      <c r="AK188" s="3"/>
      <c r="AL188" s="3"/>
      <c r="AM188" s="670"/>
      <c r="AN188" s="670"/>
      <c r="AO188" s="670"/>
      <c r="AP188" s="670"/>
      <c r="AQ188" s="670"/>
      <c r="AR188" s="670"/>
      <c r="AS188" s="670"/>
      <c r="AT188" s="670"/>
      <c r="AU188" s="670"/>
      <c r="AV188" s="670"/>
      <c r="AW188" s="670"/>
      <c r="AX188" s="670"/>
      <c r="AY188" s="670"/>
      <c r="BN188" s="36" t="s">
        <v>236</v>
      </c>
      <c r="BT188" s="12" t="s">
        <v>66</v>
      </c>
    </row>
    <row r="189" spans="1:96" ht="12.95" customHeight="1">
      <c r="A189" s="25"/>
      <c r="C189" s="45"/>
      <c r="D189" s="25" t="s">
        <v>589</v>
      </c>
      <c r="E189" s="25"/>
      <c r="I189" s="2113" t="s">
        <v>2618</v>
      </c>
      <c r="J189" s="2113"/>
      <c r="K189" s="2113"/>
      <c r="L189" s="2113"/>
      <c r="M189" s="2113"/>
      <c r="N189" s="2113"/>
      <c r="O189" s="2113"/>
      <c r="P189" s="2113"/>
      <c r="Q189" s="25" t="s">
        <v>591</v>
      </c>
      <c r="T189" s="2113" t="s">
        <v>67</v>
      </c>
      <c r="U189" s="2113"/>
      <c r="V189" s="2113"/>
      <c r="W189" s="2113"/>
      <c r="X189" s="2113"/>
      <c r="Y189" s="2113"/>
      <c r="Z189" s="2113"/>
      <c r="AA189" s="2113"/>
      <c r="AB189" s="2113"/>
      <c r="AC189" s="2113"/>
      <c r="AD189" s="2113"/>
      <c r="AE189" s="2113"/>
      <c r="AH189" s="25"/>
      <c r="AJ189" s="3"/>
      <c r="AK189" s="3"/>
      <c r="AL189" s="3"/>
      <c r="AM189" s="670"/>
      <c r="AN189" s="670"/>
      <c r="AO189" s="670"/>
      <c r="AP189" s="670"/>
      <c r="AQ189" s="670"/>
      <c r="AR189" s="670"/>
      <c r="AS189" s="670"/>
      <c r="AT189" s="670"/>
      <c r="AU189" s="670"/>
      <c r="AV189" s="670"/>
      <c r="AW189" s="670"/>
      <c r="AX189" s="670"/>
      <c r="AY189" s="670"/>
      <c r="BC189" s="708" t="s">
        <v>308</v>
      </c>
      <c r="BH189" s="58" t="s">
        <v>600</v>
      </c>
      <c r="BN189" s="36" t="s">
        <v>237</v>
      </c>
      <c r="BT189" s="12" t="s">
        <v>67</v>
      </c>
    </row>
    <row r="190" spans="1:96" ht="12.95" customHeight="1">
      <c r="A190" s="25"/>
      <c r="C190" s="46"/>
      <c r="D190" s="25" t="s">
        <v>592</v>
      </c>
      <c r="E190" s="25"/>
      <c r="F190" s="25"/>
      <c r="G190" s="25"/>
      <c r="I190" s="2091">
        <v>92262</v>
      </c>
      <c r="J190" s="2091"/>
      <c r="K190" s="2091"/>
      <c r="L190" s="2091"/>
      <c r="M190" s="2091"/>
      <c r="N190" s="2091"/>
      <c r="O190" s="25" t="s">
        <v>594</v>
      </c>
      <c r="P190" s="25"/>
      <c r="Q190" s="25"/>
      <c r="R190" s="25"/>
      <c r="S190" s="25"/>
      <c r="T190" s="2270">
        <v>60650446.060000002</v>
      </c>
      <c r="U190" s="2270"/>
      <c r="V190" s="2270"/>
      <c r="W190" s="2270"/>
      <c r="X190" s="2270"/>
      <c r="Y190" s="2270"/>
      <c r="Z190" s="2270"/>
      <c r="AA190" s="2270"/>
      <c r="AB190" s="2270"/>
      <c r="AC190" s="2270"/>
      <c r="AD190" s="2270"/>
      <c r="AE190" s="2270"/>
      <c r="AF190" s="25"/>
      <c r="AH190" s="25"/>
      <c r="AJ190" s="3"/>
      <c r="AK190" s="3"/>
      <c r="AL190" s="3"/>
      <c r="AM190" s="670"/>
      <c r="AN190" s="670"/>
      <c r="AO190" s="670"/>
      <c r="AP190" s="670"/>
      <c r="AQ190" s="670"/>
      <c r="AR190" s="670"/>
      <c r="AS190" s="670"/>
      <c r="AT190" s="670"/>
      <c r="AU190" s="670"/>
      <c r="AV190" s="670"/>
      <c r="AW190" s="670"/>
      <c r="AX190" s="670"/>
      <c r="AY190" s="670"/>
      <c r="BC190" s="708" t="s">
        <v>1101</v>
      </c>
      <c r="BH190" s="708" t="s">
        <v>1101</v>
      </c>
      <c r="BN190" s="36" t="s">
        <v>644</v>
      </c>
      <c r="BT190" s="12" t="s">
        <v>68</v>
      </c>
    </row>
    <row r="191" spans="1:96" ht="12.95" customHeight="1">
      <c r="A191" s="25"/>
      <c r="C191" s="46"/>
      <c r="D191" s="25" t="s">
        <v>471</v>
      </c>
      <c r="E191" s="25"/>
      <c r="F191" s="25"/>
      <c r="G191" s="25"/>
      <c r="H191" s="25"/>
      <c r="I191" s="25"/>
      <c r="J191" s="25"/>
      <c r="K191" s="25"/>
      <c r="L191" s="25"/>
      <c r="M191" s="25"/>
      <c r="N191" s="2179" t="s">
        <v>2623</v>
      </c>
      <c r="O191" s="2179"/>
      <c r="P191" s="2179"/>
      <c r="Q191" s="2179"/>
      <c r="R191" s="2179"/>
      <c r="S191" s="2179"/>
      <c r="T191" s="2179"/>
      <c r="U191" s="2179"/>
      <c r="V191" s="2179"/>
      <c r="W191" s="2179"/>
      <c r="X191" s="2179"/>
      <c r="Y191" s="2179"/>
      <c r="Z191" s="2179"/>
      <c r="AA191" s="2179"/>
      <c r="AB191" s="2179"/>
      <c r="AC191" s="2179"/>
      <c r="AD191" s="2179"/>
      <c r="AE191" s="2179"/>
      <c r="AF191" s="25"/>
      <c r="AH191" s="25"/>
      <c r="AJ191" s="3"/>
      <c r="AK191" s="3"/>
      <c r="AL191" s="3"/>
      <c r="AM191" s="670"/>
      <c r="AN191" s="670"/>
      <c r="AO191" s="670"/>
      <c r="AP191" s="670"/>
      <c r="AQ191" s="670"/>
      <c r="AR191" s="670"/>
      <c r="AS191" s="670"/>
      <c r="AT191" s="670"/>
      <c r="AU191" s="670"/>
      <c r="AV191" s="670"/>
      <c r="AW191" s="670"/>
      <c r="AX191" s="670"/>
      <c r="AY191" s="670"/>
      <c r="BC191" s="708" t="s">
        <v>1100</v>
      </c>
      <c r="BH191" s="708" t="s">
        <v>1100</v>
      </c>
      <c r="BN191" s="36" t="s">
        <v>698</v>
      </c>
      <c r="BT191" s="12" t="s">
        <v>739</v>
      </c>
    </row>
    <row r="192" spans="1:96" ht="12.95" customHeight="1">
      <c r="A192" s="25"/>
      <c r="C192" s="46"/>
      <c r="D192" s="25"/>
      <c r="E192" s="25"/>
      <c r="F192" s="25"/>
      <c r="G192" s="25"/>
      <c r="H192" s="25"/>
      <c r="I192" s="25"/>
      <c r="J192" s="25"/>
      <c r="K192" s="25"/>
      <c r="L192" s="25"/>
      <c r="M192" s="170"/>
      <c r="N192" s="2180"/>
      <c r="O192" s="2180"/>
      <c r="P192" s="2180"/>
      <c r="Q192" s="2180"/>
      <c r="R192" s="2180"/>
      <c r="S192" s="2180"/>
      <c r="T192" s="2180"/>
      <c r="U192" s="2180"/>
      <c r="V192" s="2180"/>
      <c r="W192" s="2180"/>
      <c r="X192" s="2180"/>
      <c r="Y192" s="2180"/>
      <c r="Z192" s="2180"/>
      <c r="AA192" s="2180"/>
      <c r="AB192" s="2180"/>
      <c r="AC192" s="2180"/>
      <c r="AD192" s="2180"/>
      <c r="AE192" s="2180"/>
      <c r="AF192" s="25"/>
      <c r="AH192" s="25"/>
      <c r="AJ192" s="3"/>
      <c r="AK192" s="3"/>
      <c r="AL192" s="3"/>
      <c r="AM192" s="670"/>
      <c r="AN192" s="670"/>
      <c r="AO192" s="670"/>
      <c r="AP192" s="670"/>
      <c r="AQ192" s="670"/>
      <c r="AR192" s="670"/>
      <c r="AS192" s="670"/>
      <c r="AT192" s="670"/>
      <c r="AU192" s="670"/>
      <c r="AV192" s="670"/>
      <c r="AW192" s="670"/>
      <c r="AX192" s="670"/>
      <c r="AY192" s="670"/>
      <c r="BC192" s="708" t="s">
        <v>1103</v>
      </c>
      <c r="BH192" s="58" t="s">
        <v>1806</v>
      </c>
      <c r="BN192" s="36" t="s">
        <v>699</v>
      </c>
      <c r="BT192" s="12" t="s">
        <v>740</v>
      </c>
    </row>
    <row r="193" spans="1:96" ht="12.95" customHeight="1">
      <c r="A193" s="25"/>
      <c r="B193" s="708"/>
      <c r="C193" s="46"/>
      <c r="D193" s="676" t="s">
        <v>2493</v>
      </c>
      <c r="E193" s="25"/>
      <c r="F193" s="25"/>
      <c r="G193" s="25"/>
      <c r="H193" s="25"/>
      <c r="I193" s="25"/>
      <c r="J193" s="25"/>
      <c r="K193" s="25"/>
      <c r="L193" s="25"/>
      <c r="M193" s="170"/>
      <c r="N193" s="1405"/>
      <c r="O193" s="1405"/>
      <c r="P193" s="1405"/>
      <c r="Q193" s="1405"/>
      <c r="R193" s="1405"/>
      <c r="S193" s="1405"/>
      <c r="T193" s="2287" t="s">
        <v>2311</v>
      </c>
      <c r="U193" s="2287"/>
      <c r="V193" s="2287"/>
      <c r="W193" s="2287"/>
      <c r="X193" s="2287"/>
      <c r="Y193" s="2287"/>
      <c r="Z193" s="2287"/>
      <c r="AA193" s="2287"/>
      <c r="AB193" s="2287"/>
      <c r="AC193" s="2287"/>
      <c r="AD193" s="2287"/>
      <c r="AE193" s="2287"/>
      <c r="AF193" s="2287"/>
      <c r="AG193" s="2287"/>
      <c r="AH193" s="2287"/>
      <c r="AI193" s="2287"/>
      <c r="AJ193" s="670"/>
      <c r="AK193" s="670"/>
      <c r="AL193" s="670"/>
      <c r="AM193" s="670"/>
      <c r="AN193" s="670"/>
      <c r="AO193" s="670"/>
      <c r="AP193" s="670"/>
      <c r="AQ193" s="670"/>
      <c r="AR193" s="670"/>
      <c r="AS193" s="670"/>
      <c r="AT193" s="670"/>
      <c r="AU193" s="670"/>
      <c r="AV193" s="670"/>
      <c r="AW193" s="670"/>
      <c r="AX193" s="670"/>
      <c r="AY193" s="670"/>
      <c r="BC193" s="708" t="s">
        <v>1102</v>
      </c>
      <c r="BH193" s="58" t="s">
        <v>1807</v>
      </c>
      <c r="BN193" s="36" t="s">
        <v>700</v>
      </c>
      <c r="BT193" s="12" t="s">
        <v>741</v>
      </c>
    </row>
    <row r="194" spans="1:96" ht="12.95" customHeight="1">
      <c r="A194" s="25"/>
      <c r="C194" s="46"/>
      <c r="D194" s="25" t="s">
        <v>332</v>
      </c>
      <c r="E194" s="25"/>
      <c r="F194" s="25"/>
      <c r="G194" s="25"/>
      <c r="H194" s="25"/>
      <c r="I194" s="25"/>
      <c r="J194" s="25"/>
      <c r="K194" s="25"/>
      <c r="L194" s="25"/>
      <c r="M194" s="25"/>
      <c r="N194" s="25"/>
      <c r="O194" s="25"/>
      <c r="P194" s="25"/>
      <c r="Q194" s="25"/>
      <c r="R194" s="25"/>
      <c r="T194" s="2095" t="s">
        <v>678</v>
      </c>
      <c r="U194" s="2095"/>
      <c r="W194" s="25" t="s">
        <v>694</v>
      </c>
      <c r="X194" s="25"/>
      <c r="Y194" s="25"/>
      <c r="Z194" s="25"/>
      <c r="AA194" s="25"/>
      <c r="AB194" s="25"/>
      <c r="AC194" s="25"/>
      <c r="AD194" s="25"/>
      <c r="AE194" s="25"/>
      <c r="AF194" s="25"/>
      <c r="AG194" s="25"/>
      <c r="AH194" s="2095">
        <v>36</v>
      </c>
      <c r="AI194" s="2095"/>
      <c r="AJ194" s="3"/>
      <c r="AK194" s="3"/>
      <c r="AL194" s="3"/>
      <c r="AM194" s="670"/>
      <c r="AN194" s="670"/>
      <c r="AO194" s="670"/>
      <c r="AP194" s="670"/>
      <c r="AQ194" s="670"/>
      <c r="AR194" s="670"/>
      <c r="AS194" s="670"/>
      <c r="AT194" s="670"/>
      <c r="AU194" s="670"/>
      <c r="AV194" s="670"/>
      <c r="AW194" s="670"/>
      <c r="AX194" s="670"/>
      <c r="AY194" s="670"/>
      <c r="BC194" s="708" t="s">
        <v>1535</v>
      </c>
      <c r="BN194" s="36" t="s">
        <v>701</v>
      </c>
      <c r="BT194" s="12" t="s">
        <v>742</v>
      </c>
    </row>
    <row r="195" spans="1:96" s="708" customFormat="1" ht="12.95" customHeight="1">
      <c r="A195" s="25"/>
      <c r="B195" s="12"/>
      <c r="C195" s="46"/>
      <c r="D195" s="25" t="s">
        <v>387</v>
      </c>
      <c r="E195" s="25"/>
      <c r="F195" s="25"/>
      <c r="G195" s="25"/>
      <c r="H195" s="25"/>
      <c r="I195" s="25"/>
      <c r="J195" s="25"/>
      <c r="K195" s="25"/>
      <c r="L195" s="25"/>
      <c r="M195" s="25"/>
      <c r="N195" s="25"/>
      <c r="O195" s="25"/>
      <c r="P195" s="25"/>
      <c r="Q195" s="25"/>
      <c r="R195" s="25"/>
      <c r="S195" s="12"/>
      <c r="T195" s="2080" t="s">
        <v>678</v>
      </c>
      <c r="U195" s="2080"/>
      <c r="V195" s="12"/>
      <c r="W195" s="25" t="s">
        <v>695</v>
      </c>
      <c r="X195" s="25"/>
      <c r="Y195" s="25"/>
      <c r="Z195" s="25"/>
      <c r="AA195" s="25"/>
      <c r="AB195" s="25"/>
      <c r="AC195" s="25"/>
      <c r="AD195" s="25"/>
      <c r="AE195" s="25"/>
      <c r="AF195" s="25"/>
      <c r="AG195" s="25"/>
      <c r="AH195" s="2095">
        <v>47</v>
      </c>
      <c r="AI195" s="2095"/>
      <c r="AJ195" s="3"/>
      <c r="AK195" s="3"/>
      <c r="AL195" s="3"/>
      <c r="AM195" s="670"/>
      <c r="AN195" s="670"/>
      <c r="AO195" s="670"/>
      <c r="AP195" s="670"/>
      <c r="AQ195" s="670"/>
      <c r="AR195" s="670"/>
      <c r="AS195" s="670"/>
      <c r="AT195" s="670"/>
      <c r="AU195" s="670"/>
      <c r="AV195" s="670"/>
      <c r="AW195" s="670"/>
      <c r="AX195" s="670"/>
      <c r="AY195" s="670"/>
      <c r="BC195" s="708" t="s">
        <v>2113</v>
      </c>
      <c r="BN195" s="36" t="s">
        <v>243</v>
      </c>
      <c r="BT195" s="12" t="s">
        <v>743</v>
      </c>
      <c r="CR195" s="25"/>
    </row>
    <row r="196" spans="1:96" ht="12.95" customHeight="1">
      <c r="A196" s="25"/>
      <c r="C196" s="46"/>
      <c r="D196" s="177" t="s">
        <v>169</v>
      </c>
      <c r="E196" s="25"/>
      <c r="F196" s="25"/>
      <c r="G196" s="25"/>
      <c r="H196" s="25"/>
      <c r="I196" s="25"/>
      <c r="J196" s="25"/>
      <c r="K196" s="25"/>
      <c r="L196" s="25"/>
      <c r="M196" s="25"/>
      <c r="N196" s="25"/>
      <c r="O196" s="25"/>
      <c r="P196" s="25"/>
      <c r="Q196" s="25"/>
      <c r="R196" s="25"/>
      <c r="T196" s="2080" t="s">
        <v>678</v>
      </c>
      <c r="U196" s="2080"/>
      <c r="W196" s="25" t="s">
        <v>696</v>
      </c>
      <c r="X196" s="25"/>
      <c r="Y196" s="25"/>
      <c r="Z196" s="25"/>
      <c r="AA196" s="25"/>
      <c r="AB196" s="25"/>
      <c r="AC196" s="25"/>
      <c r="AD196" s="25"/>
      <c r="AE196" s="25"/>
      <c r="AF196" s="25"/>
      <c r="AG196" s="25"/>
      <c r="AH196" s="2095">
        <v>28</v>
      </c>
      <c r="AI196" s="2095"/>
      <c r="AJ196" s="3"/>
      <c r="AK196" s="3"/>
      <c r="AL196" s="3"/>
      <c r="AM196" s="670"/>
      <c r="AN196" s="670"/>
      <c r="AO196" s="670"/>
      <c r="AP196" s="670"/>
      <c r="AQ196" s="670"/>
      <c r="AR196" s="670"/>
      <c r="AS196" s="670"/>
      <c r="AT196" s="670"/>
      <c r="AU196" s="670"/>
      <c r="AV196" s="670"/>
      <c r="AW196" s="670"/>
      <c r="AX196" s="670"/>
      <c r="AY196" s="670"/>
      <c r="BN196" s="36" t="s">
        <v>244</v>
      </c>
      <c r="BT196" s="12" t="s">
        <v>69</v>
      </c>
    </row>
    <row r="197" spans="1:96" ht="12.95" customHeight="1">
      <c r="A197" s="25"/>
      <c r="B197" s="708"/>
      <c r="C197" s="46"/>
      <c r="D197" s="239" t="s">
        <v>1831</v>
      </c>
      <c r="E197" s="25"/>
      <c r="F197" s="25"/>
      <c r="G197" s="25"/>
      <c r="H197" s="25"/>
      <c r="I197" s="25"/>
      <c r="J197" s="25"/>
      <c r="K197" s="25"/>
      <c r="L197" s="25"/>
      <c r="M197" s="25"/>
      <c r="N197" s="25"/>
      <c r="O197" s="25"/>
      <c r="P197" s="25"/>
      <c r="Q197" s="25"/>
      <c r="R197" s="25"/>
      <c r="S197" s="708"/>
      <c r="T197" s="2080"/>
      <c r="U197" s="2080"/>
      <c r="V197" s="708"/>
      <c r="W197" s="25"/>
      <c r="X197" s="25"/>
      <c r="Y197" s="25"/>
      <c r="Z197" s="25"/>
      <c r="AA197" s="25"/>
      <c r="AB197" s="25"/>
      <c r="AC197" s="25"/>
      <c r="AD197" s="25"/>
      <c r="AE197" s="25"/>
      <c r="AF197" s="25"/>
      <c r="AG197" s="25"/>
      <c r="AH197" s="51"/>
      <c r="AI197" s="51"/>
      <c r="AJ197" s="670"/>
      <c r="AK197" s="670"/>
      <c r="AL197" s="670"/>
      <c r="AM197" s="670"/>
      <c r="AN197" s="670"/>
      <c r="AO197" s="670"/>
      <c r="AP197" s="670"/>
      <c r="AQ197" s="670"/>
      <c r="AR197" s="670"/>
      <c r="AS197" s="670"/>
      <c r="AT197" s="670"/>
      <c r="AU197" s="670"/>
      <c r="AV197" s="670"/>
      <c r="AW197" s="670"/>
      <c r="AX197" s="670"/>
      <c r="AY197" s="670"/>
      <c r="BC197" s="671" t="s">
        <v>308</v>
      </c>
      <c r="BD197" s="669"/>
      <c r="BN197" s="36" t="s">
        <v>245</v>
      </c>
      <c r="BT197" s="12" t="s">
        <v>70</v>
      </c>
    </row>
    <row r="198" spans="1:96" s="51" customFormat="1" ht="12.9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86" t="s">
        <v>2494</v>
      </c>
      <c r="Y198" s="2095" t="s">
        <v>678</v>
      </c>
      <c r="Z198" s="2095"/>
      <c r="AA198" s="25"/>
      <c r="AB198" s="25"/>
      <c r="AC198" s="25"/>
      <c r="AD198" s="25"/>
      <c r="AE198" s="25"/>
      <c r="AF198" s="25"/>
      <c r="AG198" s="25"/>
      <c r="AJ198" s="670"/>
      <c r="AK198" s="670"/>
      <c r="AL198" s="670"/>
      <c r="AM198" s="670"/>
      <c r="AN198" s="670"/>
      <c r="AO198" s="670"/>
      <c r="AP198" s="670"/>
      <c r="AQ198" s="670"/>
      <c r="AR198" s="670"/>
      <c r="AS198" s="670"/>
      <c r="AT198" s="670"/>
      <c r="AU198" s="670"/>
      <c r="AV198" s="670"/>
      <c r="AW198" s="670"/>
      <c r="AX198" s="670"/>
      <c r="AY198" s="670"/>
      <c r="AZ198" s="52"/>
      <c r="BA198" s="52"/>
      <c r="BB198" s="21"/>
      <c r="BC198" s="676" t="s">
        <v>904</v>
      </c>
      <c r="BD198" s="669"/>
      <c r="BE198" s="21"/>
      <c r="BF198" s="21"/>
      <c r="BN198" s="36" t="s">
        <v>707</v>
      </c>
      <c r="BO198" s="12"/>
      <c r="BP198" s="12"/>
      <c r="BQ198" s="12"/>
      <c r="BR198" s="12"/>
      <c r="BS198" s="12"/>
      <c r="BT198" s="12" t="s">
        <v>192</v>
      </c>
      <c r="BU198" s="12"/>
      <c r="BV198" s="53"/>
      <c r="CR198" s="112"/>
    </row>
    <row r="199" spans="1:96" s="51" customFormat="1" ht="12.95" customHeight="1">
      <c r="A199" s="25"/>
      <c r="B199" s="12"/>
      <c r="C199" s="46"/>
      <c r="D199" s="3" t="s">
        <v>693</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70"/>
      <c r="AH199" s="1617"/>
      <c r="AI199" s="1617"/>
      <c r="AJ199" s="670"/>
      <c r="AK199" s="670"/>
      <c r="AL199" s="670"/>
      <c r="AM199" s="670"/>
      <c r="AN199" s="670"/>
      <c r="AO199" s="670"/>
      <c r="AP199" s="670"/>
      <c r="AQ199" s="670"/>
      <c r="AR199" s="670"/>
      <c r="AS199" s="670"/>
      <c r="AT199" s="670"/>
      <c r="AU199" s="670"/>
      <c r="AV199" s="670"/>
      <c r="AW199" s="670"/>
      <c r="AX199" s="670"/>
      <c r="AY199" s="670"/>
      <c r="AZ199" s="52"/>
      <c r="BA199" s="52"/>
      <c r="BB199" s="21"/>
      <c r="BC199" s="675" t="s">
        <v>903</v>
      </c>
      <c r="BD199" s="706"/>
      <c r="BE199" s="21"/>
      <c r="BF199" s="21"/>
      <c r="BN199" s="36" t="s">
        <v>708</v>
      </c>
      <c r="BO199" s="708"/>
      <c r="BP199" s="708"/>
      <c r="BQ199" s="708"/>
      <c r="BR199" s="708"/>
      <c r="BS199" s="708"/>
      <c r="BT199" s="54" t="s">
        <v>193</v>
      </c>
      <c r="BU199" s="708"/>
      <c r="BV199" s="53"/>
      <c r="CR199" s="112"/>
    </row>
    <row r="200" spans="1:96" s="51" customFormat="1" ht="12.95" customHeight="1">
      <c r="A200" s="25"/>
      <c r="B200" s="12"/>
      <c r="C200" s="46"/>
      <c r="D200" s="332" t="s">
        <v>958</v>
      </c>
      <c r="E200" s="25"/>
      <c r="F200" s="25"/>
      <c r="G200" s="25"/>
      <c r="H200" s="25"/>
      <c r="I200" s="25"/>
      <c r="J200" s="25"/>
      <c r="K200" s="25"/>
      <c r="L200" s="25"/>
      <c r="M200" s="25"/>
      <c r="N200" s="25"/>
      <c r="O200" s="25"/>
      <c r="P200" s="25"/>
      <c r="Q200" s="25"/>
      <c r="R200" s="25"/>
      <c r="S200" s="39"/>
      <c r="T200" s="234"/>
      <c r="U200" s="234"/>
      <c r="V200" s="39"/>
      <c r="W200" s="332" t="s">
        <v>957</v>
      </c>
      <c r="X200" s="25"/>
      <c r="Y200" s="25"/>
      <c r="Z200" s="25"/>
      <c r="AA200" s="25"/>
      <c r="AB200" s="25"/>
      <c r="AC200" s="25"/>
      <c r="AD200" s="25"/>
      <c r="AE200" s="25"/>
      <c r="AF200" s="25"/>
      <c r="AG200" s="3"/>
      <c r="AH200" s="234"/>
      <c r="AI200" s="234"/>
      <c r="AJ200" s="3"/>
      <c r="AK200" s="3"/>
      <c r="AL200" s="3"/>
      <c r="AM200" s="670"/>
      <c r="AN200" s="670"/>
      <c r="AO200" s="670"/>
      <c r="AP200" s="670"/>
      <c r="AQ200" s="670"/>
      <c r="AR200" s="670"/>
      <c r="AS200" s="670"/>
      <c r="AT200" s="670"/>
      <c r="AU200" s="670"/>
      <c r="AV200" s="670"/>
      <c r="AW200" s="670"/>
      <c r="AX200" s="670"/>
      <c r="AY200" s="670"/>
      <c r="AZ200" s="52"/>
      <c r="BA200" s="52"/>
      <c r="BB200" s="21"/>
      <c r="BC200" s="675" t="s">
        <v>1126</v>
      </c>
      <c r="BD200" s="672"/>
      <c r="BE200" s="21"/>
      <c r="BF200" s="21"/>
      <c r="BN200" s="36" t="s">
        <v>709</v>
      </c>
      <c r="BO200" s="12"/>
      <c r="BP200" s="12"/>
      <c r="BQ200" s="12"/>
      <c r="BR200" s="12"/>
      <c r="BS200" s="12"/>
      <c r="BT200" s="54" t="s">
        <v>194</v>
      </c>
      <c r="BU200" s="12"/>
      <c r="CR200" s="112"/>
    </row>
    <row r="201" spans="1:96" s="51" customFormat="1" ht="12.95" customHeight="1">
      <c r="A201" s="25"/>
      <c r="B201" s="12"/>
      <c r="C201" s="46"/>
      <c r="D201" s="89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0"/>
      <c r="AN201" s="670"/>
      <c r="AO201" s="670"/>
      <c r="AP201" s="670"/>
      <c r="AQ201" s="670"/>
      <c r="AR201" s="670"/>
      <c r="AS201" s="670"/>
      <c r="AT201" s="670"/>
      <c r="AU201" s="670"/>
      <c r="AV201" s="670"/>
      <c r="AW201" s="670"/>
      <c r="AX201" s="670"/>
      <c r="AY201" s="670"/>
      <c r="AZ201" s="52"/>
      <c r="BA201" s="52"/>
      <c r="BB201" s="21"/>
      <c r="BC201" s="673" t="s">
        <v>620</v>
      </c>
      <c r="BD201" s="672"/>
      <c r="BE201" s="21"/>
      <c r="BF201" s="21"/>
      <c r="BN201" s="36" t="s">
        <v>710</v>
      </c>
      <c r="BO201" s="53"/>
      <c r="BP201" s="54"/>
      <c r="BQ201" s="54"/>
      <c r="BR201" s="54"/>
      <c r="BS201" s="54"/>
      <c r="BT201" s="55" t="s">
        <v>195</v>
      </c>
      <c r="BU201" s="12"/>
      <c r="BV201" s="56"/>
      <c r="BW201" s="56"/>
      <c r="BX201" s="56"/>
      <c r="BY201" s="56"/>
      <c r="BZ201" s="56"/>
      <c r="CA201" s="56"/>
      <c r="CR201" s="112"/>
    </row>
    <row r="202" spans="1:96" ht="12.95" customHeight="1">
      <c r="A202" s="37" t="s">
        <v>595</v>
      </c>
      <c r="C202" s="37" t="s">
        <v>137</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0"/>
      <c r="AN202" s="670"/>
      <c r="AO202" s="670"/>
      <c r="AP202" s="670"/>
      <c r="AQ202" s="670"/>
      <c r="AR202" s="670"/>
      <c r="AS202" s="670"/>
      <c r="AT202" s="670"/>
      <c r="AU202" s="670"/>
      <c r="AV202" s="670"/>
      <c r="AW202" s="670"/>
      <c r="AX202" s="670"/>
      <c r="AY202" s="670"/>
      <c r="BC202" s="673" t="s">
        <v>1127</v>
      </c>
      <c r="BD202" s="672"/>
      <c r="BN202" s="36" t="s">
        <v>711</v>
      </c>
      <c r="BO202" s="51"/>
      <c r="BP202" s="54"/>
      <c r="BQ202" s="54"/>
      <c r="BR202" s="54"/>
      <c r="BS202" s="54"/>
      <c r="BT202" s="55" t="s">
        <v>196</v>
      </c>
    </row>
    <row r="203" spans="1:96" ht="12.95" customHeight="1">
      <c r="A203" s="25"/>
      <c r="C203" s="25"/>
      <c r="D203" s="2238" t="s">
        <v>386</v>
      </c>
      <c r="E203" s="2238"/>
      <c r="F203" s="2238"/>
      <c r="G203" s="2238"/>
      <c r="H203" s="2238"/>
      <c r="I203" s="2238"/>
      <c r="J203" s="2238"/>
      <c r="K203" s="2238"/>
      <c r="L203" s="2238"/>
      <c r="M203" s="2238"/>
      <c r="P203" s="2265">
        <f>M26</f>
        <v>1622392</v>
      </c>
      <c r="Q203" s="2266"/>
      <c r="R203" s="2266"/>
      <c r="S203" s="2266"/>
      <c r="T203" s="2266"/>
      <c r="U203" s="2266"/>
      <c r="V203" s="25"/>
      <c r="W203" s="25"/>
      <c r="X203" s="25"/>
      <c r="Y203" s="25"/>
      <c r="Z203" s="2289" t="s">
        <v>2624</v>
      </c>
      <c r="AA203" s="2289"/>
      <c r="AB203" s="2289"/>
      <c r="AC203" s="2289"/>
      <c r="AD203" s="2289"/>
      <c r="AE203" s="2289"/>
      <c r="AF203" s="2289"/>
      <c r="AG203" s="25"/>
      <c r="AH203" s="25"/>
      <c r="AI203" s="25"/>
      <c r="AJ203" s="3"/>
      <c r="AK203" s="3"/>
      <c r="AL203" s="3"/>
      <c r="AM203" s="670"/>
      <c r="AN203" s="670"/>
      <c r="AO203" s="670"/>
      <c r="AP203" s="670"/>
      <c r="AQ203" s="670"/>
      <c r="AR203" s="670"/>
      <c r="AS203" s="670"/>
      <c r="AT203" s="670"/>
      <c r="AU203" s="670"/>
      <c r="AV203" s="670"/>
      <c r="AW203" s="670"/>
      <c r="AX203" s="670"/>
      <c r="AY203" s="670"/>
      <c r="BC203" s="670" t="s">
        <v>1128</v>
      </c>
      <c r="BD203" s="669"/>
      <c r="BN203" s="36" t="s">
        <v>712</v>
      </c>
      <c r="BO203" s="51"/>
      <c r="BP203" s="54"/>
      <c r="BQ203" s="54"/>
      <c r="BR203" s="54"/>
      <c r="BS203" s="55"/>
      <c r="BT203" s="55" t="s">
        <v>197</v>
      </c>
    </row>
    <row r="204" spans="1:96" ht="12.95" customHeight="1">
      <c r="A204" s="25"/>
      <c r="C204" s="45"/>
      <c r="D204" s="2288" t="s">
        <v>1402</v>
      </c>
      <c r="E204" s="2238"/>
      <c r="F204" s="2238"/>
      <c r="G204" s="2238"/>
      <c r="H204" s="2238"/>
      <c r="I204" s="2238"/>
      <c r="J204" s="2238"/>
      <c r="K204" s="2238"/>
      <c r="L204" s="2238"/>
      <c r="M204" s="2238"/>
      <c r="P204" s="2266">
        <f>M27</f>
        <v>12150653</v>
      </c>
      <c r="Q204" s="2266"/>
      <c r="R204" s="2266"/>
      <c r="S204" s="2266"/>
      <c r="T204" s="2266"/>
      <c r="U204" s="2266"/>
      <c r="V204" s="47"/>
      <c r="W204" s="58" t="s">
        <v>1974</v>
      </c>
      <c r="Z204" s="2289"/>
      <c r="AA204" s="2289"/>
      <c r="AB204" s="2289"/>
      <c r="AC204" s="2289"/>
      <c r="AD204" s="2289"/>
      <c r="AE204" s="2289"/>
      <c r="AF204" s="2289"/>
      <c r="AG204" s="25" t="s">
        <v>1403</v>
      </c>
      <c r="AH204" s="25"/>
      <c r="AI204" s="25"/>
      <c r="AJ204" s="25"/>
      <c r="AK204" s="25"/>
      <c r="AL204" s="25"/>
      <c r="AM204" s="25"/>
      <c r="AN204" s="25"/>
      <c r="AO204" s="25"/>
      <c r="AP204" s="2095" t="s">
        <v>678</v>
      </c>
      <c r="AQ204" s="2095"/>
      <c r="AR204" s="670"/>
      <c r="AS204" s="670"/>
      <c r="AT204" s="670"/>
      <c r="AU204" s="670"/>
      <c r="AV204" s="670"/>
      <c r="AW204" s="670"/>
      <c r="AX204" s="670"/>
      <c r="AY204" s="670"/>
      <c r="BC204" s="673" t="s">
        <v>619</v>
      </c>
      <c r="BD204" s="669"/>
      <c r="BN204" s="36" t="s">
        <v>713</v>
      </c>
      <c r="BT204" s="55" t="s">
        <v>198</v>
      </c>
      <c r="BU204" s="51"/>
    </row>
    <row r="205" spans="1:96" ht="12.9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90"/>
      <c r="AA205" s="2290"/>
      <c r="AB205" s="2290"/>
      <c r="AC205" s="2290"/>
      <c r="AD205" s="2290"/>
      <c r="AE205" s="2290"/>
      <c r="AF205" s="2290"/>
      <c r="AH205" s="25"/>
      <c r="AJ205" s="3"/>
      <c r="AK205" s="3"/>
      <c r="AL205" s="3"/>
      <c r="AM205" s="670"/>
      <c r="AN205" s="670"/>
      <c r="AO205" s="670"/>
      <c r="AP205" s="670"/>
      <c r="AQ205" s="670"/>
      <c r="AR205" s="670"/>
      <c r="AS205" s="670"/>
      <c r="AT205" s="670"/>
      <c r="AU205" s="670"/>
      <c r="AV205" s="670"/>
      <c r="AW205" s="670"/>
      <c r="AX205" s="670"/>
      <c r="AY205" s="670"/>
      <c r="BC205" s="673" t="s">
        <v>1086</v>
      </c>
      <c r="BD205" s="669"/>
      <c r="BN205" s="36" t="s">
        <v>110</v>
      </c>
      <c r="BT205" s="55" t="s">
        <v>174</v>
      </c>
      <c r="BU205" s="51"/>
    </row>
    <row r="206" spans="1:96" ht="12.95" customHeight="1">
      <c r="A206" s="49" t="s">
        <v>598</v>
      </c>
      <c r="C206" s="49" t="s">
        <v>560</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0"/>
      <c r="AN206" s="670"/>
      <c r="AO206" s="670"/>
      <c r="AP206" s="670"/>
      <c r="AQ206" s="670"/>
      <c r="AR206" s="670"/>
      <c r="AS206" s="670"/>
      <c r="AT206" s="670"/>
      <c r="AU206" s="670"/>
      <c r="AV206" s="670"/>
      <c r="AW206" s="670"/>
      <c r="AX206" s="670"/>
      <c r="AY206" s="670"/>
      <c r="BC206" s="674" t="s">
        <v>1129</v>
      </c>
      <c r="BD206" s="669"/>
      <c r="BN206" s="36" t="s">
        <v>111</v>
      </c>
      <c r="BT206" s="55" t="s">
        <v>199</v>
      </c>
      <c r="BU206" s="56"/>
    </row>
    <row r="207" spans="1:96" ht="12.95" customHeight="1">
      <c r="A207" s="25"/>
      <c r="C207" s="45"/>
      <c r="D207" s="2162" t="s">
        <v>2625</v>
      </c>
      <c r="E207" s="2162"/>
      <c r="F207" s="2162"/>
      <c r="G207" s="2162"/>
      <c r="H207" s="2162"/>
      <c r="I207" s="2162"/>
      <c r="J207" s="2162"/>
      <c r="K207" s="2162"/>
      <c r="L207" s="2162"/>
      <c r="M207" s="216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0"/>
      <c r="AN207" s="670"/>
      <c r="AO207" s="670"/>
      <c r="AP207" s="670"/>
      <c r="AQ207" s="670"/>
      <c r="AR207" s="670"/>
      <c r="AS207" s="670"/>
      <c r="AT207" s="670"/>
      <c r="AU207" s="670"/>
      <c r="AV207" s="670"/>
      <c r="AW207" s="670"/>
      <c r="AX207" s="670"/>
      <c r="AY207" s="670"/>
      <c r="BC207" s="675" t="s">
        <v>1359</v>
      </c>
      <c r="BD207" s="669"/>
      <c r="BN207" s="36" t="s">
        <v>45</v>
      </c>
      <c r="BT207" s="55" t="s">
        <v>200</v>
      </c>
    </row>
    <row r="208" spans="1:96" ht="12.95" customHeight="1">
      <c r="T208" s="25"/>
      <c r="U208" s="25"/>
      <c r="V208" s="25"/>
      <c r="W208" s="25"/>
      <c r="X208" s="25"/>
      <c r="Y208" s="25"/>
      <c r="Z208" s="25"/>
      <c r="AA208" s="25"/>
      <c r="AB208" s="25"/>
      <c r="AC208" s="25"/>
      <c r="AD208" s="25"/>
      <c r="AE208" s="25"/>
      <c r="AF208" s="25"/>
      <c r="AG208" s="708"/>
      <c r="AH208" s="25"/>
      <c r="AI208" s="708"/>
      <c r="AJ208" s="670"/>
      <c r="AK208" s="670"/>
      <c r="AL208" s="670"/>
      <c r="AM208" s="670"/>
      <c r="AN208" s="670"/>
      <c r="AO208" s="670"/>
      <c r="AP208" s="670"/>
      <c r="AQ208" s="670"/>
      <c r="AR208" s="670"/>
      <c r="AS208" s="670"/>
      <c r="AT208" s="670"/>
      <c r="AU208" s="670"/>
      <c r="AV208" s="670"/>
      <c r="AW208" s="670"/>
      <c r="AX208" s="670"/>
      <c r="AY208" s="670"/>
      <c r="BC208" s="670" t="s">
        <v>1130</v>
      </c>
      <c r="BD208" s="669"/>
      <c r="BN208" s="36" t="s">
        <v>46</v>
      </c>
      <c r="BT208" s="55" t="s">
        <v>201</v>
      </c>
    </row>
    <row r="209" spans="1:96" ht="12.95" customHeight="1">
      <c r="A209" s="50" t="s">
        <v>599</v>
      </c>
      <c r="C209" s="50" t="s">
        <v>389</v>
      </c>
      <c r="Z209" s="708"/>
      <c r="AA209" s="25"/>
      <c r="AB209" s="25"/>
      <c r="AC209" s="25"/>
      <c r="AD209" s="25"/>
      <c r="AE209" s="25"/>
      <c r="AF209" s="25"/>
      <c r="AG209" s="708"/>
      <c r="AH209" s="708"/>
      <c r="AI209" s="708"/>
      <c r="AJ209" s="670"/>
      <c r="AK209" s="670"/>
      <c r="AL209" s="670"/>
      <c r="AM209" s="670"/>
      <c r="AN209" s="670"/>
      <c r="AO209" s="670"/>
      <c r="AP209" s="670"/>
      <c r="AQ209" s="670"/>
      <c r="AR209" s="670"/>
      <c r="AS209" s="670"/>
      <c r="AT209" s="670"/>
      <c r="AU209" s="670"/>
      <c r="AV209" s="670"/>
      <c r="AW209" s="670"/>
      <c r="AX209" s="670"/>
      <c r="AY209" s="670"/>
      <c r="BC209" s="673" t="s">
        <v>668</v>
      </c>
      <c r="BD209" s="669"/>
      <c r="BN209" s="36" t="s">
        <v>47</v>
      </c>
      <c r="BT209" s="55" t="s">
        <v>202</v>
      </c>
    </row>
    <row r="210" spans="1:96" ht="12.95" customHeight="1">
      <c r="C210" s="45"/>
      <c r="D210" s="2162" t="s">
        <v>1100</v>
      </c>
      <c r="E210" s="2162"/>
      <c r="F210" s="2162"/>
      <c r="G210" s="2162"/>
      <c r="H210" s="2162"/>
      <c r="I210" s="2162"/>
      <c r="J210" s="2162"/>
      <c r="K210" s="2162"/>
      <c r="L210" s="2162"/>
      <c r="M210" s="2162"/>
      <c r="O210" s="708"/>
      <c r="P210" s="708"/>
      <c r="Q210" s="708"/>
      <c r="R210" s="708"/>
      <c r="S210" s="708"/>
      <c r="T210" s="708"/>
      <c r="U210" s="708"/>
      <c r="V210" s="708"/>
      <c r="W210" s="708"/>
      <c r="X210" s="708"/>
      <c r="Y210" s="708"/>
      <c r="Z210" s="708"/>
      <c r="AA210" s="708"/>
      <c r="AB210" s="708"/>
      <c r="AC210" s="708"/>
      <c r="AD210" s="708"/>
      <c r="AE210" s="708"/>
      <c r="AF210" s="708"/>
      <c r="AG210" s="708"/>
      <c r="AH210" s="88"/>
      <c r="AI210" s="88"/>
      <c r="AJ210" s="670"/>
      <c r="AK210" s="670"/>
      <c r="AL210" s="670"/>
      <c r="AM210" s="670"/>
      <c r="AN210" s="670"/>
      <c r="AO210" s="670"/>
      <c r="AP210" s="670"/>
      <c r="AQ210" s="670"/>
      <c r="AR210" s="670"/>
      <c r="AS210" s="670"/>
      <c r="AT210" s="670"/>
      <c r="AU210" s="670"/>
      <c r="AV210" s="670"/>
      <c r="AW210" s="670"/>
      <c r="AX210" s="670"/>
      <c r="AY210" s="670"/>
      <c r="BD210" s="669"/>
      <c r="BN210" s="36" t="s">
        <v>48</v>
      </c>
      <c r="BT210" s="55" t="s">
        <v>203</v>
      </c>
    </row>
    <row r="211" spans="1:96" ht="12.95" customHeight="1">
      <c r="A211" s="708"/>
      <c r="B211" s="708"/>
      <c r="C211" s="45"/>
      <c r="D211" s="708" t="s">
        <v>1392</v>
      </c>
      <c r="E211" s="708"/>
      <c r="F211" s="708"/>
      <c r="G211" s="708"/>
      <c r="H211" s="708"/>
      <c r="I211" s="708"/>
      <c r="J211" s="708"/>
      <c r="K211" s="708"/>
      <c r="L211" s="708"/>
      <c r="M211" s="708"/>
      <c r="N211" s="708"/>
      <c r="O211" s="708"/>
      <c r="P211" s="708"/>
      <c r="Q211" s="708"/>
      <c r="R211" s="708"/>
      <c r="S211" s="708"/>
      <c r="T211" s="708"/>
      <c r="U211" s="708"/>
      <c r="V211" s="708"/>
      <c r="W211" s="708"/>
      <c r="X211" s="708"/>
      <c r="Y211" s="2095">
        <v>69</v>
      </c>
      <c r="Z211" s="2095"/>
      <c r="AA211" s="708"/>
      <c r="AB211" s="2285">
        <f>IFERROR(Y211/AG439,"")</f>
        <v>1</v>
      </c>
      <c r="AC211" s="2286"/>
      <c r="AD211" s="708"/>
      <c r="AE211" s="708"/>
      <c r="AF211" s="708"/>
      <c r="AG211" s="708"/>
      <c r="AH211" s="708"/>
      <c r="AI211" s="708"/>
      <c r="AJ211" s="670"/>
      <c r="AK211" s="670"/>
      <c r="AL211" s="670"/>
      <c r="AM211" s="670"/>
      <c r="AN211" s="670"/>
      <c r="AO211" s="670"/>
      <c r="AP211" s="670"/>
      <c r="AQ211" s="670"/>
      <c r="AR211" s="670"/>
      <c r="AS211" s="670"/>
      <c r="AT211" s="670"/>
      <c r="AU211" s="670"/>
      <c r="AV211" s="670"/>
      <c r="AW211" s="670"/>
      <c r="AX211" s="670"/>
      <c r="AY211" s="670"/>
      <c r="BN211" s="36" t="s">
        <v>130</v>
      </c>
      <c r="BT211" s="55" t="s">
        <v>131</v>
      </c>
    </row>
    <row r="212" spans="1:96" ht="12.95" customHeight="1">
      <c r="D212" s="1843" t="s">
        <v>1805</v>
      </c>
      <c r="E212" s="708"/>
      <c r="F212" s="708"/>
      <c r="G212" s="708"/>
      <c r="H212" s="708"/>
      <c r="I212" s="708"/>
      <c r="J212" s="708"/>
      <c r="K212" s="708"/>
      <c r="L212" s="708"/>
      <c r="M212" s="708"/>
      <c r="N212" s="708"/>
      <c r="O212" s="708"/>
      <c r="P212" s="708"/>
      <c r="Q212" s="708"/>
      <c r="R212" s="708"/>
      <c r="S212" s="708"/>
      <c r="T212" s="708"/>
      <c r="U212" s="708"/>
      <c r="V212" s="708"/>
      <c r="W212" s="708"/>
      <c r="X212" s="708"/>
      <c r="Y212" s="708"/>
      <c r="Z212" s="708"/>
      <c r="AG212" s="3"/>
      <c r="AJ212" s="3"/>
      <c r="AK212" s="3"/>
      <c r="AL212" s="3"/>
      <c r="AM212" s="670"/>
      <c r="AN212" s="670"/>
      <c r="AO212" s="670"/>
      <c r="AP212" s="670"/>
      <c r="AQ212" s="670"/>
      <c r="AR212" s="670"/>
      <c r="AS212" s="670"/>
      <c r="AT212" s="670"/>
      <c r="AU212" s="670"/>
      <c r="AV212" s="670"/>
      <c r="AW212" s="670"/>
      <c r="AX212" s="670"/>
      <c r="AY212" s="670"/>
      <c r="BC212" s="472" t="s">
        <v>308</v>
      </c>
      <c r="BN212" s="36" t="s">
        <v>49</v>
      </c>
      <c r="BT212" s="55" t="s">
        <v>204</v>
      </c>
    </row>
    <row r="213" spans="1:96" s="708" customFormat="1" ht="12.95" customHeight="1">
      <c r="D213" s="2188" t="s">
        <v>600</v>
      </c>
      <c r="E213" s="2188"/>
      <c r="F213" s="2188"/>
      <c r="G213" s="2188"/>
      <c r="H213" s="2188"/>
      <c r="I213" s="2188"/>
      <c r="J213" s="2188"/>
      <c r="K213" s="2188"/>
      <c r="L213" s="2188"/>
      <c r="M213" s="2188"/>
      <c r="N213" s="2188"/>
      <c r="O213" s="2188"/>
      <c r="P213" s="2188"/>
      <c r="Q213" s="2188"/>
      <c r="R213" s="2188"/>
      <c r="S213" s="2188"/>
      <c r="T213" s="2188"/>
      <c r="U213" s="2188"/>
      <c r="V213" s="2188"/>
      <c r="W213" s="2188"/>
      <c r="X213" s="2188"/>
      <c r="Y213" s="2188"/>
      <c r="Z213" s="2188"/>
      <c r="AG213" s="670"/>
      <c r="AJ213" s="670"/>
      <c r="AK213" s="670"/>
      <c r="AL213" s="670"/>
      <c r="AM213" s="670"/>
      <c r="AN213" s="670"/>
      <c r="AO213" s="670"/>
      <c r="AP213" s="670"/>
      <c r="AQ213" s="670"/>
      <c r="AR213" s="670"/>
      <c r="AS213" s="670"/>
      <c r="AT213" s="670"/>
      <c r="AU213" s="670"/>
      <c r="AV213" s="670"/>
      <c r="AW213" s="670"/>
      <c r="AX213" s="670"/>
      <c r="AY213" s="670"/>
      <c r="BC213" s="12" t="s">
        <v>535</v>
      </c>
      <c r="BN213" s="36" t="s">
        <v>50</v>
      </c>
      <c r="BT213" s="55" t="s">
        <v>205</v>
      </c>
      <c r="CR213" s="25"/>
    </row>
    <row r="214" spans="1:96" ht="12.95" customHeight="1">
      <c r="A214" s="708"/>
      <c r="B214" s="708"/>
      <c r="C214" s="708"/>
      <c r="D214" s="58" t="s">
        <v>1832</v>
      </c>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69"/>
      <c r="AA214" s="708"/>
      <c r="AB214" s="2187">
        <v>62</v>
      </c>
      <c r="AC214" s="2187"/>
      <c r="AD214" s="2187"/>
      <c r="AE214" s="2187"/>
      <c r="AF214" s="2187"/>
      <c r="AG214" s="2187"/>
      <c r="AH214" s="2187"/>
      <c r="AI214" s="2187"/>
      <c r="AJ214" s="2187"/>
      <c r="AK214" s="2187"/>
      <c r="AL214" s="2187"/>
      <c r="AM214" s="46"/>
      <c r="AN214" s="46"/>
      <c r="AO214" s="46"/>
      <c r="AP214" s="46"/>
      <c r="AQ214" s="46"/>
      <c r="AR214" s="46"/>
      <c r="AS214" s="46"/>
      <c r="AT214" s="46"/>
      <c r="AU214" s="46"/>
      <c r="AV214" s="46"/>
      <c r="AW214" s="46"/>
      <c r="AX214" s="46"/>
      <c r="AY214" s="46"/>
      <c r="AZ214" s="708"/>
      <c r="BA214" s="708"/>
      <c r="BC214" s="12" t="s">
        <v>539</v>
      </c>
      <c r="BN214" s="36" t="s">
        <v>327</v>
      </c>
      <c r="BT214" s="55" t="s">
        <v>206</v>
      </c>
    </row>
    <row r="215" spans="1:96" s="708" customFormat="1" ht="12.95" customHeight="1">
      <c r="A215" s="12"/>
      <c r="B215" s="12"/>
      <c r="C215" s="12"/>
      <c r="D215" s="58" t="s">
        <v>1830</v>
      </c>
      <c r="Z215" s="69"/>
      <c r="AB215" s="2187"/>
      <c r="AC215" s="2187"/>
      <c r="AD215" s="2187"/>
      <c r="AE215" s="2187"/>
      <c r="AF215" s="2187"/>
      <c r="AG215" s="2187"/>
      <c r="AH215" s="2187"/>
      <c r="AI215" s="2187"/>
      <c r="AJ215" s="2187"/>
      <c r="AK215" s="2187"/>
      <c r="AL215" s="2187"/>
      <c r="AM215" s="46"/>
      <c r="AN215" s="46"/>
      <c r="AO215" s="46"/>
      <c r="AP215" s="46"/>
      <c r="AQ215" s="46"/>
      <c r="AR215" s="46"/>
      <c r="AS215" s="46"/>
      <c r="AT215" s="46"/>
      <c r="AU215" s="46"/>
      <c r="AV215" s="46"/>
      <c r="AW215" s="46"/>
      <c r="AX215" s="46"/>
      <c r="AY215" s="46"/>
      <c r="BC215" s="39" t="s">
        <v>536</v>
      </c>
      <c r="CR215" s="25"/>
    </row>
    <row r="216" spans="1:96" s="708" customFormat="1" ht="12.9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575</v>
      </c>
      <c r="CR216" s="25"/>
    </row>
    <row r="217" spans="1:96" s="708" customFormat="1" ht="12.95" customHeight="1">
      <c r="A217" s="495" t="s">
        <v>601</v>
      </c>
      <c r="B217" s="39"/>
      <c r="C217" s="495" t="s">
        <v>1367</v>
      </c>
      <c r="D217" s="85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0"/>
      <c r="AH217" s="39"/>
      <c r="AI217" s="39"/>
      <c r="AJ217" s="670"/>
      <c r="AK217" s="670"/>
      <c r="AL217" s="670"/>
      <c r="AM217" s="670"/>
      <c r="AN217" s="670"/>
      <c r="AO217" s="670"/>
      <c r="AP217" s="670"/>
      <c r="AQ217" s="670"/>
      <c r="AR217" s="670"/>
      <c r="AS217" s="670"/>
      <c r="AT217" s="670"/>
      <c r="AU217" s="670"/>
      <c r="AV217" s="670"/>
      <c r="AW217" s="670"/>
      <c r="AX217" s="670"/>
      <c r="AY217" s="670"/>
      <c r="BC217" s="12" t="s">
        <v>537</v>
      </c>
      <c r="CR217" s="25"/>
    </row>
    <row r="218" spans="1:96" ht="12.95" customHeight="1">
      <c r="A218" s="50"/>
      <c r="C218" s="50"/>
      <c r="D218" s="7" t="s">
        <v>1040</v>
      </c>
      <c r="AA218" s="708"/>
      <c r="AB218" s="708"/>
      <c r="AC218" s="708"/>
      <c r="AD218" s="708"/>
      <c r="AE218" s="708"/>
      <c r="AF218" s="708"/>
      <c r="AG218" s="670"/>
      <c r="AH218" s="708"/>
      <c r="AI218" s="708"/>
      <c r="AJ218" s="670"/>
      <c r="AK218" s="670"/>
      <c r="AL218" s="670"/>
      <c r="AM218" s="670"/>
      <c r="AN218" s="670"/>
      <c r="AO218" s="670"/>
      <c r="AP218" s="670"/>
      <c r="AQ218" s="670"/>
      <c r="AR218" s="670"/>
      <c r="AS218" s="670"/>
      <c r="AT218" s="670"/>
      <c r="AU218" s="670"/>
      <c r="AV218" s="670"/>
      <c r="AW218" s="670"/>
      <c r="AX218" s="670"/>
      <c r="AY218" s="670"/>
      <c r="AZ218" s="708"/>
      <c r="BC218" s="12" t="s">
        <v>538</v>
      </c>
    </row>
    <row r="219" spans="1:96" s="39" customFormat="1" ht="12.95" customHeight="1">
      <c r="A219" s="50"/>
      <c r="B219" s="12"/>
      <c r="C219" s="50"/>
      <c r="D219" s="2162" t="s">
        <v>1127</v>
      </c>
      <c r="E219" s="2162"/>
      <c r="F219" s="2162"/>
      <c r="G219" s="2162"/>
      <c r="H219" s="2162"/>
      <c r="I219" s="2162"/>
      <c r="J219" s="2162"/>
      <c r="K219" s="2162"/>
      <c r="L219" s="2162"/>
      <c r="M219" s="2162"/>
      <c r="N219" s="2162"/>
      <c r="O219" s="2162"/>
      <c r="P219" s="2162"/>
      <c r="Q219" s="2162"/>
      <c r="R219" s="2162"/>
      <c r="S219" s="2162"/>
      <c r="T219" s="2162"/>
      <c r="U219" s="2162"/>
      <c r="V219" s="2162"/>
      <c r="W219" s="2162"/>
      <c r="X219" s="2162"/>
      <c r="Y219" s="2162"/>
      <c r="Z219" s="2162"/>
      <c r="AA219" s="708"/>
      <c r="AB219" s="708"/>
      <c r="AC219" s="708"/>
      <c r="AD219" s="708"/>
      <c r="AE219" s="708"/>
      <c r="AF219" s="708"/>
      <c r="AG219" s="670"/>
      <c r="AH219" s="708"/>
      <c r="AI219" s="708"/>
      <c r="AJ219" s="670"/>
      <c r="AK219" s="670"/>
      <c r="AL219" s="670"/>
      <c r="AM219" s="670"/>
      <c r="AN219" s="670"/>
      <c r="AO219" s="670"/>
      <c r="AP219" s="670"/>
      <c r="AQ219" s="670"/>
      <c r="AR219" s="670"/>
      <c r="AS219" s="670"/>
      <c r="AT219" s="670"/>
      <c r="AU219" s="670"/>
      <c r="AV219" s="670"/>
      <c r="AW219" s="670"/>
      <c r="AX219" s="670"/>
      <c r="AY219" s="670"/>
      <c r="AZ219" s="238"/>
      <c r="BA219" s="238"/>
      <c r="BC219" s="12" t="s">
        <v>378</v>
      </c>
      <c r="CR219" s="670"/>
    </row>
    <row r="220" spans="1:96" ht="12.95" customHeight="1">
      <c r="A220" s="50"/>
      <c r="B220" s="51"/>
      <c r="C220" s="50"/>
      <c r="AA220" s="708"/>
      <c r="AB220" s="708"/>
      <c r="AC220" s="708"/>
      <c r="AD220" s="708"/>
      <c r="AE220" s="708"/>
      <c r="AF220" s="708"/>
      <c r="AG220" s="670"/>
      <c r="AH220" s="708"/>
      <c r="AI220" s="708"/>
      <c r="AJ220" s="670"/>
      <c r="AK220" s="670"/>
      <c r="AL220" s="670"/>
      <c r="AM220" s="670"/>
      <c r="AN220" s="670"/>
      <c r="AO220" s="670"/>
      <c r="AP220" s="670"/>
      <c r="AQ220" s="670"/>
      <c r="AR220" s="670"/>
      <c r="AS220" s="670"/>
      <c r="AT220" s="670"/>
      <c r="AU220" s="670"/>
      <c r="AV220" s="670"/>
      <c r="AW220" s="670"/>
      <c r="AX220" s="670"/>
      <c r="AY220" s="670"/>
      <c r="BA220" s="58"/>
      <c r="BC220" s="12" t="s">
        <v>301</v>
      </c>
    </row>
    <row r="221" spans="1:96" ht="12.95" customHeight="1">
      <c r="A221" s="2176" t="s">
        <v>549</v>
      </c>
      <c r="B221" s="2176"/>
      <c r="C221" s="2176"/>
      <c r="D221" s="2176"/>
      <c r="E221" s="2176"/>
      <c r="F221" s="2176"/>
      <c r="G221" s="2176"/>
      <c r="H221" s="2176"/>
      <c r="I221" s="2176"/>
      <c r="J221" s="2176"/>
      <c r="K221" s="2176"/>
      <c r="L221" s="2176"/>
      <c r="M221" s="2176"/>
      <c r="N221" s="2176"/>
      <c r="O221" s="2176"/>
      <c r="P221" s="2176"/>
      <c r="Q221" s="2176"/>
      <c r="R221" s="2176"/>
      <c r="S221" s="2176"/>
      <c r="T221" s="2176"/>
      <c r="U221" s="2176"/>
      <c r="V221" s="2176"/>
      <c r="W221" s="2176"/>
      <c r="X221" s="2176"/>
      <c r="Y221" s="2176"/>
      <c r="Z221" s="2176"/>
      <c r="AA221" s="2176"/>
      <c r="AB221" s="2176"/>
      <c r="AC221" s="2176"/>
      <c r="AD221" s="2176"/>
      <c r="AE221" s="2176"/>
      <c r="AF221" s="2176"/>
      <c r="AG221" s="2176"/>
      <c r="AH221" s="2176"/>
      <c r="AI221" s="2176"/>
      <c r="AJ221" s="2176"/>
      <c r="AK221" s="2176"/>
      <c r="AL221" s="2176"/>
      <c r="AM221" s="144"/>
      <c r="AN221" s="144"/>
      <c r="AO221" s="144"/>
      <c r="AP221" s="144"/>
      <c r="AQ221" s="144"/>
      <c r="AR221" s="144"/>
      <c r="AS221" s="144"/>
      <c r="AT221" s="144"/>
      <c r="AU221" s="144"/>
      <c r="AV221" s="144"/>
      <c r="AW221" s="144"/>
      <c r="AX221" s="144"/>
      <c r="AY221" s="144"/>
      <c r="BA221" s="58"/>
    </row>
    <row r="222" spans="1:96" ht="12.95" customHeight="1" thickBot="1">
      <c r="A222" s="2177"/>
      <c r="B222" s="2177"/>
      <c r="C222" s="2177"/>
      <c r="D222" s="2177"/>
      <c r="E222" s="2177"/>
      <c r="F222" s="2177"/>
      <c r="G222" s="2177"/>
      <c r="H222" s="2177"/>
      <c r="I222" s="2177"/>
      <c r="J222" s="2177"/>
      <c r="K222" s="2177"/>
      <c r="L222" s="2177"/>
      <c r="M222" s="2177"/>
      <c r="N222" s="2177"/>
      <c r="O222" s="2177"/>
      <c r="P222" s="2177"/>
      <c r="Q222" s="2177"/>
      <c r="R222" s="2177"/>
      <c r="S222" s="2177"/>
      <c r="T222" s="2177"/>
      <c r="U222" s="2177"/>
      <c r="V222" s="2177"/>
      <c r="W222" s="2177"/>
      <c r="X222" s="2177"/>
      <c r="Y222" s="2177"/>
      <c r="Z222" s="2177"/>
      <c r="AA222" s="2177"/>
      <c r="AB222" s="2177"/>
      <c r="AC222" s="2177"/>
      <c r="AD222" s="2177"/>
      <c r="AE222" s="2177"/>
      <c r="AF222" s="2177"/>
      <c r="AG222" s="2177"/>
      <c r="AH222" s="2177"/>
      <c r="AI222" s="2177"/>
      <c r="AJ222" s="2177"/>
      <c r="AK222" s="2177"/>
      <c r="AL222" s="2177"/>
      <c r="AM222" s="144"/>
      <c r="AN222" s="144"/>
      <c r="AO222" s="144"/>
      <c r="AP222" s="144"/>
      <c r="AQ222" s="144"/>
      <c r="AR222" s="144"/>
      <c r="AS222" s="144"/>
      <c r="AT222" s="144"/>
      <c r="AU222" s="144"/>
      <c r="AV222" s="144"/>
      <c r="AW222" s="144"/>
      <c r="AX222" s="144"/>
      <c r="AY222" s="144"/>
      <c r="AZ222" s="58"/>
      <c r="BA222" s="58"/>
      <c r="BP222" s="61"/>
    </row>
    <row r="223" spans="1:96" ht="12.95" customHeight="1" thickTop="1">
      <c r="A223" s="25"/>
      <c r="B223" s="25"/>
      <c r="C223" s="25"/>
      <c r="D223" s="25"/>
      <c r="E223" s="25"/>
      <c r="F223" s="25"/>
      <c r="G223" s="3"/>
      <c r="H223" s="25"/>
      <c r="BA223" s="58"/>
      <c r="BB223" s="58"/>
      <c r="BQ223" s="61"/>
    </row>
    <row r="224" spans="1:96" ht="12.95" customHeight="1">
      <c r="A224" s="50" t="s">
        <v>320</v>
      </c>
      <c r="B224" s="50"/>
      <c r="C224" s="50" t="s">
        <v>2495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5" customHeight="1">
      <c r="B225" s="30"/>
      <c r="D225" s="7" t="s">
        <v>616</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95" t="s">
        <v>600</v>
      </c>
      <c r="AJ225" s="2095"/>
      <c r="AL225" s="58"/>
      <c r="AM225" s="238"/>
      <c r="AN225" s="238"/>
      <c r="AO225" s="238"/>
      <c r="AP225" s="238"/>
      <c r="AQ225" s="238"/>
      <c r="AR225" s="238"/>
      <c r="AS225" s="238"/>
      <c r="AT225" s="238"/>
      <c r="AU225" s="238"/>
      <c r="AV225" s="238"/>
      <c r="AW225" s="238"/>
      <c r="AX225" s="238"/>
      <c r="AY225" s="238"/>
      <c r="BO225" s="61"/>
    </row>
    <row r="226" spans="1:69" ht="12.95" customHeight="1">
      <c r="B226" s="30"/>
      <c r="D226" s="7" t="s">
        <v>563</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95" t="s">
        <v>554</v>
      </c>
      <c r="AJ226" s="2095"/>
      <c r="AL226" s="58"/>
      <c r="AM226" s="238"/>
      <c r="AN226" s="238"/>
      <c r="AO226" s="238"/>
      <c r="AP226" s="238"/>
      <c r="AQ226" s="238"/>
      <c r="AR226" s="238"/>
      <c r="AS226" s="238"/>
      <c r="AT226" s="238"/>
      <c r="AU226" s="238"/>
      <c r="AV226" s="238"/>
      <c r="AW226" s="238"/>
      <c r="AX226" s="238"/>
      <c r="AY226" s="238"/>
      <c r="AZ226" s="7"/>
      <c r="BB226" s="377" t="s">
        <v>547</v>
      </c>
      <c r="BG226" s="384">
        <f>IF(AND(AND($M$248="for profit",$M$256="for profit",$M$264="nonprofit")),2,0)</f>
        <v>0</v>
      </c>
      <c r="BO226" s="61"/>
    </row>
    <row r="227" spans="1:69" ht="12.95" customHeight="1">
      <c r="B227" s="30"/>
      <c r="D227" s="7" t="s">
        <v>167</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95" t="s">
        <v>554</v>
      </c>
      <c r="AJ227" s="2095"/>
      <c r="AL227" s="58"/>
      <c r="AM227" s="238"/>
      <c r="AN227" s="238"/>
      <c r="AO227" s="238"/>
      <c r="AP227" s="238"/>
      <c r="AQ227" s="238"/>
      <c r="AR227" s="238"/>
      <c r="AS227" s="238"/>
      <c r="AT227" s="238"/>
      <c r="AU227" s="238"/>
      <c r="AV227" s="238"/>
      <c r="AW227" s="238"/>
      <c r="AX227" s="238"/>
      <c r="AY227" s="238"/>
      <c r="BA227" s="58"/>
      <c r="BB227" s="377" t="s">
        <v>547</v>
      </c>
      <c r="BG227" s="384">
        <f>IF(AND(AND($M$248="for profit",$M$256="nonprofit",$M$264="for profit")),2,0)</f>
        <v>0</v>
      </c>
      <c r="BQ227" s="61"/>
    </row>
    <row r="228" spans="1:69" ht="12.95" customHeight="1">
      <c r="B228" s="30"/>
      <c r="D228" s="7" t="s">
        <v>295</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95" t="s">
        <v>600</v>
      </c>
      <c r="AJ228" s="2095"/>
      <c r="AL228" s="58"/>
      <c r="AM228" s="238"/>
      <c r="AN228" s="238"/>
      <c r="AO228" s="238"/>
      <c r="AP228" s="238"/>
      <c r="AQ228" s="238"/>
      <c r="AR228" s="238"/>
      <c r="AS228" s="238"/>
      <c r="AT228" s="238"/>
      <c r="AU228" s="238"/>
      <c r="AV228" s="238"/>
      <c r="AW228" s="238"/>
      <c r="AX228" s="238"/>
      <c r="AY228" s="238"/>
      <c r="AZ228" s="7"/>
      <c r="BA228" s="58"/>
      <c r="BB228" s="378" t="s">
        <v>547</v>
      </c>
      <c r="BG228" s="384">
        <f>IF(AND(AND($M$248="nonprofit",$M$256="for profit",$M$264="for profit")),2,0)</f>
        <v>0</v>
      </c>
      <c r="BQ228" s="61"/>
    </row>
    <row r="229" spans="1:69" ht="12.95" customHeight="1">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78" t="s">
        <v>547</v>
      </c>
      <c r="BG229" s="384">
        <f>IF(AND(AND($M$248="for profit",$M$256="nonprofit",$M$264="(select one)")),2,0)</f>
        <v>0</v>
      </c>
      <c r="BO229" s="61"/>
    </row>
    <row r="230" spans="1:69" ht="12.95" customHeight="1">
      <c r="A230" s="50" t="s">
        <v>585</v>
      </c>
      <c r="B230" s="30"/>
      <c r="C230" s="50" t="s">
        <v>2496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78" t="s">
        <v>547</v>
      </c>
      <c r="BG230" s="383">
        <f>IF(AND(AND($M$248="nonprofit",$M$256="for profit",$M$264="(select one)")),2,0)</f>
        <v>0</v>
      </c>
      <c r="BO230" s="61"/>
    </row>
    <row r="231" spans="1:69" ht="12.95" customHeight="1">
      <c r="D231" s="57" t="s">
        <v>479</v>
      </c>
      <c r="E231" s="57"/>
      <c r="F231" s="57"/>
      <c r="G231" s="57"/>
      <c r="H231" s="57"/>
      <c r="I231" s="57"/>
      <c r="J231" s="57"/>
      <c r="K231" s="7"/>
      <c r="M231" s="2271" t="str">
        <f>H16</f>
        <v>Aloe Palm Canyon, L.P.</v>
      </c>
      <c r="N231" s="2271"/>
      <c r="O231" s="2271"/>
      <c r="P231" s="2271"/>
      <c r="Q231" s="2271"/>
      <c r="R231" s="2271"/>
      <c r="S231" s="2271"/>
      <c r="T231" s="2271"/>
      <c r="U231" s="2271"/>
      <c r="V231" s="2271"/>
      <c r="W231" s="2271"/>
      <c r="X231" s="2271"/>
      <c r="Y231" s="2271"/>
      <c r="Z231" s="2271"/>
      <c r="AA231" s="2271"/>
      <c r="AB231" s="2271"/>
      <c r="AC231" s="2271"/>
      <c r="AD231" s="2271"/>
      <c r="AE231" s="2271"/>
      <c r="AF231" s="2271"/>
      <c r="AG231" s="2271"/>
      <c r="AH231" s="2271"/>
      <c r="AI231" s="2271"/>
      <c r="AJ231" s="2271"/>
      <c r="AK231" s="2271"/>
      <c r="BA231" s="58"/>
      <c r="BB231" s="379"/>
      <c r="BG231" s="382"/>
      <c r="BQ231" s="61"/>
    </row>
    <row r="232" spans="1:69" ht="12.95" customHeight="1">
      <c r="D232" s="57" t="s">
        <v>86</v>
      </c>
      <c r="E232" s="57"/>
      <c r="F232" s="57"/>
      <c r="G232" s="57"/>
      <c r="H232" s="57"/>
      <c r="I232" s="57"/>
      <c r="J232" s="57"/>
      <c r="K232" s="7"/>
      <c r="M232" s="2269" t="s">
        <v>2626</v>
      </c>
      <c r="N232" s="2162"/>
      <c r="O232" s="2162"/>
      <c r="P232" s="2162"/>
      <c r="Q232" s="2162"/>
      <c r="R232" s="2162"/>
      <c r="S232" s="2162"/>
      <c r="T232" s="2162"/>
      <c r="U232" s="2162"/>
      <c r="V232" s="2162"/>
      <c r="W232" s="2162"/>
      <c r="X232" s="2162"/>
      <c r="Y232" s="2162"/>
      <c r="Z232" s="2162"/>
      <c r="AA232" s="2162"/>
      <c r="AB232" s="2162"/>
      <c r="AC232" s="2162"/>
      <c r="AD232" s="2162"/>
      <c r="AE232" s="2162"/>
      <c r="AZ232" s="7"/>
      <c r="BA232" s="58"/>
      <c r="BB232" s="333" t="s">
        <v>547</v>
      </c>
      <c r="BG232" s="384">
        <f>IF(AND(AND($M$248="nonprofit",$M$256="nonprofit",$M$264="for profit")),2,0)</f>
        <v>0</v>
      </c>
      <c r="BQ232" s="61"/>
    </row>
    <row r="233" spans="1:69" ht="12.95" customHeight="1">
      <c r="D233" s="57" t="s">
        <v>589</v>
      </c>
      <c r="E233" s="57"/>
      <c r="M233" s="2269" t="s">
        <v>2627</v>
      </c>
      <c r="N233" s="2162"/>
      <c r="O233" s="2162"/>
      <c r="P233" s="2162"/>
      <c r="Q233" s="2162"/>
      <c r="R233" s="2162"/>
      <c r="S233" s="2162"/>
      <c r="T233" s="2162"/>
      <c r="V233" s="59" t="s">
        <v>87</v>
      </c>
      <c r="W233" s="2279" t="s">
        <v>2628</v>
      </c>
      <c r="X233" s="2167"/>
      <c r="Y233" s="57" t="s">
        <v>592</v>
      </c>
      <c r="AC233" s="2162">
        <v>90046</v>
      </c>
      <c r="AD233" s="2162"/>
      <c r="AE233" s="2162"/>
      <c r="BB233" s="333" t="s">
        <v>547</v>
      </c>
      <c r="BG233" s="384">
        <f>IF(AND(AND($M$248="nonprofit",$M$256="for profit",$M$264="nonprofit")),2,0)</f>
        <v>0</v>
      </c>
    </row>
    <row r="234" spans="1:69" ht="12.95" customHeight="1">
      <c r="D234" s="60" t="s">
        <v>88</v>
      </c>
      <c r="E234" s="7"/>
      <c r="F234" s="7"/>
      <c r="G234" s="7"/>
      <c r="H234" s="7"/>
      <c r="I234" s="7"/>
      <c r="J234" s="7"/>
      <c r="K234" s="29"/>
      <c r="M234" s="2269" t="s">
        <v>2629</v>
      </c>
      <c r="N234" s="2162"/>
      <c r="O234" s="2162"/>
      <c r="P234" s="2162"/>
      <c r="Q234" s="2162"/>
      <c r="R234" s="2162"/>
      <c r="S234" s="2162"/>
      <c r="T234" s="2162"/>
      <c r="U234" s="2162"/>
      <c r="V234" s="2162"/>
      <c r="W234" s="2162"/>
      <c r="X234" s="2162"/>
      <c r="Y234" s="2162"/>
      <c r="Z234" s="2162"/>
      <c r="AA234" s="2162"/>
      <c r="AB234" s="2162"/>
      <c r="AC234" s="2162"/>
      <c r="AD234" s="2162"/>
      <c r="AE234" s="2162"/>
      <c r="AI234" s="7"/>
      <c r="AJ234" s="7"/>
      <c r="AK234" s="7"/>
      <c r="AL234" s="7"/>
      <c r="AM234" s="130"/>
      <c r="AN234" s="130"/>
      <c r="AO234" s="130"/>
      <c r="AP234" s="130"/>
      <c r="AQ234" s="130"/>
      <c r="AR234" s="130"/>
      <c r="AS234" s="130"/>
      <c r="AT234" s="130"/>
      <c r="AU234" s="130"/>
      <c r="AV234" s="130"/>
      <c r="AW234" s="130"/>
      <c r="AX234" s="130"/>
      <c r="AY234" s="130"/>
      <c r="AZ234" s="7"/>
      <c r="BB234" s="333" t="s">
        <v>547</v>
      </c>
      <c r="BG234" s="383">
        <f>IF(AND(AND($M$248="for profit",$M$256="nonprofit",$M$264="nonprofit")),2,0)</f>
        <v>0</v>
      </c>
      <c r="BO234" s="61"/>
    </row>
    <row r="235" spans="1:69" ht="12.95" customHeight="1">
      <c r="D235" s="60" t="s">
        <v>89</v>
      </c>
      <c r="E235" s="7"/>
      <c r="F235" s="7"/>
      <c r="M235" s="2239" t="s">
        <v>2630</v>
      </c>
      <c r="N235" s="2159"/>
      <c r="O235" s="2159"/>
      <c r="P235" s="2159"/>
      <c r="Q235" s="2159"/>
      <c r="R235" s="2159"/>
      <c r="S235" s="7" t="s">
        <v>207</v>
      </c>
      <c r="T235" s="7"/>
      <c r="U235" s="2167">
        <v>127</v>
      </c>
      <c r="V235" s="2167"/>
      <c r="W235" s="2167"/>
      <c r="X235" s="7" t="s">
        <v>90</v>
      </c>
      <c r="Z235" s="2239" t="s">
        <v>2631</v>
      </c>
      <c r="AA235" s="2159"/>
      <c r="AB235" s="2159"/>
      <c r="AC235" s="2159"/>
      <c r="AD235" s="2159"/>
      <c r="AE235" s="2159"/>
      <c r="BB235" s="380"/>
      <c r="BG235" s="381"/>
    </row>
    <row r="236" spans="1:69" ht="12.95" customHeight="1">
      <c r="D236" s="60" t="s">
        <v>91</v>
      </c>
      <c r="E236" s="7"/>
      <c r="F236" s="7"/>
      <c r="M236" s="2165" t="s">
        <v>2632</v>
      </c>
      <c r="N236" s="2165"/>
      <c r="O236" s="2165"/>
      <c r="P236" s="2165"/>
      <c r="Q236" s="2165"/>
      <c r="R236" s="2165"/>
      <c r="S236" s="2165"/>
      <c r="T236" s="2165"/>
      <c r="U236" s="2165"/>
      <c r="V236" s="2165"/>
      <c r="W236" s="2165"/>
      <c r="X236" s="2165"/>
      <c r="Y236" s="2165"/>
      <c r="Z236" s="2165"/>
      <c r="AA236" s="2165"/>
      <c r="AB236" s="2165"/>
      <c r="AC236" s="2165"/>
      <c r="AD236" s="2165"/>
      <c r="AE236" s="216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546</v>
      </c>
      <c r="BG236" s="384">
        <f>IF(AND(AND($M$248="nonprofit",$M$256="nonprofit",$M$264="(select one)")),1,0)</f>
        <v>0</v>
      </c>
    </row>
    <row r="237" spans="1:69" ht="12.95" customHeight="1">
      <c r="A237" s="50" t="s">
        <v>595</v>
      </c>
      <c r="C237" s="37" t="s">
        <v>534</v>
      </c>
      <c r="M237" s="2091" t="s">
        <v>537</v>
      </c>
      <c r="N237" s="2091"/>
      <c r="O237" s="2091"/>
      <c r="P237" s="2091"/>
      <c r="Q237" s="2091"/>
      <c r="R237" s="2091"/>
      <c r="S237" s="2091"/>
      <c r="T237" s="2091"/>
      <c r="U237" s="382" t="s">
        <v>939</v>
      </c>
      <c r="V237" s="324"/>
      <c r="W237" s="324"/>
      <c r="X237" s="324"/>
      <c r="Y237" s="324"/>
      <c r="Z237" s="324"/>
      <c r="AA237" s="2284" t="s">
        <v>2633</v>
      </c>
      <c r="AB237" s="2169"/>
      <c r="AC237" s="2169"/>
      <c r="AD237" s="2169"/>
      <c r="AE237" s="2169"/>
      <c r="AF237" s="2169"/>
      <c r="AG237" s="2169"/>
      <c r="AH237" s="2169"/>
      <c r="AI237" s="2169"/>
      <c r="AJ237" s="2169"/>
      <c r="AK237" s="2169"/>
      <c r="AL237" s="58"/>
      <c r="AM237" s="238"/>
      <c r="AN237" s="238"/>
      <c r="AO237" s="238"/>
      <c r="AP237" s="238"/>
      <c r="AQ237" s="238"/>
      <c r="AR237" s="238"/>
      <c r="AS237" s="238"/>
      <c r="AT237" s="238"/>
      <c r="AU237" s="238"/>
      <c r="AV237" s="238"/>
      <c r="AW237" s="238"/>
      <c r="AX237" s="238"/>
      <c r="AY237" s="238"/>
      <c r="BB237" s="378" t="s">
        <v>546</v>
      </c>
      <c r="BG237" s="384">
        <f>IF(AND(AND($M$248="nonprofit",$M$256="nonprofit",$M$264="nonprofit")),1,0)</f>
        <v>0</v>
      </c>
    </row>
    <row r="238" spans="1:69" ht="12.95" customHeight="1">
      <c r="D238" s="12" t="s">
        <v>540</v>
      </c>
      <c r="M238" s="2113"/>
      <c r="N238" s="2113"/>
      <c r="O238" s="2113"/>
      <c r="P238" s="2113"/>
      <c r="Q238" s="2113"/>
      <c r="R238" s="2113"/>
      <c r="S238" s="2113"/>
      <c r="T238" s="2113"/>
      <c r="U238" s="2113"/>
      <c r="V238" s="2113"/>
      <c r="W238" s="2113"/>
      <c r="X238" s="2113"/>
      <c r="Y238" s="2113"/>
      <c r="Z238" s="2113"/>
      <c r="AA238" s="2113"/>
      <c r="AB238" s="2113"/>
      <c r="AC238" s="2113"/>
      <c r="AD238" s="2113"/>
      <c r="AE238" s="2113"/>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78" t="s">
        <v>546</v>
      </c>
      <c r="BG238" s="384">
        <f>IF(AND(AND($M$248="nonprofit",$M$256="(select one)",$M$264="(select one)")),1,0)</f>
        <v>1</v>
      </c>
      <c r="BN238" s="61"/>
    </row>
    <row r="239" spans="1:69" ht="12.95" customHeight="1">
      <c r="D239" s="60"/>
      <c r="K239" s="3"/>
      <c r="BB239" s="378" t="s">
        <v>906</v>
      </c>
      <c r="BG239" s="384">
        <f>IF(AND(AND($M$248="for profit",$M$256="for profit",$M$264="(select one)")),3,0)</f>
        <v>0</v>
      </c>
    </row>
    <row r="240" spans="1:69" ht="12.95" customHeight="1">
      <c r="A240" s="50" t="s">
        <v>598</v>
      </c>
      <c r="C240" s="50" t="s">
        <v>1325</v>
      </c>
      <c r="D240" s="60"/>
      <c r="K240" s="3"/>
      <c r="L240" s="14"/>
      <c r="M240" s="14"/>
      <c r="N240" s="14"/>
      <c r="BB240" s="378" t="s">
        <v>906</v>
      </c>
      <c r="BG240" s="384">
        <f>IF(AND(AND($M$248="for profit",$M$256="for profit",$M$264="for profit")),3,0)</f>
        <v>0</v>
      </c>
    </row>
    <row r="241" spans="1:72" ht="12.95" customHeight="1">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78" t="s">
        <v>906</v>
      </c>
      <c r="BG241" s="384">
        <f>IF(AND(AND($M$248="for profit",$M$256="(select one)",$M$264="(select one)")),3,0)</f>
        <v>0</v>
      </c>
    </row>
    <row r="242" spans="1:72" ht="12.95" customHeight="1">
      <c r="A242" s="29"/>
      <c r="B242" s="7"/>
      <c r="C242" s="136" t="s">
        <v>482</v>
      </c>
      <c r="D242" s="57" t="s">
        <v>541</v>
      </c>
      <c r="E242" s="57"/>
      <c r="F242" s="57"/>
      <c r="G242" s="57"/>
      <c r="H242" s="57"/>
      <c r="I242" s="57"/>
      <c r="J242" s="57"/>
      <c r="K242" s="57"/>
      <c r="L242" s="7"/>
      <c r="M242" s="2263" t="s">
        <v>2790</v>
      </c>
      <c r="N242" s="2168"/>
      <c r="O242" s="2168"/>
      <c r="P242" s="2168"/>
      <c r="Q242" s="2168"/>
      <c r="R242" s="2168"/>
      <c r="S242" s="2168"/>
      <c r="T242" s="2168"/>
      <c r="U242" s="2168"/>
      <c r="V242" s="2168"/>
      <c r="W242" s="2168"/>
      <c r="X242" s="2168"/>
      <c r="Y242" s="2168"/>
      <c r="Z242" s="2168"/>
      <c r="AA242" s="2168"/>
      <c r="AB242" s="2168"/>
      <c r="AC242" s="2168"/>
      <c r="AD242" s="2168"/>
      <c r="AE242" s="2168"/>
      <c r="AF242" s="2168" t="s">
        <v>2634</v>
      </c>
      <c r="AG242" s="2168"/>
      <c r="AH242" s="2168"/>
      <c r="AI242" s="2168"/>
      <c r="AJ242" s="2168"/>
      <c r="AK242" s="2168"/>
      <c r="BM242" s="25"/>
      <c r="BN242" s="3"/>
      <c r="BO242" s="385"/>
      <c r="BP242" s="375"/>
      <c r="BQ242" s="375"/>
      <c r="BR242" s="375"/>
      <c r="BS242" s="375"/>
      <c r="BT242" s="25"/>
    </row>
    <row r="243" spans="1:72" ht="12.95" customHeight="1">
      <c r="A243" s="29"/>
      <c r="B243" s="7"/>
      <c r="C243" s="7"/>
      <c r="D243" s="57" t="s">
        <v>86</v>
      </c>
      <c r="E243" s="57"/>
      <c r="F243" s="57"/>
      <c r="G243" s="57"/>
      <c r="H243" s="57"/>
      <c r="I243" s="57"/>
      <c r="J243" s="57"/>
      <c r="K243" s="57"/>
      <c r="L243" s="7"/>
      <c r="M243" s="2162" t="str">
        <f>M232</f>
        <v>7530 Santa Monica Blvd</v>
      </c>
      <c r="N243" s="2162"/>
      <c r="O243" s="2162"/>
      <c r="P243" s="2162"/>
      <c r="Q243" s="2162"/>
      <c r="R243" s="2162"/>
      <c r="S243" s="2162"/>
      <c r="T243" s="2162"/>
      <c r="U243" s="2162"/>
      <c r="V243" s="2162"/>
      <c r="W243" s="2162"/>
      <c r="X243" s="2162"/>
      <c r="Y243" s="2162"/>
      <c r="Z243" s="2162"/>
      <c r="AA243" s="2162"/>
      <c r="AB243" s="2162"/>
      <c r="AC243" s="2162"/>
      <c r="AD243" s="2162"/>
      <c r="AE243" s="2162"/>
      <c r="AF243" s="58" t="s">
        <v>1321</v>
      </c>
      <c r="AG243" s="708"/>
      <c r="AH243" s="708"/>
      <c r="AI243" s="708"/>
      <c r="AJ243" s="708"/>
      <c r="AK243" s="708"/>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95" customHeight="1">
      <c r="A244" s="29"/>
      <c r="B244" s="7"/>
      <c r="C244" s="7"/>
      <c r="D244" s="57" t="s">
        <v>589</v>
      </c>
      <c r="E244" s="57"/>
      <c r="M244" s="2162" t="str">
        <f>M233</f>
        <v>West Hollywood</v>
      </c>
      <c r="N244" s="2162"/>
      <c r="O244" s="2162"/>
      <c r="P244" s="2162"/>
      <c r="Q244" s="2162"/>
      <c r="R244" s="2162"/>
      <c r="S244" s="2162"/>
      <c r="T244" s="2162"/>
      <c r="V244" s="59" t="s">
        <v>87</v>
      </c>
      <c r="W244" s="2167" t="str">
        <f>W233</f>
        <v>CA</v>
      </c>
      <c r="X244" s="2167"/>
      <c r="Y244" s="57" t="s">
        <v>592</v>
      </c>
      <c r="AC244" s="2162">
        <f>AC233</f>
        <v>90046</v>
      </c>
      <c r="AD244" s="2162"/>
      <c r="AE244" s="2162"/>
      <c r="AF244" s="58" t="s">
        <v>1322</v>
      </c>
      <c r="AG244" s="708"/>
      <c r="AH244" s="708"/>
      <c r="AI244" s="708"/>
      <c r="AJ244" s="708"/>
      <c r="AK244" s="708"/>
      <c r="BB244" s="12" t="s">
        <v>308</v>
      </c>
      <c r="BG244" s="12">
        <v>1</v>
      </c>
      <c r="BH244" s="12" t="s">
        <v>543</v>
      </c>
      <c r="BM244" s="25"/>
      <c r="BN244" s="3"/>
      <c r="BO244" s="3"/>
    </row>
    <row r="245" spans="1:72" ht="12.95" customHeight="1">
      <c r="A245" s="29"/>
      <c r="B245" s="7"/>
      <c r="C245" s="7"/>
      <c r="D245" s="60" t="s">
        <v>88</v>
      </c>
      <c r="E245" s="7"/>
      <c r="F245" s="7"/>
      <c r="G245" s="7"/>
      <c r="H245" s="7"/>
      <c r="I245" s="7"/>
      <c r="J245" s="7"/>
      <c r="K245" s="7"/>
      <c r="L245" s="29"/>
      <c r="M245" s="2162" t="str">
        <f>M234</f>
        <v>Sergio Rosas</v>
      </c>
      <c r="N245" s="2162"/>
      <c r="O245" s="2162"/>
      <c r="P245" s="2162"/>
      <c r="Q245" s="2162"/>
      <c r="R245" s="2162"/>
      <c r="S245" s="2162"/>
      <c r="T245" s="2162"/>
      <c r="U245" s="2162"/>
      <c r="V245" s="2162"/>
      <c r="W245" s="2162"/>
      <c r="X245" s="2162"/>
      <c r="Y245" s="2162"/>
      <c r="Z245" s="2162"/>
      <c r="AA245" s="2162"/>
      <c r="AB245" s="2162"/>
      <c r="AC245" s="2162"/>
      <c r="AD245" s="2162"/>
      <c r="AE245" s="2162"/>
      <c r="AH245" s="2157">
        <v>0.01</v>
      </c>
      <c r="AI245" s="2157"/>
      <c r="AJ245" s="2157"/>
      <c r="AK245" s="2157"/>
      <c r="AL245" s="7"/>
      <c r="AM245" s="130"/>
      <c r="AN245" s="130"/>
      <c r="AO245" s="130"/>
      <c r="AP245" s="130"/>
      <c r="AQ245" s="130"/>
      <c r="AR245" s="130"/>
      <c r="AS245" s="130"/>
      <c r="AT245" s="130"/>
      <c r="AU245" s="130"/>
      <c r="AV245" s="130"/>
      <c r="AW245" s="130"/>
      <c r="AX245" s="130"/>
      <c r="AY245" s="130"/>
      <c r="BB245" s="7" t="s">
        <v>281</v>
      </c>
      <c r="BG245" s="12">
        <v>2</v>
      </c>
      <c r="BH245" s="12" t="s">
        <v>575</v>
      </c>
      <c r="BN245" s="3"/>
      <c r="BO245" s="376" t="str">
        <f>VLOOKUP(BG243,BG244:BH246,2,FALSE)</f>
        <v>Nonprofit</v>
      </c>
    </row>
    <row r="246" spans="1:72" ht="12.95" customHeight="1">
      <c r="A246" s="29"/>
      <c r="B246" s="7"/>
      <c r="C246" s="7"/>
      <c r="D246" s="60" t="s">
        <v>89</v>
      </c>
      <c r="E246" s="7"/>
      <c r="F246" s="7"/>
      <c r="M246" s="2159" t="str">
        <f>M235</f>
        <v>323-650-8771</v>
      </c>
      <c r="N246" s="2159"/>
      <c r="O246" s="2159"/>
      <c r="P246" s="2159"/>
      <c r="Q246" s="2159"/>
      <c r="R246" s="2159"/>
      <c r="S246" s="7" t="s">
        <v>207</v>
      </c>
      <c r="T246" s="7"/>
      <c r="U246" s="2167">
        <f>U235</f>
        <v>127</v>
      </c>
      <c r="V246" s="2167"/>
      <c r="W246" s="2167"/>
      <c r="X246" s="7" t="s">
        <v>90</v>
      </c>
      <c r="Z246" s="2159" t="str">
        <f>Z235</f>
        <v>323-650-4745</v>
      </c>
      <c r="AA246" s="2159"/>
      <c r="AB246" s="2159"/>
      <c r="AC246" s="2159"/>
      <c r="AD246" s="2159"/>
      <c r="AE246" s="2159"/>
      <c r="BB246" s="7" t="s">
        <v>173</v>
      </c>
      <c r="BG246" s="12">
        <v>3</v>
      </c>
      <c r="BH246" s="12" t="s">
        <v>545</v>
      </c>
      <c r="BN246" s="385"/>
      <c r="BO246" s="39"/>
    </row>
    <row r="247" spans="1:72" ht="12.95" customHeight="1">
      <c r="A247" s="29"/>
      <c r="B247" s="7"/>
      <c r="C247" s="7"/>
      <c r="D247" s="60" t="s">
        <v>91</v>
      </c>
      <c r="E247" s="7"/>
      <c r="F247" s="7"/>
      <c r="M247" s="2165" t="str">
        <f>M236</f>
        <v>sergio@whchc.org</v>
      </c>
      <c r="N247" s="2165"/>
      <c r="O247" s="2165"/>
      <c r="P247" s="2165"/>
      <c r="Q247" s="2165"/>
      <c r="R247" s="2165"/>
      <c r="S247" s="2165"/>
      <c r="T247" s="2165"/>
      <c r="U247" s="2165"/>
      <c r="V247" s="2165"/>
      <c r="W247" s="2165"/>
      <c r="X247" s="2165"/>
      <c r="Y247" s="2165"/>
      <c r="Z247" s="2165"/>
      <c r="AA247" s="2165"/>
      <c r="AB247" s="2165"/>
      <c r="AC247" s="2165"/>
      <c r="AD247" s="2165"/>
      <c r="AE247" s="216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5" customHeight="1">
      <c r="A248" s="23"/>
      <c r="B248" s="7"/>
      <c r="C248" s="136"/>
      <c r="D248" s="60" t="s">
        <v>544</v>
      </c>
      <c r="E248" s="7"/>
      <c r="F248" s="7"/>
      <c r="G248" s="7"/>
      <c r="H248" s="7"/>
      <c r="I248" s="7"/>
      <c r="J248" s="7"/>
      <c r="K248" s="7"/>
      <c r="L248" s="7"/>
      <c r="M248" s="2091" t="s">
        <v>543</v>
      </c>
      <c r="N248" s="2091"/>
      <c r="O248" s="2091"/>
      <c r="P248" s="2091"/>
      <c r="Q248" s="2091"/>
      <c r="R248" s="2091"/>
      <c r="S248" s="2091"/>
      <c r="T248" s="2091"/>
      <c r="U248" s="382" t="s">
        <v>939</v>
      </c>
      <c r="V248" s="324"/>
      <c r="W248" s="324"/>
      <c r="X248" s="324"/>
      <c r="Y248" s="324"/>
      <c r="Z248" s="324"/>
      <c r="AA248" s="2169" t="str">
        <f>AA237</f>
        <v>West Hollywood Communty Housing Corporation</v>
      </c>
      <c r="AB248" s="2169"/>
      <c r="AC248" s="2169"/>
      <c r="AD248" s="2169"/>
      <c r="AE248" s="2169"/>
      <c r="AF248" s="2169"/>
      <c r="AG248" s="2169"/>
      <c r="AH248" s="2169"/>
      <c r="AI248" s="2169"/>
      <c r="AJ248" s="2169"/>
      <c r="AK248" s="2169"/>
      <c r="BN248" s="61"/>
    </row>
    <row r="249" spans="1:72" ht="12.95" customHeight="1">
      <c r="A249" s="29"/>
      <c r="B249" s="7"/>
      <c r="C249" s="7"/>
      <c r="D249" s="7"/>
      <c r="E249" s="7"/>
      <c r="F249" s="7"/>
      <c r="G249" s="7"/>
      <c r="H249" s="7"/>
      <c r="I249" s="7"/>
      <c r="J249" s="7"/>
      <c r="K249" s="7"/>
      <c r="L249" s="7"/>
      <c r="AG249" s="7"/>
      <c r="AH249" s="7"/>
      <c r="AI249" s="7"/>
      <c r="AJ249" s="57"/>
      <c r="BN249" s="61"/>
    </row>
    <row r="250" spans="1:72" ht="12.95" customHeight="1">
      <c r="A250" s="102"/>
      <c r="B250" s="7"/>
      <c r="C250" s="136" t="s">
        <v>99</v>
      </c>
      <c r="D250" s="57" t="s">
        <v>995</v>
      </c>
      <c r="E250" s="57"/>
      <c r="F250" s="57"/>
      <c r="G250" s="57"/>
      <c r="H250" s="57"/>
      <c r="I250" s="57"/>
      <c r="J250" s="57"/>
      <c r="K250" s="57"/>
      <c r="L250" s="7"/>
      <c r="M250" s="2168"/>
      <c r="N250" s="2168"/>
      <c r="O250" s="2168"/>
      <c r="P250" s="2168"/>
      <c r="Q250" s="2168"/>
      <c r="R250" s="2168"/>
      <c r="S250" s="2168"/>
      <c r="T250" s="2168"/>
      <c r="U250" s="2168"/>
      <c r="V250" s="2168"/>
      <c r="W250" s="2168"/>
      <c r="X250" s="2168"/>
      <c r="Y250" s="2168"/>
      <c r="Z250" s="2168"/>
      <c r="AA250" s="2168"/>
      <c r="AB250" s="2168"/>
      <c r="AC250" s="2168"/>
      <c r="AD250" s="2168"/>
      <c r="AE250" s="2168"/>
      <c r="AF250" s="2168" t="s">
        <v>308</v>
      </c>
      <c r="AG250" s="2168"/>
      <c r="AH250" s="2168"/>
      <c r="AI250" s="2168"/>
      <c r="AJ250" s="2168"/>
      <c r="AK250" s="2168"/>
      <c r="BN250" s="61"/>
    </row>
    <row r="251" spans="1:72" ht="12.95" customHeight="1">
      <c r="A251" s="29"/>
      <c r="B251" s="7"/>
      <c r="C251" s="7"/>
      <c r="D251" s="57" t="s">
        <v>86</v>
      </c>
      <c r="E251" s="57"/>
      <c r="F251" s="57"/>
      <c r="G251" s="57"/>
      <c r="H251" s="57"/>
      <c r="I251" s="57"/>
      <c r="J251" s="57"/>
      <c r="K251" s="57"/>
      <c r="L251" s="7"/>
      <c r="M251" s="2162"/>
      <c r="N251" s="2162"/>
      <c r="O251" s="2162"/>
      <c r="P251" s="2162"/>
      <c r="Q251" s="2162"/>
      <c r="R251" s="2162"/>
      <c r="S251" s="2162"/>
      <c r="T251" s="2162"/>
      <c r="U251" s="2162"/>
      <c r="V251" s="2162"/>
      <c r="W251" s="2162"/>
      <c r="X251" s="2162"/>
      <c r="Y251" s="2162"/>
      <c r="Z251" s="2162"/>
      <c r="AA251" s="2162"/>
      <c r="AB251" s="2162"/>
      <c r="AC251" s="2162"/>
      <c r="AD251" s="2162"/>
      <c r="AE251" s="2162"/>
      <c r="AF251" s="58" t="s">
        <v>1321</v>
      </c>
      <c r="AG251" s="708"/>
      <c r="AH251" s="708"/>
      <c r="AI251" s="708"/>
      <c r="AJ251" s="708"/>
      <c r="AK251" s="708"/>
      <c r="AL251" s="7"/>
      <c r="AM251" s="130"/>
      <c r="AN251" s="130"/>
      <c r="AO251" s="130"/>
      <c r="AP251" s="130"/>
      <c r="AQ251" s="130"/>
      <c r="AR251" s="130"/>
      <c r="AS251" s="130"/>
      <c r="AT251" s="130"/>
      <c r="AU251" s="130"/>
      <c r="AV251" s="130"/>
      <c r="AW251" s="130"/>
      <c r="AX251" s="130"/>
      <c r="AY251" s="130"/>
      <c r="BN251" s="61"/>
    </row>
    <row r="252" spans="1:72" ht="12.95" customHeight="1">
      <c r="A252" s="29"/>
      <c r="B252" s="7"/>
      <c r="C252" s="7"/>
      <c r="D252" s="57" t="s">
        <v>589</v>
      </c>
      <c r="E252" s="57"/>
      <c r="M252" s="2162"/>
      <c r="N252" s="2162"/>
      <c r="O252" s="2162"/>
      <c r="P252" s="2162"/>
      <c r="Q252" s="2162"/>
      <c r="R252" s="2162"/>
      <c r="S252" s="2162"/>
      <c r="T252" s="2162"/>
      <c r="V252" s="59" t="s">
        <v>87</v>
      </c>
      <c r="W252" s="2167"/>
      <c r="X252" s="2167"/>
      <c r="Y252" s="57" t="s">
        <v>592</v>
      </c>
      <c r="AC252" s="2162"/>
      <c r="AD252" s="2162"/>
      <c r="AE252" s="2162"/>
      <c r="AF252" s="58" t="s">
        <v>1322</v>
      </c>
      <c r="AG252" s="708"/>
      <c r="AH252" s="708"/>
      <c r="AI252" s="708"/>
      <c r="AJ252" s="708"/>
      <c r="AK252" s="708"/>
      <c r="BN252" s="61"/>
    </row>
    <row r="253" spans="1:72" ht="12.95" customHeight="1">
      <c r="A253" s="29"/>
      <c r="B253" s="7"/>
      <c r="C253" s="7"/>
      <c r="D253" s="60" t="s">
        <v>88</v>
      </c>
      <c r="E253" s="7"/>
      <c r="F253" s="7"/>
      <c r="G253" s="7"/>
      <c r="H253" s="7"/>
      <c r="I253" s="7"/>
      <c r="J253" s="7"/>
      <c r="K253" s="7"/>
      <c r="L253" s="29"/>
      <c r="M253" s="2162"/>
      <c r="N253" s="2162"/>
      <c r="O253" s="2162"/>
      <c r="P253" s="2162"/>
      <c r="Q253" s="2162"/>
      <c r="R253" s="2162"/>
      <c r="S253" s="2162"/>
      <c r="T253" s="2162"/>
      <c r="U253" s="2162"/>
      <c r="V253" s="2162"/>
      <c r="W253" s="2162"/>
      <c r="X253" s="2162"/>
      <c r="Y253" s="2162"/>
      <c r="Z253" s="2162"/>
      <c r="AA253" s="2162"/>
      <c r="AB253" s="2162"/>
      <c r="AC253" s="2162"/>
      <c r="AD253" s="2162"/>
      <c r="AE253" s="2162"/>
      <c r="AF253" s="708"/>
      <c r="AG253" s="708"/>
      <c r="AH253" s="2157"/>
      <c r="AI253" s="2157"/>
      <c r="AJ253" s="2157"/>
      <c r="AK253" s="2157"/>
      <c r="AL253" s="7"/>
      <c r="AM253" s="130"/>
      <c r="AN253" s="130"/>
      <c r="AO253" s="130"/>
      <c r="AP253" s="130"/>
      <c r="AQ253" s="130"/>
      <c r="AR253" s="130"/>
      <c r="AS253" s="130"/>
      <c r="AT253" s="130"/>
      <c r="AU253" s="130"/>
      <c r="AV253" s="130"/>
      <c r="AW253" s="130"/>
      <c r="AX253" s="130"/>
      <c r="AY253" s="130"/>
      <c r="BN253" s="61"/>
    </row>
    <row r="254" spans="1:72" ht="12.95" customHeight="1">
      <c r="A254" s="29"/>
      <c r="B254" s="7"/>
      <c r="C254" s="7"/>
      <c r="D254" s="60" t="s">
        <v>89</v>
      </c>
      <c r="E254" s="7"/>
      <c r="F254" s="7"/>
      <c r="M254" s="2159"/>
      <c r="N254" s="2159"/>
      <c r="O254" s="2159"/>
      <c r="P254" s="2159"/>
      <c r="Q254" s="2159"/>
      <c r="R254" s="2159"/>
      <c r="S254" s="7" t="s">
        <v>207</v>
      </c>
      <c r="T254" s="7"/>
      <c r="U254" s="2167"/>
      <c r="V254" s="2167"/>
      <c r="W254" s="2167"/>
      <c r="X254" s="7" t="s">
        <v>90</v>
      </c>
      <c r="Z254" s="2159"/>
      <c r="AA254" s="2159"/>
      <c r="AB254" s="2159"/>
      <c r="AC254" s="2159"/>
      <c r="AD254" s="2159"/>
      <c r="AE254" s="2159"/>
    </row>
    <row r="255" spans="1:72" ht="12.95" customHeight="1">
      <c r="A255" s="29"/>
      <c r="B255" s="7"/>
      <c r="C255" s="7"/>
      <c r="D255" s="60" t="s">
        <v>91</v>
      </c>
      <c r="E255" s="7"/>
      <c r="F255" s="7"/>
      <c r="M255" s="2165"/>
      <c r="N255" s="2165"/>
      <c r="O255" s="2165"/>
      <c r="P255" s="2165"/>
      <c r="Q255" s="2165"/>
      <c r="R255" s="2165"/>
      <c r="S255" s="2165"/>
      <c r="T255" s="2165"/>
      <c r="U255" s="2165"/>
      <c r="V255" s="2165"/>
      <c r="W255" s="2165"/>
      <c r="X255" s="2165"/>
      <c r="Y255" s="2165"/>
      <c r="Z255" s="2165"/>
      <c r="AA255" s="2165"/>
      <c r="AB255" s="2165"/>
      <c r="AC255" s="2165"/>
      <c r="AD255" s="2165"/>
      <c r="AE255" s="216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5" customHeight="1">
      <c r="A256" s="23"/>
      <c r="B256" s="7"/>
      <c r="C256" s="136"/>
      <c r="D256" s="60" t="s">
        <v>544</v>
      </c>
      <c r="E256" s="7"/>
      <c r="F256" s="7"/>
      <c r="G256" s="7"/>
      <c r="H256" s="7"/>
      <c r="I256" s="7"/>
      <c r="J256" s="7"/>
      <c r="K256" s="7"/>
      <c r="L256" s="7"/>
      <c r="M256" s="2091" t="s">
        <v>308</v>
      </c>
      <c r="N256" s="2091"/>
      <c r="O256" s="2091"/>
      <c r="P256" s="2091"/>
      <c r="Q256" s="2091"/>
      <c r="R256" s="2091"/>
      <c r="S256" s="2091"/>
      <c r="T256" s="2091"/>
      <c r="U256" s="382" t="s">
        <v>939</v>
      </c>
      <c r="V256" s="324"/>
      <c r="W256" s="324"/>
      <c r="X256" s="324"/>
      <c r="Y256" s="324"/>
      <c r="Z256" s="324"/>
      <c r="AA256" s="2169"/>
      <c r="AB256" s="2169"/>
      <c r="AC256" s="2169"/>
      <c r="AD256" s="2169"/>
      <c r="AE256" s="2169"/>
      <c r="AF256" s="2169"/>
      <c r="AG256" s="2169"/>
      <c r="AH256" s="2169"/>
      <c r="AI256" s="2169"/>
      <c r="AJ256" s="2169"/>
      <c r="AK256" s="2169"/>
      <c r="AL256" s="58"/>
      <c r="AM256" s="238"/>
      <c r="AN256" s="238"/>
      <c r="AO256" s="238"/>
      <c r="AP256" s="238"/>
      <c r="AQ256" s="238"/>
      <c r="AR256" s="238"/>
      <c r="AS256" s="238"/>
      <c r="AT256" s="238"/>
      <c r="AU256" s="238"/>
      <c r="AV256" s="238"/>
      <c r="AW256" s="238"/>
      <c r="AX256" s="238"/>
      <c r="AY256" s="238"/>
      <c r="BN256" s="61"/>
    </row>
    <row r="257" spans="1:66" ht="12.95" customHeight="1">
      <c r="A257" s="23"/>
      <c r="B257" s="7"/>
      <c r="C257" s="136"/>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2.95" customHeight="1">
      <c r="A258" s="23"/>
      <c r="B258" s="7"/>
      <c r="C258" s="136" t="s">
        <v>905</v>
      </c>
      <c r="D258" s="57" t="s">
        <v>541</v>
      </c>
      <c r="E258" s="57"/>
      <c r="F258" s="57"/>
      <c r="G258" s="57"/>
      <c r="H258" s="57"/>
      <c r="I258" s="57"/>
      <c r="J258" s="57"/>
      <c r="K258" s="57"/>
      <c r="L258" s="7"/>
      <c r="M258" s="2168"/>
      <c r="N258" s="2168"/>
      <c r="O258" s="2168"/>
      <c r="P258" s="2168"/>
      <c r="Q258" s="2168"/>
      <c r="R258" s="2168"/>
      <c r="S258" s="2168"/>
      <c r="T258" s="2168"/>
      <c r="U258" s="2168"/>
      <c r="V258" s="2168"/>
      <c r="W258" s="2168"/>
      <c r="X258" s="2168"/>
      <c r="Y258" s="2168"/>
      <c r="Z258" s="2168"/>
      <c r="AA258" s="2168"/>
      <c r="AB258" s="2168"/>
      <c r="AC258" s="2168"/>
      <c r="AD258" s="2168"/>
      <c r="AE258" s="2168"/>
      <c r="AF258" s="2168" t="s">
        <v>308</v>
      </c>
      <c r="AG258" s="2168"/>
      <c r="AH258" s="2168"/>
      <c r="AI258" s="2168"/>
      <c r="AJ258" s="2168"/>
      <c r="AK258" s="2168"/>
      <c r="AL258" s="58"/>
      <c r="AM258" s="238"/>
      <c r="AN258" s="238"/>
      <c r="AO258" s="238"/>
      <c r="AP258" s="238"/>
      <c r="AQ258" s="238"/>
      <c r="AR258" s="238"/>
      <c r="AS258" s="238"/>
      <c r="AT258" s="238"/>
      <c r="AU258" s="238"/>
      <c r="AV258" s="238"/>
      <c r="AW258" s="238"/>
      <c r="AX258" s="238"/>
      <c r="AY258" s="238"/>
      <c r="BN258" s="61"/>
    </row>
    <row r="259" spans="1:66" ht="12.95" customHeight="1">
      <c r="A259" s="23"/>
      <c r="B259" s="7"/>
      <c r="C259" s="7"/>
      <c r="D259" s="57" t="s">
        <v>86</v>
      </c>
      <c r="E259" s="57"/>
      <c r="F259" s="57"/>
      <c r="G259" s="57"/>
      <c r="H259" s="57"/>
      <c r="I259" s="57"/>
      <c r="J259" s="57"/>
      <c r="K259" s="57"/>
      <c r="L259" s="7"/>
      <c r="M259" s="2162"/>
      <c r="N259" s="2162"/>
      <c r="O259" s="2162"/>
      <c r="P259" s="2162"/>
      <c r="Q259" s="2162"/>
      <c r="R259" s="2162"/>
      <c r="S259" s="2162"/>
      <c r="T259" s="2162"/>
      <c r="U259" s="2162"/>
      <c r="V259" s="2162"/>
      <c r="W259" s="2162"/>
      <c r="X259" s="2162"/>
      <c r="Y259" s="2162"/>
      <c r="Z259" s="2162"/>
      <c r="AA259" s="2162"/>
      <c r="AB259" s="2162"/>
      <c r="AC259" s="2162"/>
      <c r="AD259" s="2162"/>
      <c r="AE259" s="2162"/>
      <c r="AF259" s="58" t="s">
        <v>1321</v>
      </c>
      <c r="AG259" s="708"/>
      <c r="AH259" s="708"/>
      <c r="AI259" s="708"/>
      <c r="AJ259" s="708"/>
      <c r="AK259" s="708"/>
      <c r="AL259" s="58"/>
      <c r="AM259" s="238"/>
      <c r="AN259" s="238"/>
      <c r="AO259" s="238"/>
      <c r="AP259" s="238"/>
      <c r="AQ259" s="238"/>
      <c r="AR259" s="238"/>
      <c r="AS259" s="238"/>
      <c r="AT259" s="238"/>
      <c r="AU259" s="238"/>
      <c r="AV259" s="238"/>
      <c r="AW259" s="238"/>
      <c r="AX259" s="238"/>
      <c r="AY259" s="238"/>
      <c r="BN259" s="61"/>
    </row>
    <row r="260" spans="1:66" ht="12.95" customHeight="1">
      <c r="A260" s="23"/>
      <c r="B260" s="7"/>
      <c r="C260" s="7"/>
      <c r="D260" s="57" t="s">
        <v>589</v>
      </c>
      <c r="E260" s="57"/>
      <c r="M260" s="2162"/>
      <c r="N260" s="2162"/>
      <c r="O260" s="2162"/>
      <c r="P260" s="2162"/>
      <c r="Q260" s="2162"/>
      <c r="R260" s="2162"/>
      <c r="S260" s="2162"/>
      <c r="T260" s="2162"/>
      <c r="V260" s="59" t="s">
        <v>87</v>
      </c>
      <c r="W260" s="2167"/>
      <c r="X260" s="2167"/>
      <c r="Y260" s="57" t="s">
        <v>592</v>
      </c>
      <c r="AC260" s="2162"/>
      <c r="AD260" s="2162"/>
      <c r="AE260" s="2162"/>
      <c r="AF260" s="58" t="s">
        <v>1322</v>
      </c>
      <c r="AG260" s="708"/>
      <c r="AH260" s="708"/>
      <c r="AI260" s="708"/>
      <c r="AJ260" s="708"/>
      <c r="AK260" s="708"/>
      <c r="AL260" s="58"/>
      <c r="AM260" s="238"/>
      <c r="AN260" s="238"/>
      <c r="AO260" s="238"/>
      <c r="AP260" s="238"/>
      <c r="AQ260" s="238"/>
      <c r="AR260" s="238"/>
      <c r="AS260" s="238"/>
      <c r="AT260" s="238"/>
      <c r="AU260" s="238"/>
      <c r="AV260" s="238"/>
      <c r="AW260" s="238"/>
      <c r="AX260" s="238"/>
      <c r="AY260" s="238"/>
      <c r="BN260" s="61"/>
    </row>
    <row r="261" spans="1:66" ht="12.95" customHeight="1">
      <c r="A261" s="23"/>
      <c r="B261" s="7"/>
      <c r="C261" s="7"/>
      <c r="D261" s="60" t="s">
        <v>88</v>
      </c>
      <c r="E261" s="7"/>
      <c r="F261" s="7"/>
      <c r="G261" s="7"/>
      <c r="H261" s="7"/>
      <c r="I261" s="7"/>
      <c r="J261" s="7"/>
      <c r="K261" s="7"/>
      <c r="L261" s="29"/>
      <c r="M261" s="2162"/>
      <c r="N261" s="2162"/>
      <c r="O261" s="2162"/>
      <c r="P261" s="2162"/>
      <c r="Q261" s="2162"/>
      <c r="R261" s="2162"/>
      <c r="S261" s="2162"/>
      <c r="T261" s="2162"/>
      <c r="U261" s="2162"/>
      <c r="V261" s="2162"/>
      <c r="W261" s="2162"/>
      <c r="X261" s="2162"/>
      <c r="Y261" s="2162"/>
      <c r="Z261" s="2162"/>
      <c r="AA261" s="2162"/>
      <c r="AB261" s="2162"/>
      <c r="AC261" s="2162"/>
      <c r="AD261" s="2162"/>
      <c r="AE261" s="2162"/>
      <c r="AF261" s="708"/>
      <c r="AG261" s="708"/>
      <c r="AH261" s="2157"/>
      <c r="AI261" s="2157"/>
      <c r="AJ261" s="2157"/>
      <c r="AK261" s="2157"/>
      <c r="AL261" s="58"/>
      <c r="AM261" s="238"/>
      <c r="AN261" s="238"/>
      <c r="AO261" s="238"/>
      <c r="AP261" s="238"/>
      <c r="AQ261" s="238"/>
      <c r="AR261" s="238"/>
      <c r="AS261" s="238"/>
      <c r="AT261" s="238"/>
      <c r="AU261" s="238"/>
      <c r="AV261" s="238"/>
      <c r="AW261" s="238"/>
      <c r="AX261" s="238"/>
      <c r="AY261" s="238"/>
      <c r="BN261" s="61"/>
    </row>
    <row r="262" spans="1:66" ht="12.95" customHeight="1">
      <c r="A262" s="23"/>
      <c r="B262" s="7"/>
      <c r="C262" s="7"/>
      <c r="D262" s="60" t="s">
        <v>89</v>
      </c>
      <c r="E262" s="7"/>
      <c r="F262" s="7"/>
      <c r="M262" s="2159"/>
      <c r="N262" s="2159"/>
      <c r="O262" s="2159"/>
      <c r="P262" s="2159"/>
      <c r="Q262" s="2159"/>
      <c r="R262" s="2159"/>
      <c r="S262" s="7" t="s">
        <v>207</v>
      </c>
      <c r="T262" s="7"/>
      <c r="U262" s="2167"/>
      <c r="V262" s="2167"/>
      <c r="W262" s="2167"/>
      <c r="X262" s="7" t="s">
        <v>90</v>
      </c>
      <c r="Z262" s="2159"/>
      <c r="AA262" s="2159"/>
      <c r="AB262" s="2159"/>
      <c r="AC262" s="2159"/>
      <c r="AD262" s="2159"/>
      <c r="AE262" s="2159"/>
      <c r="AL262" s="58"/>
      <c r="AM262" s="238"/>
      <c r="AN262" s="238"/>
      <c r="AO262" s="238"/>
      <c r="AP262" s="238"/>
      <c r="AQ262" s="238"/>
      <c r="AR262" s="238"/>
      <c r="AS262" s="238"/>
      <c r="AT262" s="238"/>
      <c r="AU262" s="238"/>
      <c r="AV262" s="238"/>
      <c r="AW262" s="238"/>
      <c r="AX262" s="238"/>
      <c r="AY262" s="238"/>
      <c r="BN262" s="61"/>
    </row>
    <row r="263" spans="1:66" ht="12.95" customHeight="1">
      <c r="A263" s="23"/>
      <c r="B263" s="7"/>
      <c r="C263" s="7"/>
      <c r="D263" s="60" t="s">
        <v>91</v>
      </c>
      <c r="E263" s="7"/>
      <c r="F263" s="7"/>
      <c r="M263" s="2165"/>
      <c r="N263" s="2165"/>
      <c r="O263" s="2165"/>
      <c r="P263" s="2165"/>
      <c r="Q263" s="2165"/>
      <c r="R263" s="2165"/>
      <c r="S263" s="2165"/>
      <c r="T263" s="2165"/>
      <c r="U263" s="2165"/>
      <c r="V263" s="2165"/>
      <c r="W263" s="2165"/>
      <c r="X263" s="2165"/>
      <c r="Y263" s="2165"/>
      <c r="Z263" s="2165"/>
      <c r="AA263" s="2260"/>
      <c r="AB263" s="2260"/>
      <c r="AC263" s="2260"/>
      <c r="AD263" s="2260"/>
      <c r="AE263" s="2260"/>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2.95" customHeight="1">
      <c r="A264" s="23"/>
      <c r="B264" s="7"/>
      <c r="C264" s="136"/>
      <c r="D264" s="60" t="s">
        <v>544</v>
      </c>
      <c r="E264" s="7"/>
      <c r="F264" s="7"/>
      <c r="G264" s="7"/>
      <c r="H264" s="7"/>
      <c r="I264" s="7"/>
      <c r="J264" s="7"/>
      <c r="K264" s="7"/>
      <c r="L264" s="7"/>
      <c r="M264" s="2091" t="s">
        <v>308</v>
      </c>
      <c r="N264" s="2091"/>
      <c r="O264" s="2091"/>
      <c r="P264" s="2091"/>
      <c r="Q264" s="2091"/>
      <c r="R264" s="2091"/>
      <c r="S264" s="2091"/>
      <c r="T264" s="2091"/>
      <c r="U264" s="382" t="s">
        <v>939</v>
      </c>
      <c r="V264" s="324"/>
      <c r="W264" s="324"/>
      <c r="X264" s="324"/>
      <c r="Y264" s="324"/>
      <c r="Z264" s="324"/>
      <c r="AA264" s="2261"/>
      <c r="AB264" s="2261"/>
      <c r="AC264" s="2261"/>
      <c r="AD264" s="2261"/>
      <c r="AE264" s="2261"/>
      <c r="AF264" s="2261"/>
      <c r="AG264" s="2261"/>
      <c r="AH264" s="2261"/>
      <c r="AI264" s="2261"/>
      <c r="AJ264" s="2261"/>
      <c r="AK264" s="2261"/>
      <c r="AL264" s="58"/>
      <c r="AM264" s="238"/>
      <c r="AN264" s="238"/>
      <c r="AO264" s="238"/>
      <c r="AP264" s="238"/>
      <c r="AQ264" s="238"/>
      <c r="AR264" s="238"/>
      <c r="AS264" s="238"/>
      <c r="AT264" s="238"/>
      <c r="AU264" s="238"/>
      <c r="AV264" s="238"/>
      <c r="AW264" s="238"/>
      <c r="AX264" s="238"/>
      <c r="AY264" s="238"/>
      <c r="BN264" s="61"/>
    </row>
    <row r="265" spans="1:66" ht="12.95" customHeight="1">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2.95" customHeight="1">
      <c r="A266" s="134" t="s">
        <v>599</v>
      </c>
      <c r="B266" s="7"/>
      <c r="C266" s="50" t="s">
        <v>296</v>
      </c>
      <c r="D266" s="7"/>
      <c r="E266" s="7"/>
      <c r="F266" s="7"/>
      <c r="G266" s="7"/>
      <c r="H266" s="7"/>
      <c r="I266" s="7"/>
      <c r="J266" s="7"/>
      <c r="K266" s="7"/>
      <c r="L266" s="7"/>
      <c r="M266" s="147"/>
      <c r="N266" s="147"/>
      <c r="O266" s="147"/>
      <c r="P266" s="147"/>
      <c r="Q266" s="147"/>
      <c r="T266" s="2259" t="str">
        <f>BO245</f>
        <v>Nonprofit</v>
      </c>
      <c r="U266" s="2259"/>
      <c r="V266" s="2259"/>
      <c r="W266" s="2259"/>
      <c r="X266" s="2259"/>
      <c r="Z266" s="473" t="s">
        <v>994</v>
      </c>
      <c r="AA266" s="474"/>
      <c r="AB266" s="474"/>
      <c r="AC266" s="474"/>
      <c r="AD266" s="161"/>
      <c r="AE266" s="161"/>
      <c r="AF266" s="161"/>
      <c r="AG266" s="161"/>
      <c r="AH266" s="161"/>
      <c r="AI266" s="161"/>
      <c r="AJ266" s="161"/>
      <c r="AK266" s="475"/>
      <c r="AL266" s="94"/>
      <c r="AM266" s="670"/>
      <c r="AN266" s="670"/>
      <c r="AO266" s="670"/>
      <c r="AP266" s="670"/>
      <c r="AQ266" s="670"/>
      <c r="AR266" s="670"/>
      <c r="AS266" s="670"/>
      <c r="AT266" s="670"/>
      <c r="AU266" s="670"/>
      <c r="AV266" s="670"/>
      <c r="AW266" s="670"/>
      <c r="AX266" s="670"/>
      <c r="AY266" s="670"/>
      <c r="BN266" s="61"/>
    </row>
    <row r="267" spans="1:66" ht="12.95" customHeight="1">
      <c r="A267" s="50"/>
      <c r="B267" s="7"/>
      <c r="C267" s="50"/>
      <c r="I267" s="7"/>
      <c r="J267" s="7"/>
      <c r="K267" s="7"/>
      <c r="L267" s="7"/>
      <c r="M267" s="147"/>
      <c r="N267" s="147"/>
      <c r="O267" s="147"/>
      <c r="P267" s="147"/>
      <c r="Q267" s="147"/>
      <c r="T267" s="7"/>
      <c r="U267" s="7"/>
      <c r="V267" s="7"/>
      <c r="W267" s="62"/>
      <c r="Z267" s="476" t="s">
        <v>832</v>
      </c>
      <c r="AA267" s="25"/>
      <c r="AB267" s="25"/>
      <c r="AC267" s="25"/>
      <c r="AD267" s="25"/>
      <c r="AE267" s="25"/>
      <c r="AF267" s="57"/>
      <c r="AG267" s="57"/>
      <c r="AH267" s="57"/>
      <c r="AI267" s="57"/>
      <c r="AJ267" s="57"/>
      <c r="AK267" s="25"/>
      <c r="AL267" s="101"/>
      <c r="AM267" s="670"/>
      <c r="AN267" s="670"/>
      <c r="AO267" s="670"/>
      <c r="AP267" s="670"/>
      <c r="AQ267" s="670"/>
      <c r="AR267" s="670"/>
      <c r="AS267" s="670"/>
      <c r="AT267" s="670"/>
      <c r="AU267" s="670"/>
      <c r="AV267" s="670"/>
      <c r="AW267" s="670"/>
      <c r="AX267" s="670"/>
      <c r="AY267" s="670"/>
      <c r="BN267" s="61"/>
    </row>
    <row r="268" spans="1:66" ht="12.95" customHeight="1">
      <c r="A268" s="50" t="s">
        <v>601</v>
      </c>
      <c r="B268" s="7"/>
      <c r="C268" s="50" t="s">
        <v>172</v>
      </c>
      <c r="D268" s="7"/>
      <c r="E268" s="7"/>
      <c r="F268" s="7"/>
      <c r="G268" s="7"/>
      <c r="H268" s="7"/>
      <c r="I268" s="7"/>
      <c r="J268" s="7"/>
      <c r="K268" s="7"/>
      <c r="L268" s="7"/>
      <c r="M268" s="7"/>
      <c r="N268" s="7"/>
      <c r="O268" s="7"/>
      <c r="P268" s="7"/>
      <c r="Q268" s="7"/>
      <c r="R268" s="7"/>
      <c r="S268" s="7"/>
      <c r="T268" s="7"/>
      <c r="U268" s="7"/>
      <c r="V268" s="7"/>
      <c r="W268" s="7"/>
      <c r="Z268" s="477" t="s">
        <v>993</v>
      </c>
      <c r="AA268" s="80"/>
      <c r="AB268" s="80"/>
      <c r="AC268" s="80"/>
      <c r="AD268" s="80"/>
      <c r="AE268" s="80"/>
      <c r="AF268" s="160"/>
      <c r="AG268" s="160"/>
      <c r="AH268" s="160"/>
      <c r="AI268" s="160"/>
      <c r="AJ268" s="160"/>
      <c r="AK268" s="80"/>
      <c r="AL268" s="81"/>
      <c r="AM268" s="670"/>
      <c r="AN268" s="670"/>
      <c r="AO268" s="670"/>
      <c r="AP268" s="670"/>
      <c r="AQ268" s="670"/>
      <c r="AR268" s="670"/>
      <c r="AS268" s="670"/>
      <c r="AT268" s="670"/>
      <c r="AU268" s="670"/>
      <c r="AV268" s="670"/>
      <c r="AW268" s="670"/>
      <c r="AX268" s="670"/>
      <c r="AY268" s="670"/>
      <c r="BN268" s="61"/>
    </row>
    <row r="269" spans="1:66" ht="12.95" customHeight="1">
      <c r="A269" s="57"/>
      <c r="B269" s="63">
        <v>0</v>
      </c>
      <c r="D269" s="2162" t="s">
        <v>281</v>
      </c>
      <c r="E269" s="2162"/>
      <c r="F269" s="2162"/>
      <c r="G269" s="2162"/>
      <c r="H269" s="2162"/>
      <c r="J269" s="12" t="s">
        <v>280</v>
      </c>
      <c r="X269" s="2291"/>
      <c r="Y269" s="2291"/>
      <c r="Z269" s="2291"/>
      <c r="AA269" s="2291"/>
      <c r="AB269" s="2291"/>
      <c r="AC269" s="2291"/>
      <c r="BN269" s="61"/>
    </row>
    <row r="270" spans="1:66" ht="12.95" customHeight="1">
      <c r="A270" s="7"/>
      <c r="B270" s="29"/>
      <c r="D270" s="64" t="s">
        <v>282</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2.95" customHeight="1">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2.95" customHeight="1">
      <c r="A272" s="50" t="s">
        <v>476</v>
      </c>
      <c r="B272" s="50"/>
      <c r="C272" s="50" t="s">
        <v>631</v>
      </c>
      <c r="D272" s="7"/>
      <c r="E272" s="7"/>
      <c r="F272" s="7"/>
      <c r="G272" s="7"/>
      <c r="H272" s="7"/>
      <c r="I272" s="7"/>
      <c r="J272" s="7"/>
      <c r="K272" s="7"/>
      <c r="L272" s="7"/>
      <c r="M272" s="7"/>
      <c r="N272" s="7"/>
      <c r="O272" s="7"/>
      <c r="P272" s="7"/>
      <c r="Q272" s="7"/>
      <c r="R272" s="7"/>
      <c r="S272" s="7"/>
      <c r="T272" s="7"/>
      <c r="BN272" s="61"/>
    </row>
    <row r="273" spans="1:66" ht="12.95" customHeight="1">
      <c r="D273" s="57" t="s">
        <v>297</v>
      </c>
      <c r="E273" s="57"/>
      <c r="F273" s="57"/>
      <c r="G273" s="57"/>
      <c r="H273" s="57"/>
      <c r="I273" s="57"/>
      <c r="J273" s="57"/>
      <c r="K273" s="7"/>
      <c r="L273" s="2256" t="str">
        <f>AA248</f>
        <v>West Hollywood Communty Housing Corporation</v>
      </c>
      <c r="M273" s="2168"/>
      <c r="N273" s="2168"/>
      <c r="O273" s="2168"/>
      <c r="P273" s="2168"/>
      <c r="Q273" s="2168"/>
      <c r="R273" s="2168"/>
      <c r="S273" s="2168"/>
      <c r="T273" s="2168"/>
      <c r="U273" s="2168"/>
      <c r="V273" s="2168"/>
      <c r="W273" s="2168"/>
      <c r="X273" s="2168"/>
      <c r="Y273" s="2168"/>
      <c r="Z273" s="2168"/>
      <c r="AA273" s="2168"/>
      <c r="AB273" s="2168"/>
      <c r="AC273" s="2168"/>
      <c r="AD273" s="2168"/>
      <c r="AE273" s="2168"/>
      <c r="AF273" s="2168"/>
      <c r="AG273" s="2168"/>
      <c r="AH273" s="2168"/>
      <c r="AI273" s="2168"/>
      <c r="AJ273" s="2168"/>
      <c r="AK273" s="58"/>
      <c r="AL273" s="58"/>
      <c r="AM273" s="238"/>
      <c r="AN273" s="238"/>
      <c r="AO273" s="238"/>
      <c r="AP273" s="238"/>
      <c r="AQ273" s="238"/>
      <c r="AR273" s="238"/>
      <c r="AS273" s="238"/>
      <c r="AT273" s="238"/>
      <c r="AU273" s="238"/>
      <c r="AV273" s="238"/>
      <c r="AW273" s="238"/>
      <c r="AX273" s="238"/>
      <c r="AY273" s="238"/>
      <c r="BN273" s="61"/>
    </row>
    <row r="274" spans="1:66" ht="12.95" customHeight="1">
      <c r="D274" s="57" t="s">
        <v>86</v>
      </c>
      <c r="E274" s="57"/>
      <c r="F274" s="57"/>
      <c r="G274" s="57"/>
      <c r="H274" s="57"/>
      <c r="I274" s="57"/>
      <c r="J274" s="57"/>
      <c r="K274" s="7"/>
      <c r="L274" s="2162" t="str">
        <f>M243</f>
        <v>7530 Santa Monica Blvd</v>
      </c>
      <c r="M274" s="2162"/>
      <c r="N274" s="2162"/>
      <c r="O274" s="2162"/>
      <c r="P274" s="2162"/>
      <c r="Q274" s="2162"/>
      <c r="R274" s="2162"/>
      <c r="S274" s="2162"/>
      <c r="T274" s="2162"/>
      <c r="U274" s="2162"/>
      <c r="V274" s="2162"/>
      <c r="W274" s="2162"/>
      <c r="X274" s="2162"/>
      <c r="Y274" s="2162"/>
      <c r="Z274" s="2162"/>
      <c r="AA274" s="2162"/>
      <c r="AB274" s="2162"/>
      <c r="AC274" s="2162"/>
      <c r="AD274" s="2162"/>
      <c r="AK274" s="58"/>
      <c r="AL274" s="58"/>
      <c r="AM274" s="238"/>
      <c r="AN274" s="238"/>
      <c r="AO274" s="238"/>
      <c r="AP274" s="238"/>
      <c r="AQ274" s="238"/>
      <c r="AR274" s="238"/>
      <c r="AS274" s="238"/>
      <c r="AT274" s="238"/>
      <c r="AU274" s="238"/>
      <c r="AV274" s="238"/>
      <c r="AW274" s="238"/>
      <c r="AX274" s="238"/>
      <c r="AY274" s="238"/>
      <c r="BN274" s="61"/>
    </row>
    <row r="275" spans="1:66" ht="12.95" customHeight="1">
      <c r="D275" s="57" t="s">
        <v>589</v>
      </c>
      <c r="E275" s="57"/>
      <c r="L275" s="2162" t="str">
        <f>M244</f>
        <v>West Hollywood</v>
      </c>
      <c r="M275" s="2162"/>
      <c r="N275" s="2162"/>
      <c r="O275" s="2162"/>
      <c r="P275" s="2162"/>
      <c r="Q275" s="2162"/>
      <c r="R275" s="2162"/>
      <c r="S275" s="2162"/>
      <c r="U275" s="59" t="s">
        <v>87</v>
      </c>
      <c r="V275" s="2167" t="str">
        <f>W244</f>
        <v>CA</v>
      </c>
      <c r="W275" s="2167"/>
      <c r="X275" s="57" t="s">
        <v>592</v>
      </c>
      <c r="AB275" s="2162">
        <f>AC244</f>
        <v>90046</v>
      </c>
      <c r="AC275" s="2162"/>
      <c r="AD275" s="2162"/>
      <c r="AK275" s="58"/>
      <c r="AL275" s="58"/>
      <c r="AM275" s="238"/>
      <c r="AN275" s="238"/>
      <c r="AO275" s="238"/>
      <c r="AP275" s="238"/>
      <c r="AQ275" s="238"/>
      <c r="AR275" s="238"/>
      <c r="AS275" s="238"/>
      <c r="AT275" s="238"/>
      <c r="AU275" s="238"/>
      <c r="AV275" s="238"/>
      <c r="AW275" s="238"/>
      <c r="AX275" s="238"/>
      <c r="AY275" s="238"/>
      <c r="BN275" s="61"/>
    </row>
    <row r="276" spans="1:66" ht="12.95" customHeight="1">
      <c r="D276" s="60" t="s">
        <v>88</v>
      </c>
      <c r="E276" s="7"/>
      <c r="F276" s="7"/>
      <c r="G276" s="7"/>
      <c r="H276" s="7"/>
      <c r="I276" s="7"/>
      <c r="J276" s="7"/>
      <c r="K276" s="29"/>
      <c r="L276" s="2162" t="str">
        <f>M245</f>
        <v>Sergio Rosas</v>
      </c>
      <c r="M276" s="2162"/>
      <c r="N276" s="2162"/>
      <c r="O276" s="2162"/>
      <c r="P276" s="2162"/>
      <c r="Q276" s="2162"/>
      <c r="R276" s="2162"/>
      <c r="S276" s="2162"/>
      <c r="T276" s="2162"/>
      <c r="U276" s="2162"/>
      <c r="V276" s="2162"/>
      <c r="W276" s="2162"/>
      <c r="X276" s="2162"/>
      <c r="Y276" s="2162"/>
      <c r="Z276" s="2162"/>
      <c r="AA276" s="2162"/>
      <c r="AB276" s="2162"/>
      <c r="AC276" s="2162"/>
      <c r="AD276" s="2162"/>
      <c r="AI276" s="7"/>
      <c r="AJ276" s="7"/>
      <c r="AK276" s="58"/>
      <c r="AL276" s="58"/>
      <c r="AM276" s="238"/>
      <c r="AN276" s="238"/>
      <c r="AO276" s="238"/>
      <c r="AP276" s="238"/>
      <c r="AQ276" s="238"/>
      <c r="AR276" s="238"/>
      <c r="AS276" s="238"/>
      <c r="AT276" s="238"/>
      <c r="AU276" s="238"/>
      <c r="AV276" s="238"/>
      <c r="AW276" s="238"/>
      <c r="AX276" s="238"/>
      <c r="AY276" s="238"/>
      <c r="BN276" s="61"/>
    </row>
    <row r="277" spans="1:66" ht="12.95" customHeight="1">
      <c r="D277" s="60" t="s">
        <v>89</v>
      </c>
      <c r="E277" s="7"/>
      <c r="F277" s="7"/>
      <c r="L277" s="2159" t="str">
        <f>M246</f>
        <v>323-650-8771</v>
      </c>
      <c r="M277" s="2159"/>
      <c r="N277" s="2159"/>
      <c r="O277" s="2159"/>
      <c r="P277" s="2159"/>
      <c r="Q277" s="2159"/>
      <c r="R277" s="7" t="s">
        <v>207</v>
      </c>
      <c r="S277" s="7"/>
      <c r="T277" s="2167">
        <f>U246</f>
        <v>127</v>
      </c>
      <c r="U277" s="2167"/>
      <c r="V277" s="2167"/>
      <c r="W277" s="7" t="s">
        <v>90</v>
      </c>
      <c r="Y277" s="2159" t="str">
        <f>Z246</f>
        <v>323-650-4745</v>
      </c>
      <c r="Z277" s="2159"/>
      <c r="AA277" s="2159"/>
      <c r="AB277" s="2159"/>
      <c r="AC277" s="2159"/>
      <c r="AD277" s="2159"/>
      <c r="BN277" s="61"/>
    </row>
    <row r="278" spans="1:66" ht="12.95" customHeight="1">
      <c r="D278" s="60" t="s">
        <v>91</v>
      </c>
      <c r="E278" s="7"/>
      <c r="F278" s="7"/>
      <c r="L278" s="2165" t="str">
        <f>M247</f>
        <v>sergio@whchc.org</v>
      </c>
      <c r="M278" s="2165"/>
      <c r="N278" s="2165"/>
      <c r="O278" s="2165"/>
      <c r="P278" s="2165"/>
      <c r="Q278" s="2165"/>
      <c r="R278" s="2165"/>
      <c r="S278" s="2165"/>
      <c r="T278" s="2165"/>
      <c r="U278" s="2165"/>
      <c r="V278" s="2165"/>
      <c r="W278" s="2165"/>
      <c r="X278" s="2165"/>
      <c r="Y278" s="2165"/>
      <c r="Z278" s="2165"/>
      <c r="AA278" s="2165"/>
      <c r="AB278" s="2165"/>
      <c r="AC278" s="2165"/>
      <c r="AD278" s="2165"/>
      <c r="AF278" s="7"/>
      <c r="AG278" s="7"/>
      <c r="AH278" s="7"/>
      <c r="AI278" s="7"/>
      <c r="AJ278" s="7"/>
      <c r="BN278" s="61"/>
    </row>
    <row r="279" spans="1:66" ht="12.95" customHeight="1">
      <c r="D279" s="58" t="s">
        <v>632</v>
      </c>
      <c r="E279" s="58"/>
      <c r="F279" s="58"/>
      <c r="G279" s="58"/>
      <c r="H279" s="58"/>
      <c r="I279" s="58"/>
      <c r="L279" s="2279" t="s">
        <v>2635</v>
      </c>
      <c r="M279" s="2279"/>
      <c r="N279" s="2279"/>
      <c r="O279" s="2279"/>
      <c r="P279" s="2279"/>
      <c r="Q279" s="2279"/>
      <c r="R279" s="2279"/>
      <c r="S279" s="2279"/>
      <c r="T279" s="2279"/>
      <c r="U279" s="2279"/>
      <c r="V279" s="2279"/>
      <c r="W279" s="2279"/>
      <c r="X279" s="2279"/>
      <c r="Y279" s="2279"/>
      <c r="Z279" s="2279"/>
      <c r="AA279" s="2279"/>
      <c r="AB279" s="2279"/>
      <c r="AC279" s="2279"/>
      <c r="AD279" s="2279"/>
      <c r="AK279" s="58"/>
      <c r="AL279" s="58"/>
      <c r="AM279" s="238"/>
      <c r="AN279" s="238"/>
      <c r="AO279" s="238"/>
      <c r="AP279" s="238"/>
      <c r="AQ279" s="238"/>
      <c r="AR279" s="238"/>
      <c r="AS279" s="238"/>
      <c r="AT279" s="238"/>
      <c r="AU279" s="238"/>
      <c r="AV279" s="238"/>
      <c r="AW279" s="238"/>
      <c r="AX279" s="238"/>
      <c r="AY279" s="238"/>
      <c r="BN279" s="61"/>
    </row>
    <row r="280" spans="1:66" ht="12.95" customHeight="1">
      <c r="L280" s="35" t="s">
        <v>633</v>
      </c>
      <c r="BN280" s="61"/>
    </row>
    <row r="281" spans="1:66" ht="12.95" customHeight="1">
      <c r="A281" s="2176" t="s">
        <v>550</v>
      </c>
      <c r="B281" s="2176"/>
      <c r="C281" s="2176"/>
      <c r="D281" s="2176"/>
      <c r="E281" s="2176"/>
      <c r="F281" s="2176"/>
      <c r="G281" s="2176"/>
      <c r="H281" s="2176"/>
      <c r="I281" s="2176"/>
      <c r="J281" s="2176"/>
      <c r="K281" s="2176"/>
      <c r="L281" s="2176"/>
      <c r="M281" s="2176"/>
      <c r="N281" s="2176"/>
      <c r="O281" s="2176"/>
      <c r="P281" s="2176"/>
      <c r="Q281" s="2176"/>
      <c r="R281" s="2176"/>
      <c r="S281" s="2176"/>
      <c r="T281" s="2176"/>
      <c r="U281" s="2176"/>
      <c r="V281" s="2176"/>
      <c r="W281" s="2176"/>
      <c r="X281" s="2176"/>
      <c r="Y281" s="2176"/>
      <c r="Z281" s="2176"/>
      <c r="AA281" s="2176"/>
      <c r="AB281" s="2176"/>
      <c r="AC281" s="2176"/>
      <c r="AD281" s="2176"/>
      <c r="AE281" s="2176"/>
      <c r="AF281" s="2176"/>
      <c r="AG281" s="2176"/>
      <c r="AH281" s="2176"/>
      <c r="AI281" s="2176"/>
      <c r="AJ281" s="2176"/>
      <c r="AK281" s="2176"/>
      <c r="AL281" s="2176"/>
      <c r="AM281" s="144"/>
      <c r="AN281" s="144"/>
      <c r="AO281" s="144"/>
      <c r="AP281" s="144"/>
      <c r="AQ281" s="144"/>
      <c r="AR281" s="144"/>
      <c r="AS281" s="144"/>
      <c r="AT281" s="144"/>
      <c r="AU281" s="144"/>
      <c r="AV281" s="144"/>
      <c r="AW281" s="144"/>
      <c r="AX281" s="144"/>
      <c r="AY281" s="144"/>
      <c r="BN281" s="61"/>
    </row>
    <row r="282" spans="1:66" ht="12.95" customHeight="1" thickBot="1">
      <c r="A282" s="2177"/>
      <c r="B282" s="2177"/>
      <c r="C282" s="2177"/>
      <c r="D282" s="2177"/>
      <c r="E282" s="2177"/>
      <c r="F282" s="2177"/>
      <c r="G282" s="2177"/>
      <c r="H282" s="2177"/>
      <c r="I282" s="2177"/>
      <c r="J282" s="2177"/>
      <c r="K282" s="2177"/>
      <c r="L282" s="2177"/>
      <c r="M282" s="2177"/>
      <c r="N282" s="2177"/>
      <c r="O282" s="2177"/>
      <c r="P282" s="2177"/>
      <c r="Q282" s="2177"/>
      <c r="R282" s="2177"/>
      <c r="S282" s="2177"/>
      <c r="T282" s="2177"/>
      <c r="U282" s="2177"/>
      <c r="V282" s="2177"/>
      <c r="W282" s="2177"/>
      <c r="X282" s="2177"/>
      <c r="Y282" s="2177"/>
      <c r="Z282" s="2177"/>
      <c r="AA282" s="2177"/>
      <c r="AB282" s="2177"/>
      <c r="AC282" s="2177"/>
      <c r="AD282" s="2177"/>
      <c r="AE282" s="2177"/>
      <c r="AF282" s="2177"/>
      <c r="AG282" s="2177"/>
      <c r="AH282" s="2177"/>
      <c r="AI282" s="2177"/>
      <c r="AJ282" s="2177"/>
      <c r="AK282" s="2177"/>
      <c r="AL282" s="2177"/>
      <c r="AM282" s="144"/>
      <c r="AN282" s="144"/>
      <c r="AO282" s="144"/>
      <c r="AP282" s="144"/>
      <c r="AQ282" s="144"/>
      <c r="AR282" s="144"/>
      <c r="AS282" s="144"/>
      <c r="AT282" s="144"/>
      <c r="AU282" s="144"/>
      <c r="AV282" s="144"/>
      <c r="AW282" s="144"/>
      <c r="AX282" s="144"/>
      <c r="AY282" s="144"/>
      <c r="BN282" s="61"/>
    </row>
    <row r="283" spans="1:66" ht="12.95" customHeight="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5" customHeight="1">
      <c r="A284" s="50" t="s">
        <v>320</v>
      </c>
      <c r="C284" s="50" t="s">
        <v>634</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9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5" customHeight="1">
      <c r="B286" s="58" t="s">
        <v>635</v>
      </c>
      <c r="C286" s="58"/>
      <c r="D286" s="58"/>
      <c r="E286" s="58"/>
      <c r="F286" s="58"/>
      <c r="H286" s="2164" t="str">
        <f>L273</f>
        <v>West Hollywood Communty Housing Corporation</v>
      </c>
      <c r="I286" s="2113"/>
      <c r="J286" s="2113"/>
      <c r="K286" s="2113"/>
      <c r="L286" s="2113"/>
      <c r="M286" s="2113"/>
      <c r="N286" s="2113"/>
      <c r="O286" s="2113"/>
      <c r="P286" s="2113"/>
      <c r="Q286" s="2113"/>
      <c r="R286" s="2113"/>
      <c r="T286" s="58" t="s">
        <v>576</v>
      </c>
      <c r="V286" s="58"/>
      <c r="W286" s="58"/>
      <c r="X286" s="58"/>
      <c r="Y286" s="58"/>
      <c r="AA286" s="2113" t="s">
        <v>2637</v>
      </c>
      <c r="AB286" s="2113"/>
      <c r="AC286" s="2113"/>
      <c r="AD286" s="2113"/>
      <c r="AE286" s="2113"/>
      <c r="AF286" s="2113"/>
      <c r="AG286" s="2113"/>
      <c r="AH286" s="2113"/>
      <c r="AI286" s="2113"/>
      <c r="AJ286" s="2113"/>
      <c r="AK286" s="2113"/>
      <c r="BN286" s="61"/>
    </row>
    <row r="287" spans="1:66" ht="12.95" customHeight="1">
      <c r="B287" s="58" t="s">
        <v>480</v>
      </c>
      <c r="C287" s="58"/>
      <c r="D287" s="58"/>
      <c r="E287" s="58"/>
      <c r="F287" s="58"/>
      <c r="H287" s="2091" t="str">
        <f>L274</f>
        <v>7530 Santa Monica Blvd</v>
      </c>
      <c r="I287" s="2091"/>
      <c r="J287" s="2091"/>
      <c r="K287" s="2091"/>
      <c r="L287" s="2091"/>
      <c r="M287" s="2091"/>
      <c r="N287" s="2091"/>
      <c r="O287" s="2091"/>
      <c r="P287" s="2091"/>
      <c r="Q287" s="2091"/>
      <c r="R287" s="2091"/>
      <c r="T287" s="58" t="s">
        <v>480</v>
      </c>
      <c r="V287" s="58"/>
      <c r="W287" s="58"/>
      <c r="X287" s="58"/>
      <c r="Y287" s="58"/>
      <c r="AA287" s="2091" t="s">
        <v>2638</v>
      </c>
      <c r="AB287" s="2091"/>
      <c r="AC287" s="2091"/>
      <c r="AD287" s="2091"/>
      <c r="AE287" s="2091"/>
      <c r="AF287" s="2091"/>
      <c r="AG287" s="2091"/>
      <c r="AH287" s="2091"/>
      <c r="AI287" s="2091"/>
      <c r="AJ287" s="2091"/>
      <c r="AK287" s="2091"/>
      <c r="BN287" s="61"/>
    </row>
    <row r="288" spans="1:66" ht="12.95" customHeight="1">
      <c r="B288" s="58" t="s">
        <v>481</v>
      </c>
      <c r="C288" s="58"/>
      <c r="D288" s="58"/>
      <c r="E288" s="58"/>
      <c r="F288" s="58"/>
      <c r="H288" s="2091" t="s">
        <v>2636</v>
      </c>
      <c r="I288" s="2091"/>
      <c r="J288" s="2091"/>
      <c r="K288" s="2091"/>
      <c r="L288" s="2091"/>
      <c r="M288" s="2091"/>
      <c r="N288" s="2091"/>
      <c r="O288" s="2091"/>
      <c r="P288" s="2091"/>
      <c r="Q288" s="2091"/>
      <c r="R288" s="2091"/>
      <c r="T288" s="58" t="s">
        <v>76</v>
      </c>
      <c r="V288" s="58"/>
      <c r="W288" s="58"/>
      <c r="X288" s="58"/>
      <c r="Y288" s="58"/>
      <c r="AA288" s="2091" t="s">
        <v>2639</v>
      </c>
      <c r="AB288" s="2091"/>
      <c r="AC288" s="2091"/>
      <c r="AD288" s="2091"/>
      <c r="AE288" s="2091"/>
      <c r="AF288" s="2091"/>
      <c r="AG288" s="2091"/>
      <c r="AH288" s="2091"/>
      <c r="AI288" s="2091"/>
      <c r="AJ288" s="2091"/>
      <c r="AK288" s="2091"/>
      <c r="BN288" s="61"/>
    </row>
    <row r="289" spans="2:66" ht="12.95" customHeight="1">
      <c r="B289" s="58" t="s">
        <v>88</v>
      </c>
      <c r="C289" s="58"/>
      <c r="D289" s="58"/>
      <c r="E289" s="58"/>
      <c r="F289" s="58"/>
      <c r="H289" s="2091" t="str">
        <f>L276</f>
        <v>Sergio Rosas</v>
      </c>
      <c r="I289" s="2091"/>
      <c r="J289" s="2091"/>
      <c r="K289" s="2091"/>
      <c r="L289" s="2091"/>
      <c r="M289" s="2091"/>
      <c r="N289" s="2091"/>
      <c r="O289" s="2091"/>
      <c r="P289" s="2091"/>
      <c r="Q289" s="2091"/>
      <c r="R289" s="2091"/>
      <c r="T289" s="58" t="s">
        <v>88</v>
      </c>
      <c r="V289" s="58"/>
      <c r="W289" s="58"/>
      <c r="X289" s="58"/>
      <c r="Y289" s="58"/>
      <c r="AA289" s="2091" t="s">
        <v>2640</v>
      </c>
      <c r="AB289" s="2091"/>
      <c r="AC289" s="2091"/>
      <c r="AD289" s="2091"/>
      <c r="AE289" s="2091"/>
      <c r="AF289" s="2091"/>
      <c r="AG289" s="2091"/>
      <c r="AH289" s="2091"/>
      <c r="AI289" s="2091"/>
      <c r="AJ289" s="2091"/>
      <c r="AK289" s="2091"/>
      <c r="BN289" s="61"/>
    </row>
    <row r="290" spans="2:66" ht="12.95" customHeight="1">
      <c r="B290" s="58" t="s">
        <v>89</v>
      </c>
      <c r="C290" s="58"/>
      <c r="D290" s="58"/>
      <c r="E290" s="58"/>
      <c r="F290" s="58"/>
      <c r="G290" s="58"/>
      <c r="H290" s="2258" t="str">
        <f>L277</f>
        <v>323-650-8771</v>
      </c>
      <c r="I290" s="2258"/>
      <c r="J290" s="2258"/>
      <c r="K290" s="2258"/>
      <c r="L290" s="2258"/>
      <c r="M290" s="2258"/>
      <c r="N290" s="7" t="s">
        <v>207</v>
      </c>
      <c r="O290" s="7"/>
      <c r="P290" s="2162">
        <f>T277</f>
        <v>127</v>
      </c>
      <c r="Q290" s="2162"/>
      <c r="R290" s="2162"/>
      <c r="S290" s="58"/>
      <c r="T290" s="58" t="s">
        <v>89</v>
      </c>
      <c r="V290" s="58"/>
      <c r="W290" s="58"/>
      <c r="X290" s="58"/>
      <c r="Y290" s="58"/>
      <c r="AA290" s="2257" t="s">
        <v>2641</v>
      </c>
      <c r="AB290" s="2258"/>
      <c r="AC290" s="2258"/>
      <c r="AD290" s="2258"/>
      <c r="AE290" s="2258"/>
      <c r="AF290" s="2258"/>
      <c r="AG290" s="7" t="s">
        <v>207</v>
      </c>
      <c r="AH290" s="7"/>
      <c r="AI290" s="2162"/>
      <c r="AJ290" s="2162"/>
      <c r="AK290" s="2162"/>
      <c r="BN290" s="61"/>
    </row>
    <row r="291" spans="2:66" ht="12.95" customHeight="1">
      <c r="B291" s="58" t="s">
        <v>90</v>
      </c>
      <c r="C291" s="58"/>
      <c r="D291" s="58"/>
      <c r="E291" s="58"/>
      <c r="F291" s="58"/>
      <c r="G291" s="58"/>
      <c r="H291" s="2159" t="str">
        <f>Y277</f>
        <v>323-650-4745</v>
      </c>
      <c r="I291" s="2159"/>
      <c r="J291" s="2159"/>
      <c r="K291" s="2159"/>
      <c r="L291" s="2159"/>
      <c r="M291" s="2159"/>
      <c r="N291" s="60"/>
      <c r="O291" s="60"/>
      <c r="P291" s="62"/>
      <c r="Q291" s="62"/>
      <c r="R291" s="62"/>
      <c r="S291" s="58"/>
      <c r="T291" s="58" t="s">
        <v>90</v>
      </c>
      <c r="V291" s="58"/>
      <c r="W291" s="58"/>
      <c r="X291" s="58"/>
      <c r="Y291" s="58"/>
      <c r="AA291" s="2239" t="s">
        <v>2642</v>
      </c>
      <c r="AB291" s="2159"/>
      <c r="AC291" s="2159"/>
      <c r="AD291" s="2159"/>
      <c r="AE291" s="2159"/>
      <c r="AF291" s="2159"/>
      <c r="AG291" s="60"/>
      <c r="AH291" s="60"/>
      <c r="AI291" s="62"/>
      <c r="AJ291" s="62"/>
      <c r="AK291" s="62"/>
      <c r="BN291" s="61"/>
    </row>
    <row r="292" spans="2:66" ht="12.95" customHeight="1">
      <c r="B292" s="58" t="s">
        <v>77</v>
      </c>
      <c r="C292" s="58"/>
      <c r="D292" s="58"/>
      <c r="E292" s="58"/>
      <c r="F292" s="58"/>
      <c r="G292" s="58"/>
      <c r="H292" s="2091" t="str">
        <f>L279</f>
        <v>General Partner</v>
      </c>
      <c r="I292" s="2091"/>
      <c r="J292" s="2091"/>
      <c r="K292" s="2091"/>
      <c r="L292" s="2091"/>
      <c r="M292" s="2091"/>
      <c r="N292" s="2113"/>
      <c r="O292" s="2113"/>
      <c r="P292" s="2113"/>
      <c r="Q292" s="2113"/>
      <c r="R292" s="2113"/>
      <c r="S292" s="58"/>
      <c r="T292" s="58" t="s">
        <v>77</v>
      </c>
      <c r="V292" s="58"/>
      <c r="W292" s="58"/>
      <c r="X292" s="58"/>
      <c r="Y292" s="58"/>
      <c r="AA292" s="2091" t="s">
        <v>2643</v>
      </c>
      <c r="AB292" s="2091"/>
      <c r="AC292" s="2091"/>
      <c r="AD292" s="2091"/>
      <c r="AE292" s="2091"/>
      <c r="AF292" s="2091"/>
      <c r="AG292" s="2113"/>
      <c r="AH292" s="2113"/>
      <c r="AI292" s="2113"/>
      <c r="AJ292" s="2113"/>
      <c r="AK292" s="2113"/>
      <c r="BN292" s="61"/>
    </row>
    <row r="293" spans="2:66" ht="12.95" customHeight="1">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5" customHeight="1">
      <c r="B294" s="58" t="s">
        <v>324</v>
      </c>
      <c r="C294" s="58"/>
      <c r="D294" s="58"/>
      <c r="E294" s="58"/>
      <c r="F294" s="58"/>
      <c r="H294" s="2113" t="s">
        <v>2644</v>
      </c>
      <c r="I294" s="2113"/>
      <c r="J294" s="2113"/>
      <c r="K294" s="2113"/>
      <c r="L294" s="2113"/>
      <c r="M294" s="2113"/>
      <c r="N294" s="2113"/>
      <c r="O294" s="2113"/>
      <c r="P294" s="2113"/>
      <c r="Q294" s="2113"/>
      <c r="R294" s="2113"/>
      <c r="T294" s="58" t="s">
        <v>365</v>
      </c>
      <c r="V294" s="58"/>
      <c r="W294" s="58"/>
      <c r="X294" s="58"/>
      <c r="Y294" s="58"/>
      <c r="AA294" s="2113" t="s">
        <v>2651</v>
      </c>
      <c r="AB294" s="2113"/>
      <c r="AC294" s="2113"/>
      <c r="AD294" s="2113"/>
      <c r="AE294" s="2113"/>
      <c r="AF294" s="2113"/>
      <c r="AG294" s="2113"/>
      <c r="AH294" s="2113"/>
      <c r="AI294" s="2113"/>
      <c r="AJ294" s="2113"/>
      <c r="AK294" s="2113"/>
      <c r="BN294" s="61"/>
    </row>
    <row r="295" spans="2:66" ht="12.95" customHeight="1">
      <c r="B295" s="58" t="s">
        <v>480</v>
      </c>
      <c r="C295" s="58"/>
      <c r="D295" s="58"/>
      <c r="E295" s="58"/>
      <c r="F295" s="58"/>
      <c r="H295" s="2091" t="s">
        <v>2645</v>
      </c>
      <c r="I295" s="2091"/>
      <c r="J295" s="2091"/>
      <c r="K295" s="2091"/>
      <c r="L295" s="2091"/>
      <c r="M295" s="2091"/>
      <c r="N295" s="2091"/>
      <c r="O295" s="2091"/>
      <c r="P295" s="2091"/>
      <c r="Q295" s="2091"/>
      <c r="R295" s="2091"/>
      <c r="T295" s="58" t="s">
        <v>480</v>
      </c>
      <c r="V295" s="58"/>
      <c r="W295" s="58"/>
      <c r="X295" s="58"/>
      <c r="Y295" s="58"/>
      <c r="AA295" s="2091"/>
      <c r="AB295" s="2091"/>
      <c r="AC295" s="2091"/>
      <c r="AD295" s="2091"/>
      <c r="AE295" s="2091"/>
      <c r="AF295" s="2091"/>
      <c r="AG295" s="2091"/>
      <c r="AH295" s="2091"/>
      <c r="AI295" s="2091"/>
      <c r="AJ295" s="2091"/>
      <c r="AK295" s="2091"/>
      <c r="BN295" s="61"/>
    </row>
    <row r="296" spans="2:66" ht="12.95" customHeight="1">
      <c r="B296" s="58" t="s">
        <v>481</v>
      </c>
      <c r="C296" s="58"/>
      <c r="D296" s="58"/>
      <c r="E296" s="58"/>
      <c r="F296" s="58"/>
      <c r="H296" s="2091" t="s">
        <v>2646</v>
      </c>
      <c r="I296" s="2091"/>
      <c r="J296" s="2091"/>
      <c r="K296" s="2091"/>
      <c r="L296" s="2091"/>
      <c r="M296" s="2091"/>
      <c r="N296" s="2091"/>
      <c r="O296" s="2091"/>
      <c r="P296" s="2091"/>
      <c r="Q296" s="2091"/>
      <c r="R296" s="2091"/>
      <c r="T296" s="58" t="s">
        <v>76</v>
      </c>
      <c r="V296" s="58"/>
      <c r="W296" s="58"/>
      <c r="X296" s="58"/>
      <c r="Y296" s="58"/>
      <c r="AA296" s="2091"/>
      <c r="AB296" s="2091"/>
      <c r="AC296" s="2091"/>
      <c r="AD296" s="2091"/>
      <c r="AE296" s="2091"/>
      <c r="AF296" s="2091"/>
      <c r="AG296" s="2091"/>
      <c r="AH296" s="2091"/>
      <c r="AI296" s="2091"/>
      <c r="AJ296" s="2091"/>
      <c r="AK296" s="2091"/>
      <c r="BN296" s="61"/>
    </row>
    <row r="297" spans="2:66" ht="12.95" customHeight="1">
      <c r="B297" s="58" t="s">
        <v>88</v>
      </c>
      <c r="C297" s="58"/>
      <c r="D297" s="58"/>
      <c r="E297" s="58"/>
      <c r="F297" s="58"/>
      <c r="H297" s="2091" t="s">
        <v>2647</v>
      </c>
      <c r="I297" s="2091"/>
      <c r="J297" s="2091"/>
      <c r="K297" s="2091"/>
      <c r="L297" s="2091"/>
      <c r="M297" s="2091"/>
      <c r="N297" s="2091"/>
      <c r="O297" s="2091"/>
      <c r="P297" s="2091"/>
      <c r="Q297" s="2091"/>
      <c r="R297" s="2091"/>
      <c r="T297" s="58" t="s">
        <v>88</v>
      </c>
      <c r="V297" s="58"/>
      <c r="W297" s="58"/>
      <c r="X297" s="58"/>
      <c r="Y297" s="58"/>
      <c r="AA297" s="2091"/>
      <c r="AB297" s="2091"/>
      <c r="AC297" s="2091"/>
      <c r="AD297" s="2091"/>
      <c r="AE297" s="2091"/>
      <c r="AF297" s="2091"/>
      <c r="AG297" s="2091"/>
      <c r="AH297" s="2091"/>
      <c r="AI297" s="2091"/>
      <c r="AJ297" s="2091"/>
      <c r="AK297" s="2091"/>
      <c r="BN297" s="61"/>
    </row>
    <row r="298" spans="2:66" ht="12.95" customHeight="1">
      <c r="B298" s="58" t="s">
        <v>89</v>
      </c>
      <c r="C298" s="58"/>
      <c r="D298" s="58"/>
      <c r="E298" s="58"/>
      <c r="F298" s="58"/>
      <c r="G298" s="58"/>
      <c r="H298" s="2257" t="s">
        <v>2648</v>
      </c>
      <c r="I298" s="2258"/>
      <c r="J298" s="2258"/>
      <c r="K298" s="2258"/>
      <c r="L298" s="2258"/>
      <c r="M298" s="2258"/>
      <c r="N298" s="7" t="s">
        <v>207</v>
      </c>
      <c r="O298" s="7"/>
      <c r="P298" s="2162">
        <v>8</v>
      </c>
      <c r="Q298" s="2162"/>
      <c r="R298" s="2162"/>
      <c r="S298" s="58"/>
      <c r="T298" s="58" t="s">
        <v>89</v>
      </c>
      <c r="V298" s="58"/>
      <c r="W298" s="58"/>
      <c r="X298" s="58"/>
      <c r="Y298" s="58"/>
      <c r="AA298" s="2258"/>
      <c r="AB298" s="2258"/>
      <c r="AC298" s="2258"/>
      <c r="AD298" s="2258"/>
      <c r="AE298" s="2258"/>
      <c r="AF298" s="2258"/>
      <c r="AG298" s="7" t="s">
        <v>207</v>
      </c>
      <c r="AH298" s="7"/>
      <c r="AI298" s="2162"/>
      <c r="AJ298" s="2162"/>
      <c r="AK298" s="2162"/>
      <c r="BN298" s="61"/>
    </row>
    <row r="299" spans="2:66" ht="12.95" customHeight="1">
      <c r="B299" s="58" t="s">
        <v>90</v>
      </c>
      <c r="C299" s="58"/>
      <c r="D299" s="58"/>
      <c r="E299" s="58"/>
      <c r="F299" s="58"/>
      <c r="G299" s="58"/>
      <c r="H299" s="2239" t="s">
        <v>2649</v>
      </c>
      <c r="I299" s="2159"/>
      <c r="J299" s="2159"/>
      <c r="K299" s="2159"/>
      <c r="L299" s="2159"/>
      <c r="M299" s="2159"/>
      <c r="N299" s="60"/>
      <c r="O299" s="60"/>
      <c r="P299" s="62"/>
      <c r="Q299" s="62"/>
      <c r="R299" s="62"/>
      <c r="S299" s="58"/>
      <c r="T299" s="58" t="s">
        <v>90</v>
      </c>
      <c r="V299" s="58"/>
      <c r="W299" s="58"/>
      <c r="X299" s="58"/>
      <c r="Y299" s="58"/>
      <c r="AA299" s="2159"/>
      <c r="AB299" s="2159"/>
      <c r="AC299" s="2159"/>
      <c r="AD299" s="2159"/>
      <c r="AE299" s="2159"/>
      <c r="AF299" s="2159"/>
      <c r="AG299" s="60"/>
      <c r="AH299" s="60"/>
      <c r="AI299" s="62"/>
      <c r="AJ299" s="62"/>
      <c r="AK299" s="62"/>
      <c r="BN299" s="61"/>
    </row>
    <row r="300" spans="2:66" ht="12.95" customHeight="1">
      <c r="B300" s="58" t="s">
        <v>77</v>
      </c>
      <c r="C300" s="58"/>
      <c r="D300" s="58"/>
      <c r="E300" s="58"/>
      <c r="F300" s="58"/>
      <c r="G300" s="58"/>
      <c r="H300" s="2091" t="s">
        <v>2650</v>
      </c>
      <c r="I300" s="2091"/>
      <c r="J300" s="2091"/>
      <c r="K300" s="2091"/>
      <c r="L300" s="2091"/>
      <c r="M300" s="2091"/>
      <c r="N300" s="2113"/>
      <c r="O300" s="2113"/>
      <c r="P300" s="2113"/>
      <c r="Q300" s="2113"/>
      <c r="R300" s="2113"/>
      <c r="S300" s="58"/>
      <c r="T300" s="58" t="s">
        <v>77</v>
      </c>
      <c r="V300" s="58"/>
      <c r="W300" s="58"/>
      <c r="X300" s="58"/>
      <c r="Y300" s="58"/>
      <c r="AA300" s="2091"/>
      <c r="AB300" s="2091"/>
      <c r="AC300" s="2091"/>
      <c r="AD300" s="2091"/>
      <c r="AE300" s="2091"/>
      <c r="AF300" s="2091"/>
      <c r="AG300" s="2113"/>
      <c r="AH300" s="2113"/>
      <c r="AI300" s="2113"/>
      <c r="AJ300" s="2113"/>
      <c r="AK300" s="2113"/>
      <c r="BN300" s="61"/>
    </row>
    <row r="301" spans="2:66" ht="12.95" customHeight="1">
      <c r="BN301" s="61"/>
    </row>
    <row r="302" spans="2:66" ht="12.95" customHeight="1">
      <c r="B302" s="58" t="s">
        <v>78</v>
      </c>
      <c r="C302" s="58"/>
      <c r="D302" s="58"/>
      <c r="E302" s="58"/>
      <c r="F302" s="58"/>
      <c r="H302" s="2113" t="s">
        <v>2652</v>
      </c>
      <c r="I302" s="2113"/>
      <c r="J302" s="2113"/>
      <c r="K302" s="2113"/>
      <c r="L302" s="2113"/>
      <c r="M302" s="2113"/>
      <c r="N302" s="2113"/>
      <c r="O302" s="2113"/>
      <c r="P302" s="2113"/>
      <c r="Q302" s="2113"/>
      <c r="R302" s="2113"/>
      <c r="T302" s="7" t="s">
        <v>907</v>
      </c>
      <c r="V302" s="58"/>
      <c r="W302" s="58"/>
      <c r="X302" s="58"/>
      <c r="Y302" s="58"/>
      <c r="AA302" s="2113" t="s">
        <v>2659</v>
      </c>
      <c r="AB302" s="2113"/>
      <c r="AC302" s="2113"/>
      <c r="AD302" s="2113"/>
      <c r="AE302" s="2113"/>
      <c r="AF302" s="2113"/>
      <c r="AG302" s="2113"/>
      <c r="AH302" s="2113"/>
      <c r="AI302" s="2113"/>
      <c r="AJ302" s="2113"/>
      <c r="AK302" s="2113"/>
      <c r="BN302" s="61"/>
    </row>
    <row r="303" spans="2:66" ht="12.95" customHeight="1">
      <c r="B303" s="58" t="s">
        <v>480</v>
      </c>
      <c r="C303" s="58"/>
      <c r="D303" s="58"/>
      <c r="E303" s="58"/>
      <c r="F303" s="58"/>
      <c r="H303" s="2091" t="s">
        <v>2653</v>
      </c>
      <c r="I303" s="2091"/>
      <c r="J303" s="2091"/>
      <c r="K303" s="2091"/>
      <c r="L303" s="2091"/>
      <c r="M303" s="2091"/>
      <c r="N303" s="2091"/>
      <c r="O303" s="2091"/>
      <c r="P303" s="2091"/>
      <c r="Q303" s="2091"/>
      <c r="R303" s="2091"/>
      <c r="T303" s="58" t="s">
        <v>480</v>
      </c>
      <c r="V303" s="58"/>
      <c r="W303" s="58"/>
      <c r="X303" s="58"/>
      <c r="Y303" s="58"/>
      <c r="AA303" s="2091" t="s">
        <v>2660</v>
      </c>
      <c r="AB303" s="2091"/>
      <c r="AC303" s="2091"/>
      <c r="AD303" s="2091"/>
      <c r="AE303" s="2091"/>
      <c r="AF303" s="2091"/>
      <c r="AG303" s="2091"/>
      <c r="AH303" s="2091"/>
      <c r="AI303" s="2091"/>
      <c r="AJ303" s="2091"/>
      <c r="AK303" s="2091"/>
      <c r="BN303" s="61"/>
    </row>
    <row r="304" spans="2:66" ht="12.95" customHeight="1">
      <c r="B304" s="58" t="s">
        <v>481</v>
      </c>
      <c r="C304" s="58"/>
      <c r="D304" s="58"/>
      <c r="E304" s="58"/>
      <c r="F304" s="58"/>
      <c r="H304" s="2091" t="s">
        <v>2654</v>
      </c>
      <c r="I304" s="2091"/>
      <c r="J304" s="2091"/>
      <c r="K304" s="2091"/>
      <c r="L304" s="2091"/>
      <c r="M304" s="2091"/>
      <c r="N304" s="2091"/>
      <c r="O304" s="2091"/>
      <c r="P304" s="2091"/>
      <c r="Q304" s="2091"/>
      <c r="R304" s="2091"/>
      <c r="T304" s="58" t="s">
        <v>76</v>
      </c>
      <c r="V304" s="58"/>
      <c r="W304" s="58"/>
      <c r="X304" s="58"/>
      <c r="Y304" s="58"/>
      <c r="AA304" s="2091" t="s">
        <v>2661</v>
      </c>
      <c r="AB304" s="2091"/>
      <c r="AC304" s="2091"/>
      <c r="AD304" s="2091"/>
      <c r="AE304" s="2091"/>
      <c r="AF304" s="2091"/>
      <c r="AG304" s="2091"/>
      <c r="AH304" s="2091"/>
      <c r="AI304" s="2091"/>
      <c r="AJ304" s="2091"/>
      <c r="AK304" s="2091"/>
      <c r="BN304" s="61"/>
    </row>
    <row r="305" spans="2:66" ht="12.95" customHeight="1">
      <c r="B305" s="58" t="s">
        <v>88</v>
      </c>
      <c r="C305" s="58"/>
      <c r="D305" s="58"/>
      <c r="E305" s="58"/>
      <c r="F305" s="58"/>
      <c r="H305" s="2091" t="s">
        <v>2655</v>
      </c>
      <c r="I305" s="2091"/>
      <c r="J305" s="2091"/>
      <c r="K305" s="2091"/>
      <c r="L305" s="2091"/>
      <c r="M305" s="2091"/>
      <c r="N305" s="2091"/>
      <c r="O305" s="2091"/>
      <c r="P305" s="2091"/>
      <c r="Q305" s="2091"/>
      <c r="R305" s="2091"/>
      <c r="T305" s="58" t="s">
        <v>88</v>
      </c>
      <c r="V305" s="58"/>
      <c r="W305" s="58"/>
      <c r="X305" s="58"/>
      <c r="Y305" s="58"/>
      <c r="AA305" s="2091" t="s">
        <v>2662</v>
      </c>
      <c r="AB305" s="2091"/>
      <c r="AC305" s="2091"/>
      <c r="AD305" s="2091"/>
      <c r="AE305" s="2091"/>
      <c r="AF305" s="2091"/>
      <c r="AG305" s="2091"/>
      <c r="AH305" s="2091"/>
      <c r="AI305" s="2091"/>
      <c r="AJ305" s="2091"/>
      <c r="AK305" s="2091"/>
      <c r="BN305" s="61"/>
    </row>
    <row r="306" spans="2:66" ht="12.95" customHeight="1">
      <c r="B306" s="58" t="s">
        <v>89</v>
      </c>
      <c r="C306" s="58"/>
      <c r="D306" s="58"/>
      <c r="E306" s="58"/>
      <c r="F306" s="58"/>
      <c r="G306" s="58"/>
      <c r="H306" s="2257" t="s">
        <v>2656</v>
      </c>
      <c r="I306" s="2258"/>
      <c r="J306" s="2258"/>
      <c r="K306" s="2258"/>
      <c r="L306" s="2258"/>
      <c r="M306" s="2258"/>
      <c r="N306" s="7" t="s">
        <v>207</v>
      </c>
      <c r="O306" s="7"/>
      <c r="P306" s="2162"/>
      <c r="Q306" s="2162"/>
      <c r="R306" s="2162"/>
      <c r="S306" s="58"/>
      <c r="T306" s="58" t="s">
        <v>89</v>
      </c>
      <c r="V306" s="58"/>
      <c r="W306" s="58"/>
      <c r="X306" s="58"/>
      <c r="Y306" s="58"/>
      <c r="AA306" s="2257" t="s">
        <v>2663</v>
      </c>
      <c r="AB306" s="2258"/>
      <c r="AC306" s="2258"/>
      <c r="AD306" s="2258"/>
      <c r="AE306" s="2258"/>
      <c r="AF306" s="2258"/>
      <c r="AG306" s="7" t="s">
        <v>207</v>
      </c>
      <c r="AH306" s="7"/>
      <c r="AI306" s="2162"/>
      <c r="AJ306" s="2162"/>
      <c r="AK306" s="2162"/>
      <c r="BN306" s="61"/>
    </row>
    <row r="307" spans="2:66" ht="12.95" customHeight="1">
      <c r="B307" s="58" t="s">
        <v>90</v>
      </c>
      <c r="C307" s="58"/>
      <c r="D307" s="58"/>
      <c r="E307" s="58"/>
      <c r="F307" s="58"/>
      <c r="G307" s="58"/>
      <c r="H307" s="2239" t="s">
        <v>2657</v>
      </c>
      <c r="I307" s="2159"/>
      <c r="J307" s="2159"/>
      <c r="K307" s="2159"/>
      <c r="L307" s="2159"/>
      <c r="M307" s="2159"/>
      <c r="N307" s="60"/>
      <c r="O307" s="60"/>
      <c r="P307" s="62"/>
      <c r="Q307" s="62"/>
      <c r="R307" s="62"/>
      <c r="S307" s="58"/>
      <c r="T307" s="58" t="s">
        <v>90</v>
      </c>
      <c r="V307" s="58"/>
      <c r="W307" s="58"/>
      <c r="X307" s="58"/>
      <c r="Y307" s="58"/>
      <c r="AA307" s="2239" t="s">
        <v>2664</v>
      </c>
      <c r="AB307" s="2159"/>
      <c r="AC307" s="2159"/>
      <c r="AD307" s="2159"/>
      <c r="AE307" s="2159"/>
      <c r="AF307" s="2159"/>
      <c r="AG307" s="60"/>
      <c r="AH307" s="60"/>
      <c r="AI307" s="62"/>
      <c r="AJ307" s="62"/>
      <c r="AK307" s="62"/>
      <c r="BN307" s="61"/>
    </row>
    <row r="308" spans="2:66" ht="12.95" customHeight="1">
      <c r="B308" s="58" t="s">
        <v>77</v>
      </c>
      <c r="C308" s="58"/>
      <c r="D308" s="58"/>
      <c r="E308" s="58"/>
      <c r="F308" s="58"/>
      <c r="G308" s="58"/>
      <c r="H308" s="2091" t="s">
        <v>2658</v>
      </c>
      <c r="I308" s="2091"/>
      <c r="J308" s="2091"/>
      <c r="K308" s="2091"/>
      <c r="L308" s="2091"/>
      <c r="M308" s="2091"/>
      <c r="N308" s="2113"/>
      <c r="O308" s="2113"/>
      <c r="P308" s="2113"/>
      <c r="Q308" s="2113"/>
      <c r="R308" s="2113"/>
      <c r="S308" s="58"/>
      <c r="T308" s="58" t="s">
        <v>77</v>
      </c>
      <c r="V308" s="58"/>
      <c r="W308" s="58"/>
      <c r="X308" s="58"/>
      <c r="Y308" s="58"/>
      <c r="AA308" s="2091" t="s">
        <v>2665</v>
      </c>
      <c r="AB308" s="2091"/>
      <c r="AC308" s="2091"/>
      <c r="AD308" s="2091"/>
      <c r="AE308" s="2091"/>
      <c r="AF308" s="2091"/>
      <c r="AG308" s="2113"/>
      <c r="AH308" s="2113"/>
      <c r="AI308" s="2113"/>
      <c r="AJ308" s="2113"/>
      <c r="AK308" s="2113"/>
      <c r="BN308" s="61"/>
    </row>
    <row r="309" spans="2:66" ht="12.95" customHeight="1">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2.95" customHeight="1">
      <c r="B310" s="7" t="s">
        <v>940</v>
      </c>
      <c r="C310" s="58"/>
      <c r="D310" s="58"/>
      <c r="E310" s="58"/>
      <c r="F310" s="58"/>
      <c r="H310" s="2113" t="str">
        <f t="shared" ref="H310:H316" si="0">H302</f>
        <v>Levitt &amp; Rosenblum</v>
      </c>
      <c r="I310" s="2113"/>
      <c r="J310" s="2113"/>
      <c r="K310" s="2113"/>
      <c r="L310" s="2113"/>
      <c r="M310" s="2113"/>
      <c r="N310" s="2113"/>
      <c r="O310" s="2113"/>
      <c r="P310" s="2113"/>
      <c r="Q310" s="2113"/>
      <c r="R310" s="2113"/>
      <c r="S310" s="58"/>
      <c r="T310" s="58" t="s">
        <v>366</v>
      </c>
      <c r="V310" s="58"/>
      <c r="W310" s="58"/>
      <c r="X310" s="58"/>
      <c r="Y310" s="58"/>
      <c r="AA310" s="2113" t="s">
        <v>2666</v>
      </c>
      <c r="AB310" s="2113"/>
      <c r="AC310" s="2113"/>
      <c r="AD310" s="2113"/>
      <c r="AE310" s="2113"/>
      <c r="AF310" s="2113"/>
      <c r="AG310" s="2113"/>
      <c r="AH310" s="2113"/>
      <c r="AI310" s="2113"/>
      <c r="AJ310" s="2113"/>
      <c r="AK310" s="2113"/>
      <c r="BN310" s="61"/>
    </row>
    <row r="311" spans="2:66" ht="12.95" customHeight="1">
      <c r="B311" s="58" t="s">
        <v>480</v>
      </c>
      <c r="C311" s="58"/>
      <c r="D311" s="58"/>
      <c r="E311" s="58"/>
      <c r="F311" s="58"/>
      <c r="H311" s="2091" t="str">
        <f t="shared" si="0"/>
        <v>10801 National Blvd. Ste. 604</v>
      </c>
      <c r="I311" s="2091"/>
      <c r="J311" s="2091"/>
      <c r="K311" s="2091"/>
      <c r="L311" s="2091"/>
      <c r="M311" s="2091"/>
      <c r="N311" s="2091"/>
      <c r="O311" s="2091"/>
      <c r="P311" s="2091"/>
      <c r="Q311" s="2091"/>
      <c r="R311" s="2091"/>
      <c r="S311" s="58"/>
      <c r="T311" s="58" t="s">
        <v>480</v>
      </c>
      <c r="V311" s="58"/>
      <c r="W311" s="58"/>
      <c r="X311" s="58"/>
      <c r="Y311" s="58"/>
      <c r="AA311" s="2091" t="s">
        <v>2667</v>
      </c>
      <c r="AB311" s="2091"/>
      <c r="AC311" s="2091"/>
      <c r="AD311" s="2091"/>
      <c r="AE311" s="2091"/>
      <c r="AF311" s="2091"/>
      <c r="AG311" s="2091"/>
      <c r="AH311" s="2091"/>
      <c r="AI311" s="2091"/>
      <c r="AJ311" s="2091"/>
      <c r="AK311" s="2091"/>
      <c r="BN311" s="61"/>
    </row>
    <row r="312" spans="2:66" ht="12.95" customHeight="1">
      <c r="B312" s="58" t="s">
        <v>481</v>
      </c>
      <c r="C312" s="58"/>
      <c r="D312" s="58"/>
      <c r="E312" s="58"/>
      <c r="F312" s="58"/>
      <c r="H312" s="2091" t="str">
        <f t="shared" si="0"/>
        <v>Los Angeles, CA 90064</v>
      </c>
      <c r="I312" s="2091"/>
      <c r="J312" s="2091"/>
      <c r="K312" s="2091"/>
      <c r="L312" s="2091"/>
      <c r="M312" s="2091"/>
      <c r="N312" s="2091"/>
      <c r="O312" s="2091"/>
      <c r="P312" s="2091"/>
      <c r="Q312" s="2091"/>
      <c r="R312" s="2091"/>
      <c r="S312" s="58"/>
      <c r="T312" s="58" t="s">
        <v>76</v>
      </c>
      <c r="V312" s="58"/>
      <c r="W312" s="58"/>
      <c r="X312" s="58"/>
      <c r="Y312" s="58"/>
      <c r="AA312" s="2091" t="s">
        <v>2668</v>
      </c>
      <c r="AB312" s="2091"/>
      <c r="AC312" s="2091"/>
      <c r="AD312" s="2091"/>
      <c r="AE312" s="2091"/>
      <c r="AF312" s="2091"/>
      <c r="AG312" s="2091"/>
      <c r="AH312" s="2091"/>
      <c r="AI312" s="2091"/>
      <c r="AJ312" s="2091"/>
      <c r="AK312" s="2091"/>
      <c r="BN312" s="61"/>
    </row>
    <row r="313" spans="2:66" ht="12.95" customHeight="1">
      <c r="B313" s="58" t="s">
        <v>88</v>
      </c>
      <c r="C313" s="58"/>
      <c r="D313" s="58"/>
      <c r="E313" s="58"/>
      <c r="F313" s="58"/>
      <c r="H313" s="2091" t="str">
        <f t="shared" si="0"/>
        <v>Jeff Rosenblum</v>
      </c>
      <c r="I313" s="2091"/>
      <c r="J313" s="2091"/>
      <c r="K313" s="2091"/>
      <c r="L313" s="2091"/>
      <c r="M313" s="2091"/>
      <c r="N313" s="2091"/>
      <c r="O313" s="2091"/>
      <c r="P313" s="2091"/>
      <c r="Q313" s="2091"/>
      <c r="R313" s="2091"/>
      <c r="S313" s="58"/>
      <c r="T313" s="58" t="s">
        <v>88</v>
      </c>
      <c r="V313" s="58"/>
      <c r="W313" s="58"/>
      <c r="X313" s="58"/>
      <c r="Y313" s="58"/>
      <c r="AA313" s="2091" t="s">
        <v>2669</v>
      </c>
      <c r="AB313" s="2091"/>
      <c r="AC313" s="2091"/>
      <c r="AD313" s="2091"/>
      <c r="AE313" s="2091"/>
      <c r="AF313" s="2091"/>
      <c r="AG313" s="2091"/>
      <c r="AH313" s="2091"/>
      <c r="AI313" s="2091"/>
      <c r="AJ313" s="2091"/>
      <c r="AK313" s="2091"/>
      <c r="BN313" s="61"/>
    </row>
    <row r="314" spans="2:66" ht="12.95" customHeight="1">
      <c r="B314" s="58" t="s">
        <v>89</v>
      </c>
      <c r="C314" s="58"/>
      <c r="D314" s="58"/>
      <c r="E314" s="58"/>
      <c r="F314" s="58"/>
      <c r="G314" s="58"/>
      <c r="H314" s="2258" t="str">
        <f t="shared" si="0"/>
        <v>310-441-1233</v>
      </c>
      <c r="I314" s="2258"/>
      <c r="J314" s="2258"/>
      <c r="K314" s="2258"/>
      <c r="L314" s="2258"/>
      <c r="M314" s="2258"/>
      <c r="N314" s="7" t="s">
        <v>207</v>
      </c>
      <c r="O314" s="7"/>
      <c r="P314" s="2162"/>
      <c r="Q314" s="2162"/>
      <c r="R314" s="2162"/>
      <c r="S314" s="58"/>
      <c r="T314" s="58" t="s">
        <v>89</v>
      </c>
      <c r="V314" s="58"/>
      <c r="W314" s="58"/>
      <c r="X314" s="58"/>
      <c r="Y314" s="58"/>
      <c r="AA314" s="2257" t="s">
        <v>2670</v>
      </c>
      <c r="AB314" s="2258"/>
      <c r="AC314" s="2258"/>
      <c r="AD314" s="2258"/>
      <c r="AE314" s="2258"/>
      <c r="AF314" s="2258"/>
      <c r="AG314" s="7" t="s">
        <v>207</v>
      </c>
      <c r="AH314" s="7"/>
      <c r="AI314" s="2162"/>
      <c r="AJ314" s="2162"/>
      <c r="AK314" s="2162"/>
      <c r="BN314" s="61"/>
    </row>
    <row r="315" spans="2:66" ht="12.95" customHeight="1">
      <c r="B315" s="58" t="s">
        <v>90</v>
      </c>
      <c r="C315" s="58"/>
      <c r="D315" s="58"/>
      <c r="E315" s="58"/>
      <c r="F315" s="58"/>
      <c r="G315" s="58"/>
      <c r="H315" s="2159" t="str">
        <f t="shared" si="0"/>
        <v>310-441-7995</v>
      </c>
      <c r="I315" s="2159"/>
      <c r="J315" s="2159"/>
      <c r="K315" s="2159"/>
      <c r="L315" s="2159"/>
      <c r="M315" s="2159"/>
      <c r="N315" s="60"/>
      <c r="O315" s="60"/>
      <c r="P315" s="62"/>
      <c r="Q315" s="62"/>
      <c r="R315" s="62"/>
      <c r="S315" s="58"/>
      <c r="T315" s="58" t="s">
        <v>90</v>
      </c>
      <c r="V315" s="58"/>
      <c r="W315" s="58"/>
      <c r="X315" s="58"/>
      <c r="Y315" s="58"/>
      <c r="AA315" s="2159"/>
      <c r="AB315" s="2159"/>
      <c r="AC315" s="2159"/>
      <c r="AD315" s="2159"/>
      <c r="AE315" s="2159"/>
      <c r="AF315" s="2159"/>
      <c r="AG315" s="60"/>
      <c r="AH315" s="60"/>
      <c r="AI315" s="62"/>
      <c r="AJ315" s="62"/>
      <c r="AK315" s="62"/>
      <c r="BN315" s="61"/>
    </row>
    <row r="316" spans="2:66" ht="12.95" customHeight="1">
      <c r="B316" s="58" t="s">
        <v>77</v>
      </c>
      <c r="C316" s="58"/>
      <c r="D316" s="58"/>
      <c r="E316" s="58"/>
      <c r="F316" s="58"/>
      <c r="G316" s="58"/>
      <c r="H316" s="2091" t="str">
        <f t="shared" si="0"/>
        <v>jeff@levittandrosenblum.com</v>
      </c>
      <c r="I316" s="2091"/>
      <c r="J316" s="2091"/>
      <c r="K316" s="2091"/>
      <c r="L316" s="2091"/>
      <c r="M316" s="2091"/>
      <c r="N316" s="2113"/>
      <c r="O316" s="2113"/>
      <c r="P316" s="2113"/>
      <c r="Q316" s="2113"/>
      <c r="R316" s="2113"/>
      <c r="S316" s="58"/>
      <c r="T316" s="58" t="s">
        <v>77</v>
      </c>
      <c r="V316" s="58"/>
      <c r="W316" s="58"/>
      <c r="X316" s="58"/>
      <c r="Y316" s="58"/>
      <c r="AA316" s="2091" t="s">
        <v>2671</v>
      </c>
      <c r="AB316" s="2091"/>
      <c r="AC316" s="2091"/>
      <c r="AD316" s="2091"/>
      <c r="AE316" s="2091"/>
      <c r="AF316" s="2091"/>
      <c r="AG316" s="2113"/>
      <c r="AH316" s="2113"/>
      <c r="AI316" s="2113"/>
      <c r="AJ316" s="2113"/>
      <c r="AK316" s="2113"/>
      <c r="BN316" s="61"/>
    </row>
    <row r="317" spans="2:66" ht="12.95" customHeight="1">
      <c r="BN317" s="61"/>
    </row>
    <row r="318" spans="2:66" ht="12.95" customHeight="1">
      <c r="B318" s="7" t="s">
        <v>941</v>
      </c>
      <c r="C318" s="58"/>
      <c r="D318" s="58"/>
      <c r="E318" s="58"/>
      <c r="F318" s="58"/>
      <c r="H318" s="2113" t="s">
        <v>2672</v>
      </c>
      <c r="I318" s="2113"/>
      <c r="J318" s="2113"/>
      <c r="K318" s="2113"/>
      <c r="L318" s="2113"/>
      <c r="M318" s="2113"/>
      <c r="N318" s="2113"/>
      <c r="O318" s="2113"/>
      <c r="P318" s="2113"/>
      <c r="Q318" s="2113"/>
      <c r="R318" s="2113"/>
      <c r="T318" s="58" t="s">
        <v>367</v>
      </c>
      <c r="V318" s="58"/>
      <c r="W318" s="58"/>
      <c r="X318" s="58"/>
      <c r="Y318" s="58"/>
      <c r="AA318" s="2113" t="s">
        <v>2678</v>
      </c>
      <c r="AB318" s="2113"/>
      <c r="AC318" s="2113"/>
      <c r="AD318" s="2113"/>
      <c r="AE318" s="2113"/>
      <c r="AF318" s="2113"/>
      <c r="AG318" s="2113"/>
      <c r="AH318" s="2113"/>
      <c r="AI318" s="2113"/>
      <c r="AJ318" s="2113"/>
      <c r="AK318" s="2113"/>
      <c r="BN318" s="61"/>
    </row>
    <row r="319" spans="2:66" ht="12.95" customHeight="1">
      <c r="B319" s="58" t="s">
        <v>480</v>
      </c>
      <c r="C319" s="58"/>
      <c r="D319" s="58"/>
      <c r="E319" s="58"/>
      <c r="F319" s="58"/>
      <c r="H319" s="2091" t="s">
        <v>2673</v>
      </c>
      <c r="I319" s="2091"/>
      <c r="J319" s="2091"/>
      <c r="K319" s="2091"/>
      <c r="L319" s="2091"/>
      <c r="M319" s="2091"/>
      <c r="N319" s="2091"/>
      <c r="O319" s="2091"/>
      <c r="P319" s="2091"/>
      <c r="Q319" s="2091"/>
      <c r="R319" s="2091"/>
      <c r="T319" s="58" t="s">
        <v>480</v>
      </c>
      <c r="V319" s="58"/>
      <c r="W319" s="58"/>
      <c r="X319" s="58"/>
      <c r="Y319" s="58"/>
      <c r="AA319" s="2091" t="s">
        <v>2679</v>
      </c>
      <c r="AB319" s="2091"/>
      <c r="AC319" s="2091"/>
      <c r="AD319" s="2091"/>
      <c r="AE319" s="2091"/>
      <c r="AF319" s="2091"/>
      <c r="AG319" s="2091"/>
      <c r="AH319" s="2091"/>
      <c r="AI319" s="2091"/>
      <c r="AJ319" s="2091"/>
      <c r="AK319" s="2091"/>
      <c r="BN319" s="61"/>
    </row>
    <row r="320" spans="2:66" ht="12.95" customHeight="1">
      <c r="B320" s="58" t="s">
        <v>481</v>
      </c>
      <c r="C320" s="58"/>
      <c r="D320" s="58"/>
      <c r="E320" s="58"/>
      <c r="F320" s="58"/>
      <c r="H320" s="2091" t="s">
        <v>2674</v>
      </c>
      <c r="I320" s="2091"/>
      <c r="J320" s="2091"/>
      <c r="K320" s="2091"/>
      <c r="L320" s="2091"/>
      <c r="M320" s="2091"/>
      <c r="N320" s="2091"/>
      <c r="O320" s="2091"/>
      <c r="P320" s="2091"/>
      <c r="Q320" s="2091"/>
      <c r="R320" s="2091"/>
      <c r="T320" s="58" t="s">
        <v>76</v>
      </c>
      <c r="V320" s="58"/>
      <c r="W320" s="58"/>
      <c r="X320" s="58"/>
      <c r="Y320" s="58"/>
      <c r="AA320" s="2091" t="s">
        <v>2680</v>
      </c>
      <c r="AB320" s="2091"/>
      <c r="AC320" s="2091"/>
      <c r="AD320" s="2091"/>
      <c r="AE320" s="2091"/>
      <c r="AF320" s="2091"/>
      <c r="AG320" s="2091"/>
      <c r="AH320" s="2091"/>
      <c r="AI320" s="2091"/>
      <c r="AJ320" s="2091"/>
      <c r="AK320" s="2091"/>
      <c r="BN320" s="61"/>
    </row>
    <row r="321" spans="1:66" ht="12.95" customHeight="1">
      <c r="A321" s="39"/>
      <c r="B321" s="58" t="s">
        <v>88</v>
      </c>
      <c r="C321" s="58"/>
      <c r="D321" s="58"/>
      <c r="E321" s="58"/>
      <c r="F321" s="58"/>
      <c r="H321" s="2091" t="s">
        <v>2675</v>
      </c>
      <c r="I321" s="2091"/>
      <c r="J321" s="2091"/>
      <c r="K321" s="2091"/>
      <c r="L321" s="2091"/>
      <c r="M321" s="2091"/>
      <c r="N321" s="2091"/>
      <c r="O321" s="2091"/>
      <c r="P321" s="2091"/>
      <c r="Q321" s="2091"/>
      <c r="R321" s="2091"/>
      <c r="T321" s="58" t="s">
        <v>88</v>
      </c>
      <c r="V321" s="58"/>
      <c r="W321" s="58"/>
      <c r="X321" s="58"/>
      <c r="Y321" s="58"/>
      <c r="AA321" s="2091" t="s">
        <v>2681</v>
      </c>
      <c r="AB321" s="2091"/>
      <c r="AC321" s="2091"/>
      <c r="AD321" s="2091"/>
      <c r="AE321" s="2091"/>
      <c r="AF321" s="2091"/>
      <c r="AG321" s="2091"/>
      <c r="AH321" s="2091"/>
      <c r="AI321" s="2091"/>
      <c r="AJ321" s="2091"/>
      <c r="AK321" s="2091"/>
      <c r="AL321" s="39"/>
      <c r="BN321" s="61"/>
    </row>
    <row r="322" spans="1:66" ht="12.95" customHeight="1">
      <c r="A322" s="39"/>
      <c r="B322" s="58" t="s">
        <v>89</v>
      </c>
      <c r="C322" s="58"/>
      <c r="D322" s="58"/>
      <c r="E322" s="58"/>
      <c r="F322" s="58"/>
      <c r="G322" s="58"/>
      <c r="H322" s="2257" t="s">
        <v>2676</v>
      </c>
      <c r="I322" s="2258"/>
      <c r="J322" s="2258"/>
      <c r="K322" s="2258"/>
      <c r="L322" s="2258"/>
      <c r="M322" s="2258"/>
      <c r="N322" s="7" t="s">
        <v>207</v>
      </c>
      <c r="O322" s="7"/>
      <c r="P322" s="2162"/>
      <c r="Q322" s="2162"/>
      <c r="R322" s="2162"/>
      <c r="S322" s="58"/>
      <c r="T322" s="58" t="s">
        <v>89</v>
      </c>
      <c r="V322" s="58"/>
      <c r="W322" s="58"/>
      <c r="X322" s="58"/>
      <c r="Y322" s="58"/>
      <c r="AA322" s="2257" t="s">
        <v>2682</v>
      </c>
      <c r="AB322" s="2258"/>
      <c r="AC322" s="2258"/>
      <c r="AD322" s="2258"/>
      <c r="AE322" s="2258"/>
      <c r="AF322" s="2258"/>
      <c r="AG322" s="7" t="s">
        <v>207</v>
      </c>
      <c r="AH322" s="7"/>
      <c r="AI322" s="2162"/>
      <c r="AJ322" s="2162"/>
      <c r="AK322" s="2162"/>
      <c r="AL322" s="39"/>
      <c r="BN322" s="61"/>
    </row>
    <row r="323" spans="1:66" ht="12.95" customHeight="1">
      <c r="A323" s="39"/>
      <c r="B323" s="58" t="s">
        <v>90</v>
      </c>
      <c r="C323" s="58"/>
      <c r="D323" s="58"/>
      <c r="E323" s="58"/>
      <c r="F323" s="58"/>
      <c r="G323" s="58"/>
      <c r="H323" s="2159"/>
      <c r="I323" s="2159"/>
      <c r="J323" s="2159"/>
      <c r="K323" s="2159"/>
      <c r="L323" s="2159"/>
      <c r="M323" s="2159"/>
      <c r="N323" s="60"/>
      <c r="O323" s="60"/>
      <c r="P323" s="62"/>
      <c r="Q323" s="62"/>
      <c r="R323" s="62"/>
      <c r="S323" s="58"/>
      <c r="T323" s="58" t="s">
        <v>90</v>
      </c>
      <c r="V323" s="58"/>
      <c r="W323" s="58"/>
      <c r="X323" s="58"/>
      <c r="Y323" s="58"/>
      <c r="AA323" s="2239" t="s">
        <v>2683</v>
      </c>
      <c r="AB323" s="2159"/>
      <c r="AC323" s="2159"/>
      <c r="AD323" s="2159"/>
      <c r="AE323" s="2159"/>
      <c r="AF323" s="2159"/>
      <c r="AG323" s="60"/>
      <c r="AH323" s="60"/>
      <c r="AI323" s="62"/>
      <c r="AJ323" s="62"/>
      <c r="AK323" s="62"/>
      <c r="AL323" s="39"/>
    </row>
    <row r="324" spans="1:66" ht="12.95" customHeight="1">
      <c r="A324" s="39"/>
      <c r="B324" s="58" t="s">
        <v>77</v>
      </c>
      <c r="C324" s="58"/>
      <c r="D324" s="58"/>
      <c r="E324" s="58"/>
      <c r="F324" s="58"/>
      <c r="G324" s="58"/>
      <c r="H324" s="2091" t="s">
        <v>2677</v>
      </c>
      <c r="I324" s="2091"/>
      <c r="J324" s="2091"/>
      <c r="K324" s="2091"/>
      <c r="L324" s="2091"/>
      <c r="M324" s="2091"/>
      <c r="N324" s="2113"/>
      <c r="O324" s="2113"/>
      <c r="P324" s="2113"/>
      <c r="Q324" s="2113"/>
      <c r="R324" s="2113"/>
      <c r="S324" s="58"/>
      <c r="T324" s="58" t="s">
        <v>77</v>
      </c>
      <c r="V324" s="58"/>
      <c r="W324" s="58"/>
      <c r="X324" s="58"/>
      <c r="Y324" s="58"/>
      <c r="AA324" s="2091" t="s">
        <v>2684</v>
      </c>
      <c r="AB324" s="2091"/>
      <c r="AC324" s="2091"/>
      <c r="AD324" s="2091"/>
      <c r="AE324" s="2091"/>
      <c r="AF324" s="2091"/>
      <c r="AG324" s="2113"/>
      <c r="AH324" s="2113"/>
      <c r="AI324" s="2113"/>
      <c r="AJ324" s="2113"/>
      <c r="AK324" s="2113"/>
      <c r="AL324" s="39"/>
    </row>
    <row r="325" spans="1:66" ht="12.95" customHeight="1">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2.95" customHeight="1">
      <c r="A326" s="39"/>
      <c r="B326" s="58" t="s">
        <v>368</v>
      </c>
      <c r="C326" s="58"/>
      <c r="D326" s="58"/>
      <c r="E326" s="58"/>
      <c r="F326" s="58"/>
      <c r="H326" s="2113" t="s">
        <v>2685</v>
      </c>
      <c r="I326" s="2113"/>
      <c r="J326" s="2113"/>
      <c r="K326" s="2113"/>
      <c r="L326" s="2113"/>
      <c r="M326" s="2113"/>
      <c r="N326" s="2113"/>
      <c r="O326" s="2113"/>
      <c r="P326" s="2113"/>
      <c r="Q326" s="2113"/>
      <c r="R326" s="2113"/>
      <c r="T326" s="58" t="s">
        <v>369</v>
      </c>
      <c r="V326" s="58"/>
      <c r="W326" s="58"/>
      <c r="X326" s="58"/>
      <c r="Y326" s="58"/>
      <c r="AA326" s="2113"/>
      <c r="AB326" s="2113"/>
      <c r="AC326" s="2113"/>
      <c r="AD326" s="2113"/>
      <c r="AE326" s="2113"/>
      <c r="AF326" s="2113"/>
      <c r="AG326" s="2113"/>
      <c r="AH326" s="2113"/>
      <c r="AI326" s="2113"/>
      <c r="AJ326" s="2113"/>
      <c r="AK326" s="2113"/>
      <c r="AL326" s="39"/>
    </row>
    <row r="327" spans="1:66" ht="12.95" customHeight="1">
      <c r="A327" s="39"/>
      <c r="B327" s="58" t="s">
        <v>480</v>
      </c>
      <c r="C327" s="58"/>
      <c r="D327" s="58"/>
      <c r="E327" s="58"/>
      <c r="F327" s="58"/>
      <c r="H327" s="2091" t="s">
        <v>2686</v>
      </c>
      <c r="I327" s="2091"/>
      <c r="J327" s="2091"/>
      <c r="K327" s="2091"/>
      <c r="L327" s="2091"/>
      <c r="M327" s="2091"/>
      <c r="N327" s="2091"/>
      <c r="O327" s="2091"/>
      <c r="P327" s="2091"/>
      <c r="Q327" s="2091"/>
      <c r="R327" s="2091"/>
      <c r="T327" s="58" t="s">
        <v>480</v>
      </c>
      <c r="V327" s="58"/>
      <c r="W327" s="58"/>
      <c r="X327" s="58"/>
      <c r="Y327" s="58"/>
      <c r="AA327" s="2091"/>
      <c r="AB327" s="2091"/>
      <c r="AC327" s="2091"/>
      <c r="AD327" s="2091"/>
      <c r="AE327" s="2091"/>
      <c r="AF327" s="2091"/>
      <c r="AG327" s="2091"/>
      <c r="AH327" s="2091"/>
      <c r="AI327" s="2091"/>
      <c r="AJ327" s="2091"/>
      <c r="AK327" s="2091"/>
      <c r="AL327" s="39"/>
    </row>
    <row r="328" spans="1:66" ht="12.95" customHeight="1">
      <c r="A328" s="39"/>
      <c r="B328" s="58" t="s">
        <v>481</v>
      </c>
      <c r="C328" s="58"/>
      <c r="D328" s="58"/>
      <c r="E328" s="58"/>
      <c r="F328" s="58"/>
      <c r="H328" s="2091" t="s">
        <v>2639</v>
      </c>
      <c r="I328" s="2091"/>
      <c r="J328" s="2091"/>
      <c r="K328" s="2091"/>
      <c r="L328" s="2091"/>
      <c r="M328" s="2091"/>
      <c r="N328" s="2091"/>
      <c r="O328" s="2091"/>
      <c r="P328" s="2091"/>
      <c r="Q328" s="2091"/>
      <c r="R328" s="2091"/>
      <c r="T328" s="58" t="s">
        <v>76</v>
      </c>
      <c r="V328" s="58"/>
      <c r="W328" s="58"/>
      <c r="X328" s="58"/>
      <c r="Y328" s="58"/>
      <c r="AA328" s="2091"/>
      <c r="AB328" s="2091"/>
      <c r="AC328" s="2091"/>
      <c r="AD328" s="2091"/>
      <c r="AE328" s="2091"/>
      <c r="AF328" s="2091"/>
      <c r="AG328" s="2091"/>
      <c r="AH328" s="2091"/>
      <c r="AI328" s="2091"/>
      <c r="AJ328" s="2091"/>
      <c r="AK328" s="2091"/>
      <c r="AL328" s="39"/>
    </row>
    <row r="329" spans="1:66" ht="12.95" customHeight="1">
      <c r="A329" s="39"/>
      <c r="B329" s="58" t="s">
        <v>88</v>
      </c>
      <c r="C329" s="58"/>
      <c r="D329" s="58"/>
      <c r="E329" s="58"/>
      <c r="F329" s="58"/>
      <c r="H329" s="2091" t="s">
        <v>2687</v>
      </c>
      <c r="I329" s="2091"/>
      <c r="J329" s="2091"/>
      <c r="K329" s="2091"/>
      <c r="L329" s="2091"/>
      <c r="M329" s="2091"/>
      <c r="N329" s="2091"/>
      <c r="O329" s="2091"/>
      <c r="P329" s="2091"/>
      <c r="Q329" s="2091"/>
      <c r="R329" s="2091"/>
      <c r="T329" s="58" t="s">
        <v>88</v>
      </c>
      <c r="V329" s="58"/>
      <c r="W329" s="58"/>
      <c r="X329" s="58"/>
      <c r="Y329" s="58"/>
      <c r="AA329" s="2091"/>
      <c r="AB329" s="2091"/>
      <c r="AC329" s="2091"/>
      <c r="AD329" s="2091"/>
      <c r="AE329" s="2091"/>
      <c r="AF329" s="2091"/>
      <c r="AG329" s="2091"/>
      <c r="AH329" s="2091"/>
      <c r="AI329" s="2091"/>
      <c r="AJ329" s="2091"/>
      <c r="AK329" s="2091"/>
      <c r="AL329" s="39"/>
    </row>
    <row r="330" spans="1:66" ht="12.95" customHeight="1">
      <c r="A330" s="39"/>
      <c r="B330" s="58" t="s">
        <v>89</v>
      </c>
      <c r="C330" s="58"/>
      <c r="D330" s="58"/>
      <c r="E330" s="58"/>
      <c r="F330" s="58"/>
      <c r="G330" s="58"/>
      <c r="H330" s="2257" t="s">
        <v>2688</v>
      </c>
      <c r="I330" s="2258"/>
      <c r="J330" s="2258"/>
      <c r="K330" s="2258"/>
      <c r="L330" s="2258"/>
      <c r="M330" s="2258"/>
      <c r="N330" s="7" t="s">
        <v>207</v>
      </c>
      <c r="O330" s="7"/>
      <c r="P330" s="2162"/>
      <c r="Q330" s="2162"/>
      <c r="R330" s="2162"/>
      <c r="S330" s="58"/>
      <c r="T330" s="58" t="s">
        <v>89</v>
      </c>
      <c r="V330" s="58"/>
      <c r="W330" s="58"/>
      <c r="X330" s="58"/>
      <c r="Y330" s="58"/>
      <c r="AA330" s="2258"/>
      <c r="AB330" s="2258"/>
      <c r="AC330" s="2258"/>
      <c r="AD330" s="2258"/>
      <c r="AE330" s="2258"/>
      <c r="AF330" s="2258"/>
      <c r="AG330" s="7" t="s">
        <v>207</v>
      </c>
      <c r="AH330" s="7"/>
      <c r="AI330" s="2162"/>
      <c r="AJ330" s="2162"/>
      <c r="AK330" s="2162"/>
      <c r="AL330" s="39"/>
    </row>
    <row r="331" spans="1:66" ht="12.95" customHeight="1">
      <c r="A331" s="39"/>
      <c r="B331" s="58" t="s">
        <v>90</v>
      </c>
      <c r="C331" s="58"/>
      <c r="D331" s="58"/>
      <c r="E331" s="58"/>
      <c r="F331" s="58"/>
      <c r="G331" s="58"/>
      <c r="H331" s="2159"/>
      <c r="I331" s="2159"/>
      <c r="J331" s="2159"/>
      <c r="K331" s="2159"/>
      <c r="L331" s="2159"/>
      <c r="M331" s="2159"/>
      <c r="N331" s="60"/>
      <c r="O331" s="60"/>
      <c r="P331" s="62"/>
      <c r="Q331" s="62"/>
      <c r="R331" s="62"/>
      <c r="S331" s="58"/>
      <c r="T331" s="58" t="s">
        <v>90</v>
      </c>
      <c r="V331" s="58"/>
      <c r="W331" s="58"/>
      <c r="X331" s="58"/>
      <c r="Y331" s="58"/>
      <c r="AA331" s="2159"/>
      <c r="AB331" s="2159"/>
      <c r="AC331" s="2159"/>
      <c r="AD331" s="2159"/>
      <c r="AE331" s="2159"/>
      <c r="AF331" s="2159"/>
      <c r="AG331" s="60"/>
      <c r="AH331" s="60"/>
      <c r="AI331" s="62"/>
      <c r="AJ331" s="62"/>
      <c r="AK331" s="62"/>
      <c r="AL331" s="39"/>
    </row>
    <row r="332" spans="1:66" ht="12.95" customHeight="1">
      <c r="A332" s="39"/>
      <c r="B332" s="58" t="s">
        <v>77</v>
      </c>
      <c r="C332" s="58"/>
      <c r="D332" s="58"/>
      <c r="E332" s="58"/>
      <c r="F332" s="58"/>
      <c r="G332" s="58"/>
      <c r="H332" s="2091" t="s">
        <v>2689</v>
      </c>
      <c r="I332" s="2091"/>
      <c r="J332" s="2091"/>
      <c r="K332" s="2091"/>
      <c r="L332" s="2091"/>
      <c r="M332" s="2091"/>
      <c r="N332" s="2113"/>
      <c r="O332" s="2113"/>
      <c r="P332" s="2113"/>
      <c r="Q332" s="2113"/>
      <c r="R332" s="2113"/>
      <c r="S332" s="58"/>
      <c r="T332" s="58" t="s">
        <v>77</v>
      </c>
      <c r="V332" s="58"/>
      <c r="W332" s="58"/>
      <c r="X332" s="58"/>
      <c r="Y332" s="58"/>
      <c r="AA332" s="2091"/>
      <c r="AB332" s="2091"/>
      <c r="AC332" s="2091"/>
      <c r="AD332" s="2091"/>
      <c r="AE332" s="2091"/>
      <c r="AF332" s="2091"/>
      <c r="AG332" s="2113"/>
      <c r="AH332" s="2113"/>
      <c r="AI332" s="2113"/>
      <c r="AJ332" s="2113"/>
      <c r="AK332" s="2113"/>
      <c r="AL332" s="39"/>
    </row>
    <row r="333" spans="1:66" ht="12.95"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2.95" customHeight="1">
      <c r="B334" s="58" t="s">
        <v>330</v>
      </c>
      <c r="C334" s="181"/>
      <c r="D334" s="181"/>
      <c r="E334" s="181"/>
      <c r="F334" s="181"/>
      <c r="G334" s="32"/>
      <c r="H334" s="2113" t="s">
        <v>2690</v>
      </c>
      <c r="I334" s="2113"/>
      <c r="J334" s="2113"/>
      <c r="K334" s="2113"/>
      <c r="L334" s="2113"/>
      <c r="M334" s="2113"/>
      <c r="N334" s="2113"/>
      <c r="O334" s="2113"/>
      <c r="P334" s="2113"/>
      <c r="Q334" s="2113"/>
      <c r="R334" s="2113"/>
      <c r="T334" s="400" t="s">
        <v>916</v>
      </c>
      <c r="V334" s="58"/>
      <c r="W334" s="58"/>
      <c r="X334" s="58"/>
      <c r="Y334" s="58"/>
      <c r="AA334" s="2113" t="s">
        <v>2697</v>
      </c>
      <c r="AB334" s="2113"/>
      <c r="AC334" s="2113"/>
      <c r="AD334" s="2113"/>
      <c r="AE334" s="2113"/>
      <c r="AF334" s="2113"/>
      <c r="AG334" s="2113"/>
      <c r="AH334" s="2113"/>
      <c r="AI334" s="2113"/>
      <c r="AJ334" s="2113"/>
      <c r="AK334" s="2113"/>
      <c r="AL334" s="39"/>
    </row>
    <row r="335" spans="1:66" ht="12.95" customHeight="1">
      <c r="B335" s="58" t="s">
        <v>480</v>
      </c>
      <c r="C335" s="239"/>
      <c r="D335" s="239"/>
      <c r="E335" s="239"/>
      <c r="F335" s="239"/>
      <c r="G335" s="3"/>
      <c r="H335" s="2091" t="s">
        <v>2691</v>
      </c>
      <c r="I335" s="2091"/>
      <c r="J335" s="2091"/>
      <c r="K335" s="2091"/>
      <c r="L335" s="2091"/>
      <c r="M335" s="2091"/>
      <c r="N335" s="2091"/>
      <c r="O335" s="2091"/>
      <c r="P335" s="2091"/>
      <c r="Q335" s="2091"/>
      <c r="R335" s="2091"/>
      <c r="T335" s="58" t="s">
        <v>480</v>
      </c>
      <c r="V335" s="58"/>
      <c r="W335" s="58"/>
      <c r="X335" s="58"/>
      <c r="Y335" s="58"/>
      <c r="AA335" s="2091" t="s">
        <v>2698</v>
      </c>
      <c r="AB335" s="2091"/>
      <c r="AC335" s="2091"/>
      <c r="AD335" s="2091"/>
      <c r="AE335" s="2091"/>
      <c r="AF335" s="2091"/>
      <c r="AG335" s="2091"/>
      <c r="AH335" s="2091"/>
      <c r="AI335" s="2091"/>
      <c r="AJ335" s="2091"/>
      <c r="AK335" s="2091"/>
      <c r="AL335" s="39"/>
    </row>
    <row r="336" spans="1:66" ht="12.95" customHeight="1">
      <c r="B336" s="58" t="s">
        <v>76</v>
      </c>
      <c r="C336" s="239"/>
      <c r="D336" s="239"/>
      <c r="E336" s="239"/>
      <c r="F336" s="239"/>
      <c r="G336" s="3"/>
      <c r="H336" s="2091" t="s">
        <v>2692</v>
      </c>
      <c r="I336" s="2091"/>
      <c r="J336" s="2091"/>
      <c r="K336" s="2091"/>
      <c r="L336" s="2091"/>
      <c r="M336" s="2091"/>
      <c r="N336" s="2091"/>
      <c r="O336" s="2091"/>
      <c r="P336" s="2091"/>
      <c r="Q336" s="2091"/>
      <c r="R336" s="2091"/>
      <c r="T336" s="58" t="s">
        <v>76</v>
      </c>
      <c r="V336" s="58"/>
      <c r="W336" s="58"/>
      <c r="X336" s="58"/>
      <c r="Y336" s="58"/>
      <c r="AA336" s="2091" t="s">
        <v>2699</v>
      </c>
      <c r="AB336" s="2091"/>
      <c r="AC336" s="2091"/>
      <c r="AD336" s="2091"/>
      <c r="AE336" s="2091"/>
      <c r="AF336" s="2091"/>
      <c r="AG336" s="2091"/>
      <c r="AH336" s="2091"/>
      <c r="AI336" s="2091"/>
      <c r="AJ336" s="2091"/>
      <c r="AK336" s="2091"/>
      <c r="AL336" s="39"/>
    </row>
    <row r="337" spans="1:66" ht="12.95" customHeight="1">
      <c r="A337" s="39"/>
      <c r="B337" s="58" t="s">
        <v>88</v>
      </c>
      <c r="C337" s="239"/>
      <c r="D337" s="239"/>
      <c r="E337" s="239"/>
      <c r="F337" s="239"/>
      <c r="G337" s="239"/>
      <c r="H337" s="2091" t="s">
        <v>2693</v>
      </c>
      <c r="I337" s="2091"/>
      <c r="J337" s="2091"/>
      <c r="K337" s="2091"/>
      <c r="L337" s="2091"/>
      <c r="M337" s="2091"/>
      <c r="N337" s="2091"/>
      <c r="O337" s="2091"/>
      <c r="P337" s="2091"/>
      <c r="Q337" s="2091"/>
      <c r="R337" s="2091"/>
      <c r="T337" s="58" t="s">
        <v>88</v>
      </c>
      <c r="V337" s="58"/>
      <c r="W337" s="58"/>
      <c r="X337" s="58"/>
      <c r="Y337" s="58"/>
      <c r="AA337" s="2091" t="s">
        <v>2700</v>
      </c>
      <c r="AB337" s="2091"/>
      <c r="AC337" s="2091"/>
      <c r="AD337" s="2091"/>
      <c r="AE337" s="2091"/>
      <c r="AF337" s="2091"/>
      <c r="AG337" s="2091"/>
      <c r="AH337" s="2091"/>
      <c r="AI337" s="2091"/>
      <c r="AJ337" s="2091"/>
      <c r="AK337" s="2091"/>
      <c r="AL337" s="39"/>
    </row>
    <row r="338" spans="1:66" ht="12.95" customHeight="1">
      <c r="A338" s="39"/>
      <c r="B338" s="58" t="s">
        <v>89</v>
      </c>
      <c r="C338" s="239"/>
      <c r="D338" s="239"/>
      <c r="E338" s="239"/>
      <c r="F338" s="239"/>
      <c r="G338" s="239"/>
      <c r="H338" s="2257" t="s">
        <v>2694</v>
      </c>
      <c r="I338" s="2258"/>
      <c r="J338" s="2258"/>
      <c r="K338" s="2258"/>
      <c r="L338" s="2258"/>
      <c r="M338" s="2258"/>
      <c r="N338" s="7" t="s">
        <v>207</v>
      </c>
      <c r="O338" s="7"/>
      <c r="P338" s="2162"/>
      <c r="Q338" s="2162"/>
      <c r="R338" s="2162"/>
      <c r="S338" s="58"/>
      <c r="T338" s="58" t="s">
        <v>89</v>
      </c>
      <c r="V338" s="58"/>
      <c r="W338" s="58"/>
      <c r="X338" s="58"/>
      <c r="Y338" s="58"/>
      <c r="AA338" s="2257" t="s">
        <v>2701</v>
      </c>
      <c r="AB338" s="2258"/>
      <c r="AC338" s="2258"/>
      <c r="AD338" s="2258"/>
      <c r="AE338" s="2258"/>
      <c r="AF338" s="2258"/>
      <c r="AG338" s="7" t="s">
        <v>207</v>
      </c>
      <c r="AH338" s="7"/>
      <c r="AI338" s="2162">
        <v>242</v>
      </c>
      <c r="AJ338" s="2162"/>
      <c r="AK338" s="2162"/>
      <c r="AL338" s="39"/>
    </row>
    <row r="339" spans="1:66" ht="12.95" customHeight="1">
      <c r="A339" s="39"/>
      <c r="B339" s="58" t="s">
        <v>90</v>
      </c>
      <c r="C339" s="239"/>
      <c r="D339" s="239"/>
      <c r="E339" s="239"/>
      <c r="F339" s="239"/>
      <c r="G339" s="239"/>
      <c r="H339" s="2239" t="s">
        <v>2695</v>
      </c>
      <c r="I339" s="2159"/>
      <c r="J339" s="2159"/>
      <c r="K339" s="2159"/>
      <c r="L339" s="2159"/>
      <c r="M339" s="2159"/>
      <c r="N339" s="60"/>
      <c r="O339" s="60"/>
      <c r="P339" s="62"/>
      <c r="Q339" s="62"/>
      <c r="R339" s="62"/>
      <c r="S339" s="58"/>
      <c r="T339" s="58" t="s">
        <v>90</v>
      </c>
      <c r="V339" s="58"/>
      <c r="W339" s="58"/>
      <c r="X339" s="58"/>
      <c r="Y339" s="58"/>
      <c r="AA339" s="2159"/>
      <c r="AB339" s="2159"/>
      <c r="AC339" s="2159"/>
      <c r="AD339" s="2159"/>
      <c r="AE339" s="2159"/>
      <c r="AF339" s="2159"/>
      <c r="AG339" s="60"/>
      <c r="AH339" s="60"/>
      <c r="AI339" s="62"/>
      <c r="AJ339" s="62"/>
      <c r="AK339" s="62"/>
      <c r="AL339" s="39"/>
    </row>
    <row r="340" spans="1:66" ht="12.95" customHeight="1">
      <c r="A340" s="39"/>
      <c r="B340" s="58" t="s">
        <v>77</v>
      </c>
      <c r="C340" s="236"/>
      <c r="D340" s="236"/>
      <c r="E340" s="236"/>
      <c r="F340" s="236"/>
      <c r="G340" s="236"/>
      <c r="H340" s="2091" t="s">
        <v>2696</v>
      </c>
      <c r="I340" s="2091"/>
      <c r="J340" s="2091"/>
      <c r="K340" s="2091"/>
      <c r="L340" s="2091"/>
      <c r="M340" s="2091"/>
      <c r="N340" s="2113"/>
      <c r="O340" s="2113"/>
      <c r="P340" s="2113"/>
      <c r="Q340" s="2113"/>
      <c r="R340" s="2113"/>
      <c r="S340" s="58"/>
      <c r="T340" s="58" t="s">
        <v>77</v>
      </c>
      <c r="V340" s="58"/>
      <c r="W340" s="58"/>
      <c r="X340" s="58"/>
      <c r="Y340" s="58"/>
      <c r="AA340" s="2091" t="s">
        <v>2702</v>
      </c>
      <c r="AB340" s="2091"/>
      <c r="AC340" s="2091"/>
      <c r="AD340" s="2091"/>
      <c r="AE340" s="2091"/>
      <c r="AF340" s="2091"/>
      <c r="AG340" s="2113"/>
      <c r="AH340" s="2113"/>
      <c r="AI340" s="2113"/>
      <c r="AJ340" s="2113"/>
      <c r="AK340" s="2113"/>
      <c r="AL340" s="39"/>
    </row>
    <row r="341" spans="1:66" ht="12.95"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2.95" customHeight="1">
      <c r="A342" s="3"/>
      <c r="B342" s="239"/>
      <c r="C342" s="401"/>
      <c r="D342" s="401"/>
      <c r="E342" s="401"/>
      <c r="F342" s="401"/>
      <c r="G342" s="88"/>
      <c r="H342" s="88"/>
      <c r="I342" s="400" t="s">
        <v>917</v>
      </c>
      <c r="P342" s="2113"/>
      <c r="Q342" s="2113"/>
      <c r="R342" s="2113"/>
      <c r="S342" s="2113"/>
      <c r="T342" s="2113"/>
      <c r="U342" s="2113"/>
      <c r="V342" s="2113"/>
      <c r="W342" s="2113"/>
      <c r="X342" s="2113"/>
      <c r="Y342" s="2113"/>
      <c r="Z342" s="2113"/>
      <c r="AA342" s="2113"/>
      <c r="AB342" s="2113"/>
      <c r="AC342" s="2113"/>
      <c r="AD342" s="2113"/>
      <c r="AE342" s="2113"/>
      <c r="AF342" s="88"/>
      <c r="AG342" s="88"/>
      <c r="AH342" s="88"/>
      <c r="AI342" s="88"/>
      <c r="AJ342" s="88"/>
      <c r="AK342" s="88"/>
      <c r="AL342" s="39"/>
      <c r="BN342" s="12" t="s">
        <v>600</v>
      </c>
    </row>
    <row r="343" spans="1:66" ht="12.95" customHeight="1">
      <c r="A343" s="3"/>
      <c r="B343" s="60"/>
      <c r="C343" s="60"/>
      <c r="D343" s="60"/>
      <c r="E343" s="60"/>
      <c r="F343" s="60"/>
      <c r="G343" s="3"/>
      <c r="H343" s="88"/>
      <c r="I343" s="7" t="s">
        <v>480</v>
      </c>
      <c r="P343" s="2091"/>
      <c r="Q343" s="2091"/>
      <c r="R343" s="2091"/>
      <c r="S343" s="2091"/>
      <c r="T343" s="2091"/>
      <c r="U343" s="2091"/>
      <c r="V343" s="2091"/>
      <c r="W343" s="2091"/>
      <c r="X343" s="2091"/>
      <c r="Y343" s="2091"/>
      <c r="Z343" s="2091"/>
      <c r="AA343" s="2091"/>
      <c r="AB343" s="2091"/>
      <c r="AC343" s="2091"/>
      <c r="AD343" s="2091"/>
      <c r="AE343" s="2091"/>
      <c r="AF343" s="88"/>
      <c r="AG343" s="88"/>
      <c r="AH343" s="88"/>
      <c r="AI343" s="88"/>
      <c r="AJ343" s="88"/>
      <c r="AK343" s="88"/>
      <c r="AL343" s="39"/>
      <c r="BN343" s="12" t="s">
        <v>678</v>
      </c>
    </row>
    <row r="344" spans="1:66" ht="12.95" customHeight="1">
      <c r="A344" s="3"/>
      <c r="B344" s="60"/>
      <c r="C344" s="60"/>
      <c r="D344" s="60"/>
      <c r="E344" s="60"/>
      <c r="F344" s="60"/>
      <c r="G344" s="3"/>
      <c r="H344" s="88"/>
      <c r="I344" s="7" t="s">
        <v>76</v>
      </c>
      <c r="P344" s="2091"/>
      <c r="Q344" s="2091"/>
      <c r="R344" s="2091"/>
      <c r="S344" s="2091"/>
      <c r="T344" s="2091"/>
      <c r="U344" s="2091"/>
      <c r="V344" s="2091"/>
      <c r="W344" s="2091"/>
      <c r="X344" s="2091"/>
      <c r="Y344" s="2091"/>
      <c r="Z344" s="2091"/>
      <c r="AA344" s="2091"/>
      <c r="AB344" s="2091"/>
      <c r="AC344" s="2091"/>
      <c r="AD344" s="2091"/>
      <c r="AE344" s="2091"/>
      <c r="AF344" s="88"/>
      <c r="AG344" s="88"/>
      <c r="AH344" s="88"/>
      <c r="AI344" s="88"/>
      <c r="AJ344" s="88"/>
      <c r="AK344" s="88"/>
      <c r="AL344" s="39"/>
      <c r="BN344" s="12" t="s">
        <v>554</v>
      </c>
    </row>
    <row r="345" spans="1:66" ht="12.95" customHeight="1">
      <c r="A345" s="3"/>
      <c r="B345" s="60"/>
      <c r="C345" s="60"/>
      <c r="D345" s="60"/>
      <c r="E345" s="60"/>
      <c r="F345" s="60"/>
      <c r="G345" s="60"/>
      <c r="H345" s="88"/>
      <c r="I345" s="7" t="s">
        <v>88</v>
      </c>
      <c r="P345" s="2091"/>
      <c r="Q345" s="2091"/>
      <c r="R345" s="2091"/>
      <c r="S345" s="2091"/>
      <c r="T345" s="2091"/>
      <c r="U345" s="2091"/>
      <c r="V345" s="2091"/>
      <c r="W345" s="2091"/>
      <c r="X345" s="2091"/>
      <c r="Y345" s="2091"/>
      <c r="Z345" s="2091"/>
      <c r="AA345" s="2091"/>
      <c r="AB345" s="2091"/>
      <c r="AC345" s="2091"/>
      <c r="AD345" s="2091"/>
      <c r="AE345" s="2091"/>
      <c r="AF345" s="88"/>
      <c r="AG345" s="88"/>
      <c r="AH345" s="88"/>
      <c r="AI345" s="88"/>
      <c r="AJ345" s="88"/>
      <c r="AK345" s="88"/>
      <c r="AL345" s="39"/>
    </row>
    <row r="346" spans="1:66" ht="12.95" customHeight="1">
      <c r="A346" s="3"/>
      <c r="B346" s="60"/>
      <c r="C346" s="60"/>
      <c r="D346" s="60"/>
      <c r="E346" s="60"/>
      <c r="F346" s="60"/>
      <c r="G346" s="60"/>
      <c r="H346" s="460"/>
      <c r="I346" s="7" t="s">
        <v>89</v>
      </c>
      <c r="P346" s="2159"/>
      <c r="Q346" s="2159"/>
      <c r="R346" s="2159"/>
      <c r="S346" s="2159"/>
      <c r="T346" s="2159"/>
      <c r="U346" s="2159"/>
      <c r="V346" s="2159"/>
      <c r="W346" s="2159"/>
      <c r="X346" s="2159"/>
      <c r="Y346" s="2159"/>
      <c r="Z346" s="2159"/>
      <c r="AA346" s="7" t="s">
        <v>207</v>
      </c>
      <c r="AB346" s="7"/>
      <c r="AC346" s="2167"/>
      <c r="AD346" s="2167"/>
      <c r="AE346" s="2167"/>
      <c r="AF346" s="460"/>
      <c r="AG346" s="60"/>
      <c r="AH346" s="60"/>
      <c r="AI346" s="401"/>
      <c r="AJ346" s="401"/>
      <c r="AK346" s="401"/>
      <c r="AL346" s="39"/>
    </row>
    <row r="347" spans="1:66" ht="12.95" customHeight="1">
      <c r="A347" s="3"/>
      <c r="B347" s="60"/>
      <c r="C347" s="60"/>
      <c r="D347" s="60"/>
      <c r="E347" s="60"/>
      <c r="F347" s="60"/>
      <c r="G347" s="60"/>
      <c r="H347" s="460"/>
      <c r="I347" s="7" t="s">
        <v>90</v>
      </c>
      <c r="P347" s="2159"/>
      <c r="Q347" s="2159"/>
      <c r="R347" s="2159"/>
      <c r="S347" s="2159"/>
      <c r="T347" s="2159"/>
      <c r="U347" s="2159"/>
      <c r="V347" s="2159"/>
      <c r="W347" s="2159"/>
      <c r="X347" s="2159"/>
      <c r="Y347" s="2159"/>
      <c r="Z347" s="2159"/>
      <c r="AF347" s="460"/>
      <c r="AG347" s="60"/>
      <c r="AH347" s="60"/>
      <c r="AI347" s="62"/>
      <c r="AJ347" s="62"/>
      <c r="AK347" s="62"/>
      <c r="AL347" s="39"/>
    </row>
    <row r="348" spans="1:66" ht="12.95" customHeight="1">
      <c r="A348" s="3"/>
      <c r="B348" s="60"/>
      <c r="C348" s="401"/>
      <c r="D348" s="401"/>
      <c r="E348" s="401"/>
      <c r="F348" s="401"/>
      <c r="G348" s="401"/>
      <c r="H348" s="88"/>
      <c r="I348" s="7" t="s">
        <v>77</v>
      </c>
      <c r="P348" s="2113"/>
      <c r="Q348" s="2113"/>
      <c r="R348" s="2113"/>
      <c r="S348" s="2113"/>
      <c r="T348" s="2113"/>
      <c r="U348" s="2113"/>
      <c r="V348" s="2113"/>
      <c r="W348" s="2113"/>
      <c r="X348" s="2113"/>
      <c r="Y348" s="2113"/>
      <c r="Z348" s="2113"/>
      <c r="AA348" s="2113"/>
      <c r="AB348" s="2113"/>
      <c r="AC348" s="2113"/>
      <c r="AD348" s="2113"/>
      <c r="AE348" s="2113"/>
      <c r="AF348" s="88"/>
      <c r="AG348" s="88"/>
      <c r="AH348" s="88"/>
      <c r="AI348" s="88"/>
      <c r="AJ348" s="88"/>
      <c r="AK348" s="88"/>
      <c r="AL348" s="39"/>
    </row>
    <row r="349" spans="1:66" ht="12.9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5" customHeight="1">
      <c r="A350" s="2176" t="s">
        <v>551</v>
      </c>
      <c r="B350" s="2176"/>
      <c r="C350" s="2176"/>
      <c r="D350" s="2176"/>
      <c r="E350" s="2176"/>
      <c r="F350" s="2176"/>
      <c r="G350" s="2176"/>
      <c r="H350" s="2176"/>
      <c r="I350" s="2176"/>
      <c r="J350" s="2176"/>
      <c r="K350" s="2176"/>
      <c r="L350" s="2176"/>
      <c r="M350" s="2176"/>
      <c r="N350" s="2176"/>
      <c r="O350" s="2176"/>
      <c r="P350" s="2176"/>
      <c r="Q350" s="2176"/>
      <c r="R350" s="2176"/>
      <c r="S350" s="2176"/>
      <c r="T350" s="2176"/>
      <c r="U350" s="2176"/>
      <c r="V350" s="2176"/>
      <c r="W350" s="2176"/>
      <c r="X350" s="2176"/>
      <c r="Y350" s="2176"/>
      <c r="Z350" s="2176"/>
      <c r="AA350" s="2176"/>
      <c r="AB350" s="2176"/>
      <c r="AC350" s="2176"/>
      <c r="AD350" s="2176"/>
      <c r="AE350" s="2176"/>
      <c r="AF350" s="2176"/>
      <c r="AG350" s="2176"/>
      <c r="AH350" s="2176"/>
      <c r="AI350" s="2176"/>
      <c r="AJ350" s="2176"/>
      <c r="AK350" s="2176"/>
      <c r="AL350" s="2176"/>
      <c r="AM350" s="144"/>
      <c r="AN350" s="144"/>
      <c r="AO350" s="144"/>
      <c r="AP350" s="144"/>
      <c r="AQ350" s="144"/>
      <c r="AR350" s="144"/>
      <c r="AS350" s="144"/>
      <c r="AT350" s="144"/>
      <c r="AU350" s="144"/>
      <c r="AV350" s="144"/>
      <c r="AW350" s="144"/>
      <c r="AX350" s="144"/>
      <c r="AY350" s="144"/>
    </row>
    <row r="351" spans="1:66" ht="12.95" customHeight="1" thickBot="1">
      <c r="A351" s="2177"/>
      <c r="B351" s="2177"/>
      <c r="C351" s="2177"/>
      <c r="D351" s="2177"/>
      <c r="E351" s="2177"/>
      <c r="F351" s="2177"/>
      <c r="G351" s="2177"/>
      <c r="H351" s="2177"/>
      <c r="I351" s="2177"/>
      <c r="J351" s="2177"/>
      <c r="K351" s="2177"/>
      <c r="L351" s="2177"/>
      <c r="M351" s="2177"/>
      <c r="N351" s="2177"/>
      <c r="O351" s="2177"/>
      <c r="P351" s="2177"/>
      <c r="Q351" s="2177"/>
      <c r="R351" s="2177"/>
      <c r="S351" s="2177"/>
      <c r="T351" s="2177"/>
      <c r="U351" s="2177"/>
      <c r="V351" s="2177"/>
      <c r="W351" s="2177"/>
      <c r="X351" s="2177"/>
      <c r="Y351" s="2177"/>
      <c r="Z351" s="2177"/>
      <c r="AA351" s="2177"/>
      <c r="AB351" s="2177"/>
      <c r="AC351" s="2177"/>
      <c r="AD351" s="2177"/>
      <c r="AE351" s="2177"/>
      <c r="AF351" s="2177"/>
      <c r="AG351" s="2177"/>
      <c r="AH351" s="2177"/>
      <c r="AI351" s="2177"/>
      <c r="AJ351" s="2177"/>
      <c r="AK351" s="2177"/>
      <c r="AL351" s="2177"/>
      <c r="AM351" s="144"/>
      <c r="AN351" s="144"/>
      <c r="AO351" s="144"/>
      <c r="AP351" s="144"/>
      <c r="AQ351" s="144"/>
      <c r="AR351" s="144"/>
      <c r="AS351" s="144"/>
      <c r="AT351" s="144"/>
      <c r="AU351" s="144"/>
      <c r="AV351" s="144"/>
      <c r="AW351" s="144"/>
      <c r="AX351" s="144"/>
      <c r="AY351" s="144"/>
    </row>
    <row r="352" spans="1:66" ht="12.95" customHeight="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95" customHeight="1">
      <c r="A353" s="50" t="s">
        <v>320</v>
      </c>
      <c r="B353" s="50"/>
      <c r="C353" s="50" t="s">
        <v>806</v>
      </c>
      <c r="K353" s="25"/>
      <c r="L353" s="25"/>
    </row>
    <row r="354" spans="1:37" ht="12.95" customHeight="1">
      <c r="D354" s="58" t="s">
        <v>2515</v>
      </c>
      <c r="M354" s="2095" t="s">
        <v>554</v>
      </c>
      <c r="N354" s="2095"/>
      <c r="P354" s="12" t="s">
        <v>1829</v>
      </c>
      <c r="AJ354" s="2095" t="s">
        <v>678</v>
      </c>
      <c r="AK354" s="2095"/>
    </row>
    <row r="355" spans="1:37" ht="12.95" customHeight="1">
      <c r="D355" s="58" t="s">
        <v>1818</v>
      </c>
      <c r="M355" s="2095" t="s">
        <v>600</v>
      </c>
      <c r="N355" s="2095"/>
      <c r="P355" s="58" t="s">
        <v>1973</v>
      </c>
      <c r="AJ355" s="2149"/>
      <c r="AK355" s="2149"/>
    </row>
    <row r="356" spans="1:37" ht="12.95" customHeight="1">
      <c r="D356" s="58" t="s">
        <v>716</v>
      </c>
      <c r="M356" s="2095" t="s">
        <v>600</v>
      </c>
      <c r="N356" s="2095"/>
      <c r="P356" s="708" t="s">
        <v>1828</v>
      </c>
      <c r="AJ356" s="2095" t="s">
        <v>600</v>
      </c>
      <c r="AK356" s="2095"/>
    </row>
    <row r="357" spans="1:37" ht="12.95" customHeight="1">
      <c r="D357" s="58" t="s">
        <v>717</v>
      </c>
      <c r="M357" s="2095" t="s">
        <v>600</v>
      </c>
      <c r="N357" s="2095"/>
      <c r="Q357" s="7"/>
    </row>
    <row r="358" spans="1:37" ht="12.95" customHeight="1">
      <c r="Q358" s="7"/>
    </row>
    <row r="359" spans="1:37" ht="12.95" customHeight="1">
      <c r="Q359" s="7"/>
    </row>
    <row r="360" spans="1:37" ht="12.95" customHeight="1">
      <c r="A360" s="50" t="s">
        <v>585</v>
      </c>
      <c r="B360" s="50"/>
      <c r="C360" s="50" t="s">
        <v>561</v>
      </c>
      <c r="D360" s="50"/>
    </row>
    <row r="361" spans="1:37" ht="12.95" customHeight="1">
      <c r="D361" s="68" t="s">
        <v>185</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95" customHeight="1">
      <c r="D362" s="68" t="s">
        <v>186</v>
      </c>
      <c r="E362" s="69"/>
      <c r="F362" s="69"/>
      <c r="G362" s="69"/>
      <c r="H362" s="69"/>
      <c r="I362" s="69"/>
      <c r="J362" s="69"/>
      <c r="K362" s="69"/>
      <c r="L362" s="69"/>
      <c r="M362" s="69"/>
      <c r="N362" s="2095" t="s">
        <v>600</v>
      </c>
      <c r="O362" s="2095"/>
      <c r="P362" s="69"/>
      <c r="Q362" s="69"/>
      <c r="R362" s="69"/>
      <c r="S362" s="69"/>
      <c r="T362" s="69"/>
      <c r="U362" s="69"/>
      <c r="V362" s="69"/>
      <c r="W362" s="69"/>
      <c r="X362" s="69"/>
      <c r="Y362" s="70"/>
      <c r="Z362" s="70"/>
      <c r="AC362" s="69"/>
      <c r="AD362" s="69"/>
      <c r="AE362" s="69"/>
    </row>
    <row r="363" spans="1:37" ht="12.95" customHeight="1">
      <c r="E363" s="12" t="s">
        <v>371</v>
      </c>
      <c r="Y363" s="2095" t="s">
        <v>600</v>
      </c>
      <c r="Z363" s="2095"/>
    </row>
    <row r="364" spans="1:37" ht="12.95" customHeight="1">
      <c r="D364" s="7" t="s">
        <v>1017</v>
      </c>
      <c r="Q364" s="2113"/>
      <c r="R364" s="2113"/>
      <c r="S364" s="2113"/>
      <c r="T364" s="2113"/>
      <c r="U364" s="2113"/>
      <c r="V364" s="2113"/>
      <c r="W364" s="2113"/>
      <c r="X364" s="2113"/>
      <c r="Y364" s="2113"/>
      <c r="Z364" s="2113"/>
      <c r="AA364" s="2113"/>
      <c r="AB364" s="2113"/>
      <c r="AC364" s="2113"/>
      <c r="AD364" s="2113"/>
      <c r="AE364" s="2113"/>
      <c r="AF364" s="2113"/>
      <c r="AG364" s="2113"/>
    </row>
    <row r="365" spans="1:37" ht="12.95" customHeight="1">
      <c r="D365" s="12" t="s">
        <v>188</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95" customHeight="1">
      <c r="D366" s="12" t="s">
        <v>189</v>
      </c>
      <c r="E366" s="69"/>
      <c r="F366" s="69"/>
      <c r="G366" s="69"/>
      <c r="H366" s="69"/>
      <c r="I366" s="69"/>
      <c r="J366" s="2095" t="s">
        <v>600</v>
      </c>
      <c r="K366" s="2095"/>
      <c r="L366" s="69"/>
      <c r="M366" s="69"/>
      <c r="N366" s="69"/>
      <c r="O366" s="69"/>
      <c r="P366" s="69"/>
      <c r="Q366" s="69"/>
      <c r="R366" s="69"/>
      <c r="S366" s="69"/>
      <c r="T366" s="69"/>
      <c r="U366" s="69"/>
      <c r="V366" s="69"/>
      <c r="W366" s="69"/>
      <c r="X366" s="69"/>
      <c r="Y366" s="69"/>
      <c r="Z366" s="69"/>
      <c r="AC366" s="69"/>
      <c r="AD366" s="69"/>
      <c r="AE366" s="69"/>
    </row>
    <row r="367" spans="1:37" ht="12.95" customHeight="1">
      <c r="E367" s="2303" t="s">
        <v>718</v>
      </c>
      <c r="F367" s="2303"/>
      <c r="G367" s="2303"/>
      <c r="H367" s="2303"/>
      <c r="I367" s="2303"/>
      <c r="J367" s="2303"/>
      <c r="K367" s="2303"/>
      <c r="L367" s="2303"/>
      <c r="M367" s="2303"/>
      <c r="N367" s="2303"/>
      <c r="O367" s="2303"/>
      <c r="P367" s="2303"/>
      <c r="Q367" s="2303"/>
      <c r="R367" s="2303"/>
      <c r="S367" s="2303"/>
      <c r="T367" s="2303"/>
      <c r="U367" s="2303"/>
      <c r="V367" s="2303"/>
      <c r="W367" s="2303"/>
      <c r="X367" s="2303"/>
      <c r="Y367" s="2303"/>
      <c r="Z367" s="2303"/>
      <c r="AA367" s="2303"/>
      <c r="AB367" s="2303"/>
      <c r="AC367" s="2303"/>
      <c r="AD367" s="2303"/>
      <c r="AE367" s="2303"/>
      <c r="AF367" s="2303"/>
      <c r="AG367" s="2303"/>
      <c r="AH367" s="2303"/>
    </row>
    <row r="368" spans="1:37" ht="12.95" customHeight="1">
      <c r="E368" s="2303"/>
      <c r="F368" s="2303"/>
      <c r="G368" s="2303"/>
      <c r="H368" s="2303"/>
      <c r="I368" s="2303"/>
      <c r="J368" s="2303"/>
      <c r="K368" s="2303"/>
      <c r="L368" s="2303"/>
      <c r="M368" s="2303"/>
      <c r="N368" s="2303"/>
      <c r="O368" s="2303"/>
      <c r="P368" s="2303"/>
      <c r="Q368" s="2303"/>
      <c r="R368" s="2303"/>
      <c r="S368" s="2303"/>
      <c r="T368" s="2303"/>
      <c r="U368" s="2303"/>
      <c r="V368" s="2303"/>
      <c r="W368" s="2303"/>
      <c r="X368" s="2303"/>
      <c r="Y368" s="2303"/>
      <c r="Z368" s="2303"/>
      <c r="AA368" s="2303"/>
      <c r="AB368" s="2303"/>
      <c r="AC368" s="2303"/>
      <c r="AD368" s="2303"/>
      <c r="AE368" s="2303"/>
      <c r="AF368" s="2303"/>
      <c r="AG368" s="2303"/>
      <c r="AH368" s="2303"/>
    </row>
    <row r="369" spans="1:36" ht="12.95" customHeight="1">
      <c r="E369" s="7" t="s">
        <v>457</v>
      </c>
      <c r="F369" s="7"/>
      <c r="G369" s="7"/>
      <c r="H369" s="7"/>
      <c r="I369" s="7"/>
      <c r="J369" s="7"/>
      <c r="K369" s="7"/>
      <c r="L369" s="7"/>
      <c r="N369" s="2100"/>
      <c r="O369" s="2100"/>
      <c r="P369" s="2100"/>
      <c r="Q369" s="2100"/>
      <c r="R369" s="7"/>
      <c r="U369" s="7" t="s">
        <v>458</v>
      </c>
      <c r="V369" s="7"/>
      <c r="W369" s="7"/>
      <c r="X369" s="7"/>
      <c r="Y369" s="7"/>
      <c r="Z369" s="7"/>
      <c r="AA369" s="7"/>
      <c r="AB369" s="7"/>
      <c r="AC369" s="2100"/>
      <c r="AD369" s="2100"/>
      <c r="AE369" s="2100"/>
      <c r="AF369" s="2100"/>
    </row>
    <row r="370" spans="1:36" ht="12.95" customHeight="1">
      <c r="E370" s="7" t="s">
        <v>459</v>
      </c>
      <c r="F370" s="7"/>
      <c r="G370" s="7"/>
      <c r="H370" s="7"/>
      <c r="I370" s="7"/>
      <c r="J370" s="7"/>
      <c r="K370" s="7"/>
      <c r="L370" s="7"/>
      <c r="N370" s="2100"/>
      <c r="O370" s="2100"/>
      <c r="P370" s="2100"/>
      <c r="Q370" s="2100"/>
      <c r="R370" s="7"/>
      <c r="U370" s="7" t="s">
        <v>0</v>
      </c>
      <c r="V370" s="7"/>
      <c r="W370" s="7"/>
      <c r="X370" s="7"/>
      <c r="Y370" s="7"/>
      <c r="Z370" s="7"/>
      <c r="AA370" s="7"/>
      <c r="AB370" s="7"/>
      <c r="AC370" s="2100"/>
      <c r="AD370" s="2100"/>
      <c r="AE370" s="2100"/>
      <c r="AF370" s="2100"/>
    </row>
    <row r="371" spans="1:36" ht="12.95" customHeight="1">
      <c r="E371" s="7" t="s">
        <v>1</v>
      </c>
      <c r="F371" s="7"/>
      <c r="G371" s="7"/>
      <c r="H371" s="7"/>
      <c r="I371" s="7"/>
      <c r="J371" s="7"/>
      <c r="K371" s="7"/>
      <c r="L371" s="7"/>
      <c r="N371" s="2100"/>
      <c r="O371" s="2100"/>
      <c r="P371" s="2100"/>
      <c r="Q371" s="2100"/>
      <c r="R371" s="7"/>
      <c r="V371" s="7"/>
      <c r="W371" s="7"/>
      <c r="X371" s="7"/>
      <c r="Y371" s="7"/>
      <c r="Z371" s="7"/>
      <c r="AA371" s="7"/>
      <c r="AB371" s="7"/>
    </row>
    <row r="372" spans="1:36" ht="12.95" customHeight="1">
      <c r="E372" s="7" t="s">
        <v>2</v>
      </c>
      <c r="F372" s="7"/>
      <c r="G372" s="7"/>
      <c r="H372" s="7"/>
      <c r="I372" s="7"/>
      <c r="J372" s="7"/>
      <c r="K372" s="7"/>
      <c r="L372" s="7"/>
      <c r="N372" s="2160"/>
      <c r="O372" s="2160"/>
      <c r="P372" s="2160"/>
      <c r="Q372" s="2160"/>
      <c r="R372" s="2160"/>
      <c r="S372" s="2160"/>
      <c r="T372" s="2160"/>
      <c r="U372" s="2160"/>
      <c r="V372" s="2160"/>
      <c r="W372" s="2160"/>
      <c r="X372" s="2160"/>
      <c r="Y372" s="2160"/>
      <c r="Z372" s="2160"/>
      <c r="AA372" s="2160"/>
      <c r="AB372" s="2160"/>
      <c r="AC372" s="2160"/>
      <c r="AD372" s="2160"/>
      <c r="AE372" s="2160"/>
      <c r="AF372" s="2160"/>
    </row>
    <row r="373" spans="1:36" ht="12.95" customHeight="1">
      <c r="E373" s="7"/>
      <c r="F373" s="7"/>
      <c r="G373" s="7"/>
      <c r="H373" s="7"/>
      <c r="I373" s="7"/>
      <c r="J373" s="7"/>
      <c r="K373" s="7"/>
      <c r="L373" s="7"/>
      <c r="N373" s="2161"/>
      <c r="O373" s="2161"/>
      <c r="P373" s="2161"/>
      <c r="Q373" s="2161"/>
      <c r="R373" s="2161"/>
      <c r="S373" s="2161"/>
      <c r="T373" s="2161"/>
      <c r="U373" s="2161"/>
      <c r="V373" s="2161"/>
      <c r="W373" s="2161"/>
      <c r="X373" s="2161"/>
      <c r="Y373" s="2161"/>
      <c r="Z373" s="2161"/>
      <c r="AA373" s="2161"/>
      <c r="AB373" s="2161"/>
      <c r="AC373" s="2161"/>
      <c r="AD373" s="2161"/>
      <c r="AE373" s="2161"/>
      <c r="AF373" s="2161"/>
    </row>
    <row r="374" spans="1:36" ht="12.95" customHeight="1">
      <c r="C374" s="893"/>
      <c r="E374" s="7"/>
      <c r="F374" s="7"/>
      <c r="G374" s="7"/>
      <c r="H374" s="7"/>
      <c r="I374" s="7"/>
      <c r="J374" s="7"/>
      <c r="K374" s="7"/>
      <c r="L374" s="7"/>
    </row>
    <row r="375" spans="1:36" ht="12.95" customHeight="1">
      <c r="D375" s="50" t="s">
        <v>1014</v>
      </c>
      <c r="E375" s="50"/>
      <c r="F375" s="7"/>
      <c r="G375" s="7"/>
      <c r="H375" s="7"/>
      <c r="I375" s="7"/>
      <c r="J375" s="7"/>
      <c r="K375" s="7"/>
      <c r="L375" s="7"/>
    </row>
    <row r="376" spans="1:36" ht="12.95" customHeight="1">
      <c r="E376" s="7" t="s">
        <v>2497</v>
      </c>
      <c r="F376" s="7"/>
      <c r="G376" s="7"/>
      <c r="H376" s="7"/>
      <c r="I376" s="7"/>
      <c r="J376" s="7"/>
      <c r="K376" s="7"/>
      <c r="L376" s="7"/>
      <c r="N376" s="25" t="s">
        <v>2491</v>
      </c>
      <c r="P376" s="25"/>
      <c r="R376" s="42" t="s">
        <v>306</v>
      </c>
      <c r="S376" s="2178"/>
      <c r="T376" s="2178"/>
      <c r="U376" s="4" t="s">
        <v>307</v>
      </c>
      <c r="V376" s="2178"/>
      <c r="W376" s="2178"/>
      <c r="Y376" s="25" t="s">
        <v>2491</v>
      </c>
      <c r="AA376" s="25"/>
      <c r="AC376" s="42" t="s">
        <v>306</v>
      </c>
      <c r="AD376" s="2178"/>
      <c r="AE376" s="2178"/>
      <c r="AF376" s="4" t="s">
        <v>307</v>
      </c>
      <c r="AG376" s="2178"/>
      <c r="AH376" s="2178"/>
    </row>
    <row r="377" spans="1:36" ht="12.95" customHeight="1">
      <c r="E377" s="7" t="s">
        <v>1043</v>
      </c>
      <c r="F377" s="7"/>
      <c r="G377" s="7"/>
      <c r="H377" s="7"/>
      <c r="I377" s="7"/>
      <c r="J377" s="7"/>
      <c r="K377" s="7"/>
      <c r="L377" s="7"/>
      <c r="N377" s="2178"/>
      <c r="O377" s="2178"/>
      <c r="P377" s="2178"/>
    </row>
    <row r="378" spans="1:36" ht="12.95" customHeight="1">
      <c r="E378" s="377" t="s">
        <v>2498</v>
      </c>
      <c r="F378" s="7"/>
      <c r="G378" s="7"/>
      <c r="H378" s="7"/>
      <c r="I378" s="7"/>
      <c r="J378" s="7"/>
      <c r="K378" s="7"/>
      <c r="L378" s="7"/>
      <c r="AG378" s="2250" t="s">
        <v>600</v>
      </c>
      <c r="AH378" s="2250"/>
    </row>
    <row r="379" spans="1:36" ht="12.95" customHeight="1">
      <c r="E379" s="7"/>
      <c r="F379" s="7"/>
      <c r="G379" s="7" t="s">
        <v>2499</v>
      </c>
      <c r="H379" s="7"/>
      <c r="I379" s="7"/>
      <c r="J379" s="7"/>
      <c r="K379" s="7"/>
      <c r="L379" s="7"/>
      <c r="AG379" s="2250" t="s">
        <v>600</v>
      </c>
      <c r="AH379" s="2250"/>
    </row>
    <row r="380" spans="1:36" ht="12.95" customHeight="1">
      <c r="E380" s="7"/>
      <c r="F380" s="7"/>
      <c r="G380" s="500" t="s">
        <v>1044</v>
      </c>
      <c r="H380" s="7"/>
      <c r="I380" s="7"/>
      <c r="J380" s="7"/>
      <c r="K380" s="7"/>
      <c r="L380" s="7"/>
      <c r="V380" s="2095" t="s">
        <v>600</v>
      </c>
      <c r="W380" s="2095"/>
      <c r="Y380" s="35" t="s">
        <v>1019</v>
      </c>
    </row>
    <row r="381" spans="1:36" ht="12.95" customHeight="1">
      <c r="E381" s="7" t="s">
        <v>1020</v>
      </c>
      <c r="F381" s="7"/>
      <c r="G381" s="7"/>
      <c r="H381" s="7"/>
      <c r="I381" s="7"/>
      <c r="J381" s="7"/>
      <c r="K381" s="7"/>
      <c r="L381" s="7"/>
      <c r="V381" s="2095" t="s">
        <v>600</v>
      </c>
      <c r="W381" s="2095"/>
      <c r="Y381" s="7" t="s">
        <v>1021</v>
      </c>
    </row>
    <row r="382" spans="1:36" ht="12.95" customHeight="1"/>
    <row r="383" spans="1:36" ht="12.95" customHeight="1">
      <c r="A383" s="50" t="s">
        <v>79</v>
      </c>
      <c r="B383" s="50"/>
    </row>
    <row r="384" spans="1:36" ht="12.95" customHeight="1">
      <c r="D384" s="12" t="s">
        <v>429</v>
      </c>
      <c r="J384" s="2113" t="s">
        <v>2703</v>
      </c>
      <c r="K384" s="2113"/>
      <c r="L384" s="2113"/>
      <c r="M384" s="2113"/>
      <c r="N384" s="2113"/>
      <c r="O384" s="2113"/>
      <c r="P384" s="2113"/>
      <c r="Q384" s="2113"/>
      <c r="R384" s="2113"/>
      <c r="S384" s="2113"/>
      <c r="T384" s="2113"/>
      <c r="U384" s="2113"/>
      <c r="V384" s="14" t="s">
        <v>84</v>
      </c>
      <c r="W384" s="14"/>
      <c r="X384" s="14"/>
      <c r="Y384" s="14"/>
      <c r="Z384" s="14"/>
      <c r="AA384" s="14"/>
      <c r="AB384" s="14"/>
      <c r="AC384" s="2113" t="s">
        <v>2616</v>
      </c>
      <c r="AD384" s="2113"/>
      <c r="AE384" s="2113"/>
      <c r="AF384" s="2113"/>
      <c r="AG384" s="2113"/>
      <c r="AH384" s="2113"/>
      <c r="AI384" s="2113"/>
      <c r="AJ384" s="2113"/>
    </row>
    <row r="385" spans="1:96" ht="12.95" customHeight="1">
      <c r="A385" s="708"/>
      <c r="B385" s="708"/>
      <c r="C385" s="708"/>
      <c r="D385" s="58" t="s">
        <v>1324</v>
      </c>
      <c r="E385" s="708"/>
      <c r="F385" s="708"/>
      <c r="G385" s="708"/>
      <c r="H385" s="708"/>
      <c r="I385" s="708"/>
      <c r="J385" s="2091" t="s">
        <v>2704</v>
      </c>
      <c r="K385" s="2091"/>
      <c r="L385" s="2091"/>
      <c r="M385" s="2091"/>
      <c r="N385" s="2091"/>
      <c r="O385" s="2091"/>
      <c r="P385" s="2091"/>
      <c r="Q385" s="2091"/>
      <c r="R385" s="2091"/>
      <c r="S385" s="2091"/>
      <c r="T385" s="2091"/>
      <c r="U385" s="2091"/>
      <c r="V385" s="58" t="s">
        <v>1324</v>
      </c>
      <c r="W385" s="14"/>
      <c r="X385" s="14"/>
      <c r="Y385" s="14"/>
      <c r="Z385" s="14"/>
      <c r="AA385" s="14"/>
      <c r="AB385" s="14"/>
      <c r="AC385" s="2113"/>
      <c r="AD385" s="2113"/>
      <c r="AE385" s="2113"/>
      <c r="AF385" s="2113"/>
      <c r="AG385" s="2113"/>
      <c r="AH385" s="2113"/>
      <c r="AI385" s="2113"/>
      <c r="AJ385" s="2113"/>
      <c r="AK385" s="708"/>
      <c r="AL385" s="708"/>
    </row>
    <row r="386" spans="1:96" ht="12.95" customHeight="1">
      <c r="A386" s="708"/>
      <c r="B386" s="708"/>
      <c r="C386" s="708"/>
      <c r="D386" s="58" t="s">
        <v>444</v>
      </c>
      <c r="E386" s="708"/>
      <c r="F386" s="708"/>
      <c r="G386" s="708"/>
      <c r="H386" s="708"/>
      <c r="I386" s="708"/>
      <c r="J386" s="2091" t="s">
        <v>2705</v>
      </c>
      <c r="K386" s="2091"/>
      <c r="L386" s="2091"/>
      <c r="M386" s="2091"/>
      <c r="N386" s="2091"/>
      <c r="O386" s="2091"/>
      <c r="P386" s="2091"/>
      <c r="Q386" s="2091"/>
      <c r="R386" s="2091"/>
      <c r="S386" s="2091"/>
      <c r="T386" s="2091"/>
      <c r="U386" s="2091"/>
      <c r="V386" s="58" t="s">
        <v>444</v>
      </c>
      <c r="W386" s="14"/>
      <c r="X386" s="14"/>
      <c r="Y386" s="14"/>
      <c r="Z386" s="14"/>
      <c r="AA386" s="14"/>
      <c r="AB386" s="14"/>
      <c r="AC386" s="2113" t="s">
        <v>2708</v>
      </c>
      <c r="AD386" s="2113"/>
      <c r="AE386" s="2113"/>
      <c r="AF386" s="2113"/>
      <c r="AG386" s="2113"/>
      <c r="AH386" s="2113"/>
      <c r="AI386" s="2113"/>
      <c r="AJ386" s="2113"/>
      <c r="AK386" s="708"/>
      <c r="AL386" s="708"/>
    </row>
    <row r="387" spans="1:96" ht="12.95" customHeight="1">
      <c r="A387" s="708"/>
      <c r="B387" s="708"/>
      <c r="C387" s="708"/>
      <c r="D387" s="472" t="s">
        <v>1320</v>
      </c>
      <c r="E387" s="708"/>
      <c r="F387" s="708"/>
      <c r="G387" s="708"/>
      <c r="H387" s="708"/>
      <c r="I387" s="88"/>
      <c r="J387" s="2080" t="s">
        <v>2706</v>
      </c>
      <c r="K387" s="2080"/>
      <c r="L387" s="2080"/>
      <c r="M387" s="2080"/>
      <c r="N387" s="2080"/>
      <c r="O387" s="2080"/>
      <c r="P387" s="2080"/>
      <c r="Q387" s="2080"/>
      <c r="R387" s="2080"/>
      <c r="S387" s="2080"/>
      <c r="T387" s="2080"/>
      <c r="U387" s="2080"/>
      <c r="V387" s="2113" t="s">
        <v>2707</v>
      </c>
      <c r="W387" s="2113"/>
      <c r="X387" s="2113"/>
      <c r="Y387" s="2113"/>
      <c r="Z387" s="2113"/>
      <c r="AA387" s="2113"/>
      <c r="AB387" s="2113"/>
      <c r="AC387" s="2113"/>
      <c r="AD387" s="2113"/>
      <c r="AE387" s="2113"/>
      <c r="AF387" s="2113"/>
      <c r="AG387" s="2113"/>
      <c r="AH387" s="2113"/>
      <c r="AI387" s="2113"/>
      <c r="AJ387" s="2113"/>
      <c r="AK387" s="708"/>
      <c r="AL387" s="708"/>
    </row>
    <row r="388" spans="1:96" ht="12.95" customHeight="1">
      <c r="D388" s="12" t="s">
        <v>4</v>
      </c>
      <c r="Q388" s="2488">
        <v>44917</v>
      </c>
      <c r="R388" s="2488"/>
      <c r="S388" s="2488"/>
      <c r="T388" s="2488"/>
      <c r="U388" s="2488"/>
      <c r="V388" s="12" t="s">
        <v>310</v>
      </c>
      <c r="AI388" s="2095" t="s">
        <v>678</v>
      </c>
      <c r="AJ388" s="2095"/>
    </row>
    <row r="389" spans="1:96" ht="12.95" customHeight="1">
      <c r="D389" s="12" t="s">
        <v>5</v>
      </c>
      <c r="Q389" s="2301"/>
      <c r="R389" s="2302"/>
      <c r="S389" s="2302"/>
      <c r="T389" s="2302"/>
      <c r="U389" s="2302"/>
      <c r="W389" s="33" t="s">
        <v>75</v>
      </c>
      <c r="AG389" s="2158"/>
      <c r="AH389" s="2158"/>
      <c r="AI389" s="2158"/>
      <c r="AJ389" s="2158"/>
    </row>
    <row r="390" spans="1:96" ht="12.95" customHeight="1">
      <c r="D390" s="12" t="s">
        <v>428</v>
      </c>
      <c r="Q390" s="2300">
        <v>2300000</v>
      </c>
      <c r="R390" s="2300"/>
      <c r="S390" s="2300"/>
      <c r="T390" s="2300"/>
      <c r="U390" s="2300"/>
      <c r="V390" s="58" t="s">
        <v>1323</v>
      </c>
      <c r="AG390" s="2182">
        <v>44917</v>
      </c>
      <c r="AH390" s="2182"/>
      <c r="AI390" s="2182"/>
      <c r="AJ390" s="2182"/>
    </row>
    <row r="391" spans="1:96" ht="12.95" customHeight="1">
      <c r="D391" s="12" t="s">
        <v>89</v>
      </c>
      <c r="I391" s="2257" t="s">
        <v>2709</v>
      </c>
      <c r="J391" s="2258"/>
      <c r="K391" s="2258"/>
      <c r="L391" s="2258"/>
      <c r="M391" s="2258"/>
      <c r="N391" s="2258"/>
      <c r="Q391" s="57" t="s">
        <v>207</v>
      </c>
      <c r="S391" s="2299"/>
      <c r="T391" s="2299"/>
      <c r="U391" s="2299"/>
      <c r="V391" s="12" t="s">
        <v>74</v>
      </c>
      <c r="AI391" s="2095" t="s">
        <v>678</v>
      </c>
      <c r="AJ391" s="2095"/>
    </row>
    <row r="392" spans="1:96" ht="12.95" customHeight="1">
      <c r="D392" s="12" t="s">
        <v>311</v>
      </c>
      <c r="Q392" s="2193" t="s">
        <v>2710</v>
      </c>
      <c r="R392" s="2193"/>
      <c r="S392" s="2193"/>
      <c r="T392" s="2193"/>
      <c r="U392" s="2193"/>
      <c r="V392" s="12" t="s">
        <v>312</v>
      </c>
      <c r="AG392" s="2181" t="s">
        <v>2710</v>
      </c>
      <c r="AH392" s="2158"/>
      <c r="AI392" s="2158"/>
      <c r="AJ392" s="2158"/>
    </row>
    <row r="393" spans="1:96" ht="12.95" customHeight="1">
      <c r="D393" s="12" t="s">
        <v>313</v>
      </c>
      <c r="Q393" s="2438" t="s">
        <v>2710</v>
      </c>
      <c r="R393" s="2439"/>
      <c r="S393" s="2439"/>
      <c r="T393" s="2439"/>
      <c r="U393" s="2439"/>
      <c r="V393" s="708" t="s">
        <v>1304</v>
      </c>
      <c r="AG393" s="2158">
        <v>0</v>
      </c>
      <c r="AH393" s="2158"/>
      <c r="AI393" s="2158"/>
      <c r="AJ393" s="2158"/>
    </row>
    <row r="394" spans="1:96" ht="12.95" customHeight="1">
      <c r="D394" s="708" t="s">
        <v>1303</v>
      </c>
      <c r="V394" s="708"/>
      <c r="AG394" s="2158"/>
      <c r="AH394" s="2158"/>
      <c r="AI394" s="2158"/>
      <c r="AJ394" s="2158"/>
    </row>
    <row r="395" spans="1:96" s="708" customFormat="1" ht="12.95" customHeight="1">
      <c r="AG395" s="737"/>
      <c r="AH395" s="737"/>
      <c r="AI395" s="737"/>
      <c r="AJ395" s="737"/>
      <c r="AM395" s="39"/>
      <c r="AN395" s="39"/>
      <c r="AO395" s="39"/>
      <c r="AP395" s="39"/>
      <c r="AQ395" s="39"/>
      <c r="AR395" s="39"/>
      <c r="AS395" s="39"/>
      <c r="AT395" s="39"/>
      <c r="AU395" s="39"/>
      <c r="AV395" s="39"/>
      <c r="AW395" s="39"/>
      <c r="AX395" s="39"/>
      <c r="AY395" s="39"/>
      <c r="CR395" s="25"/>
    </row>
    <row r="396" spans="1:96" s="708" customFormat="1" ht="12.95" customHeight="1">
      <c r="D396" s="58" t="s">
        <v>2609</v>
      </c>
      <c r="AG396" s="737"/>
      <c r="AH396" s="737"/>
      <c r="AI396" s="2095" t="s">
        <v>678</v>
      </c>
      <c r="AJ396" s="2095"/>
      <c r="AM396" s="39"/>
      <c r="AN396" s="39"/>
      <c r="AO396" s="39"/>
      <c r="AP396" s="39"/>
      <c r="AQ396" s="39"/>
      <c r="AR396" s="39"/>
      <c r="AS396" s="39"/>
      <c r="AT396" s="39"/>
      <c r="AU396" s="39"/>
      <c r="AV396" s="39"/>
      <c r="AW396" s="39"/>
      <c r="AX396" s="39"/>
      <c r="AY396" s="39"/>
      <c r="CR396" s="25"/>
    </row>
    <row r="397" spans="1:96" s="708" customFormat="1" ht="12.95" customHeight="1">
      <c r="D397" s="58" t="s">
        <v>1847</v>
      </c>
      <c r="T397" s="2112"/>
      <c r="U397" s="2112"/>
      <c r="V397" s="2112"/>
      <c r="W397" s="2112"/>
      <c r="X397" s="2112"/>
      <c r="Y397" s="2112"/>
      <c r="Z397" s="2112"/>
      <c r="AA397" s="2112"/>
      <c r="AB397" s="2112"/>
      <c r="AC397" s="2112"/>
      <c r="AD397" s="2112"/>
      <c r="AE397" s="2112"/>
      <c r="AF397" s="2112"/>
      <c r="AG397" s="2112"/>
      <c r="AH397" s="2112"/>
      <c r="AI397" s="2112"/>
      <c r="AJ397" s="2112"/>
      <c r="AM397" s="39"/>
      <c r="AN397" s="39"/>
      <c r="AO397" s="39"/>
      <c r="AP397" s="39"/>
      <c r="AQ397" s="39"/>
      <c r="AR397" s="39"/>
      <c r="AS397" s="39"/>
      <c r="AT397" s="39"/>
      <c r="AU397" s="39"/>
      <c r="AV397" s="39"/>
      <c r="AW397" s="39"/>
      <c r="AX397" s="39"/>
      <c r="AY397" s="39"/>
      <c r="CR397" s="25"/>
    </row>
    <row r="398" spans="1:96" s="708" customFormat="1" ht="12.95" customHeight="1">
      <c r="D398" s="58" t="s">
        <v>1846</v>
      </c>
      <c r="T398" s="2112"/>
      <c r="U398" s="2112"/>
      <c r="V398" s="2112"/>
      <c r="W398" s="2112"/>
      <c r="X398" s="2112"/>
      <c r="Y398" s="2112"/>
      <c r="Z398" s="2112"/>
      <c r="AA398" s="2112"/>
      <c r="AB398" s="2112"/>
      <c r="AC398" s="2112"/>
      <c r="AD398" s="2112"/>
      <c r="AE398" s="2112"/>
      <c r="AF398" s="2112"/>
      <c r="AG398" s="2112"/>
      <c r="AH398" s="2112"/>
      <c r="AI398" s="2112"/>
      <c r="AJ398" s="2112"/>
      <c r="AM398" s="39"/>
      <c r="AN398" s="39"/>
      <c r="AO398" s="39"/>
      <c r="AP398" s="39"/>
      <c r="AQ398" s="39"/>
      <c r="AR398" s="39"/>
      <c r="AS398" s="39"/>
      <c r="AT398" s="39"/>
      <c r="AU398" s="39"/>
      <c r="AV398" s="39"/>
      <c r="AW398" s="39"/>
      <c r="AX398" s="39"/>
      <c r="AY398" s="39"/>
      <c r="CR398" s="25"/>
    </row>
    <row r="399" spans="1:96" ht="12.95" customHeight="1">
      <c r="A399" s="708"/>
      <c r="B399" s="708"/>
      <c r="C399" s="708"/>
      <c r="D399" s="708"/>
      <c r="E399" s="708"/>
      <c r="F399" s="708"/>
      <c r="G399" s="708"/>
      <c r="H399" s="708"/>
      <c r="I399" s="708"/>
      <c r="J399" s="708"/>
      <c r="K399" s="708"/>
      <c r="L399" s="708"/>
      <c r="M399" s="708"/>
      <c r="N399" s="708"/>
      <c r="O399" s="708"/>
      <c r="P399" s="708"/>
      <c r="Q399" s="708"/>
      <c r="R399" s="708"/>
      <c r="S399" s="708"/>
      <c r="T399" s="708"/>
      <c r="U399" s="708"/>
      <c r="V399" s="708"/>
      <c r="W399" s="708"/>
      <c r="X399" s="708"/>
      <c r="Y399" s="708"/>
      <c r="Z399" s="708"/>
      <c r="AA399" s="708"/>
      <c r="AB399" s="39"/>
      <c r="AC399" s="39"/>
      <c r="AD399" s="39"/>
      <c r="AE399" s="39"/>
      <c r="AF399" s="39"/>
      <c r="AG399" s="737"/>
      <c r="AH399" s="737"/>
      <c r="AI399" s="737"/>
      <c r="AJ399" s="737"/>
      <c r="AK399" s="39"/>
      <c r="AL399" s="708"/>
    </row>
    <row r="400" spans="1:96" ht="12.95" customHeight="1">
      <c r="A400" s="708"/>
      <c r="B400" s="708"/>
      <c r="C400" s="708"/>
      <c r="D400" s="58" t="s">
        <v>1840</v>
      </c>
      <c r="E400" s="708"/>
      <c r="F400" s="708"/>
      <c r="G400" s="708"/>
      <c r="H400" s="708"/>
      <c r="I400" s="708"/>
      <c r="J400" s="708"/>
      <c r="K400" s="708"/>
      <c r="L400" s="708"/>
      <c r="M400" s="708"/>
      <c r="N400" s="708"/>
      <c r="O400" s="708"/>
      <c r="P400" s="708"/>
      <c r="Q400" s="708"/>
      <c r="R400" s="708"/>
      <c r="S400" s="2112" t="s">
        <v>678</v>
      </c>
      <c r="T400" s="2112"/>
      <c r="U400" s="2112"/>
      <c r="V400" s="472" t="s">
        <v>1841</v>
      </c>
      <c r="W400" s="708"/>
      <c r="X400" s="708"/>
      <c r="Y400" s="708"/>
      <c r="Z400" s="708"/>
      <c r="AA400" s="708"/>
      <c r="AB400" s="39"/>
      <c r="AC400" s="39"/>
      <c r="AD400" s="39"/>
      <c r="AE400" s="39"/>
      <c r="AF400" s="39"/>
      <c r="AG400" s="2251"/>
      <c r="AH400" s="2251"/>
      <c r="AI400" s="2251"/>
      <c r="AJ400" s="2251"/>
      <c r="AK400" s="39"/>
      <c r="AL400" s="708"/>
    </row>
    <row r="401" spans="1:96" s="708" customFormat="1" ht="12.95" customHeight="1">
      <c r="D401" s="58" t="s">
        <v>1838</v>
      </c>
      <c r="S401" s="2112" t="s">
        <v>600</v>
      </c>
      <c r="T401" s="2112"/>
      <c r="U401" s="2112"/>
      <c r="V401" s="472" t="s">
        <v>1843</v>
      </c>
      <c r="AB401" s="39"/>
      <c r="AC401" s="39"/>
      <c r="AD401" s="39"/>
      <c r="AE401" s="2252"/>
      <c r="AF401" s="2252"/>
      <c r="AG401" s="2252"/>
      <c r="AH401" s="2252"/>
      <c r="AI401" s="2252"/>
      <c r="AJ401" s="2252"/>
      <c r="AK401" s="39"/>
      <c r="AM401" s="39"/>
      <c r="AN401" s="39"/>
      <c r="AO401" s="39"/>
      <c r="AP401" s="39"/>
      <c r="AQ401" s="39"/>
      <c r="AR401" s="39"/>
      <c r="AS401" s="39"/>
      <c r="AT401" s="39"/>
      <c r="AU401" s="39"/>
      <c r="AV401" s="39"/>
      <c r="AW401" s="39"/>
      <c r="AX401" s="39"/>
      <c r="AY401" s="39"/>
      <c r="CR401" s="25"/>
    </row>
    <row r="402" spans="1:96" s="708" customFormat="1" ht="12.95" customHeight="1">
      <c r="D402" s="58" t="s">
        <v>1839</v>
      </c>
      <c r="K402" s="2187"/>
      <c r="L402" s="2187"/>
      <c r="M402" s="2187"/>
      <c r="N402" s="2187"/>
      <c r="O402" s="2187"/>
      <c r="P402" s="2187"/>
      <c r="Q402" s="2187"/>
      <c r="R402" s="2187"/>
      <c r="S402" s="2187"/>
      <c r="T402" s="2187"/>
      <c r="U402" s="2187"/>
      <c r="V402" s="2187"/>
      <c r="W402" s="2187"/>
      <c r="X402" s="2187"/>
      <c r="Y402" s="2187"/>
      <c r="Z402" s="2187"/>
      <c r="AA402" s="2187"/>
      <c r="AB402" s="2187"/>
      <c r="AC402" s="2187"/>
      <c r="AD402" s="2187"/>
      <c r="AE402" s="2187"/>
      <c r="AF402" s="2187"/>
      <c r="AG402" s="2187"/>
      <c r="AH402" s="2187"/>
      <c r="AI402" s="2187"/>
      <c r="AJ402" s="2187"/>
      <c r="AK402" s="39"/>
      <c r="AM402" s="39"/>
      <c r="AN402" s="39"/>
      <c r="AO402" s="39"/>
      <c r="AP402" s="39"/>
      <c r="AQ402" s="39"/>
      <c r="AR402" s="39"/>
      <c r="AS402" s="39"/>
      <c r="AT402" s="39"/>
      <c r="AU402" s="39"/>
      <c r="AV402" s="39"/>
      <c r="AW402" s="39"/>
      <c r="AX402" s="39"/>
      <c r="AY402" s="39"/>
      <c r="CR402" s="25"/>
    </row>
    <row r="403" spans="1:96" s="708" customFormat="1" ht="12.95" customHeight="1">
      <c r="D403" s="58" t="s">
        <v>1842</v>
      </c>
      <c r="K403" s="2187"/>
      <c r="L403" s="2187"/>
      <c r="M403" s="2187"/>
      <c r="N403" s="2187"/>
      <c r="O403" s="2187"/>
      <c r="P403" s="2187"/>
      <c r="Q403" s="2187"/>
      <c r="R403" s="2187"/>
      <c r="S403" s="2187"/>
      <c r="T403" s="2187"/>
      <c r="U403" s="2187"/>
      <c r="V403" s="2187"/>
      <c r="W403" s="2187"/>
      <c r="X403" s="2187"/>
      <c r="Y403" s="2187"/>
      <c r="Z403" s="2187"/>
      <c r="AA403" s="2187"/>
      <c r="AB403" s="2187"/>
      <c r="AC403" s="2187"/>
      <c r="AD403" s="2187"/>
      <c r="AE403" s="2187"/>
      <c r="AF403" s="2187"/>
      <c r="AG403" s="2187"/>
      <c r="AH403" s="2187"/>
      <c r="AI403" s="2187"/>
      <c r="AJ403" s="2187"/>
      <c r="AK403" s="39"/>
      <c r="AM403" s="39"/>
      <c r="AN403" s="39"/>
      <c r="AO403" s="39"/>
      <c r="AP403" s="39"/>
      <c r="AQ403" s="39"/>
      <c r="AR403" s="39"/>
      <c r="AS403" s="39"/>
      <c r="AT403" s="39"/>
      <c r="AU403" s="39"/>
      <c r="AV403" s="39"/>
      <c r="AW403" s="39"/>
      <c r="AX403" s="39"/>
      <c r="AY403" s="39"/>
      <c r="CR403" s="25"/>
    </row>
    <row r="404" spans="1:96" s="708" customFormat="1" ht="12.95" customHeight="1">
      <c r="D404" s="181" t="s">
        <v>1845</v>
      </c>
      <c r="E404" s="1406"/>
      <c r="F404" s="1406"/>
      <c r="G404" s="1406"/>
      <c r="H404" s="1406"/>
      <c r="I404" s="1406"/>
      <c r="J404" s="1406"/>
      <c r="K404" s="1406"/>
      <c r="L404" s="1406"/>
      <c r="M404" s="1406"/>
      <c r="N404" s="1406"/>
      <c r="O404" s="1406"/>
      <c r="P404" s="1406"/>
      <c r="Q404" s="1406"/>
      <c r="R404" s="1406"/>
      <c r="S404" s="2304" t="s">
        <v>1326</v>
      </c>
      <c r="T404" s="2304"/>
      <c r="U404" s="2304"/>
      <c r="V404" s="2304"/>
      <c r="W404" s="2304"/>
      <c r="X404" s="2304"/>
      <c r="Y404" s="2304"/>
      <c r="Z404" s="2304"/>
      <c r="AA404" s="2304"/>
      <c r="AB404" s="2304"/>
      <c r="AC404" s="2304"/>
      <c r="AD404" s="2304"/>
      <c r="AE404" s="2304"/>
      <c r="AF404" s="2304"/>
      <c r="AG404" s="2304"/>
      <c r="AH404" s="2304"/>
      <c r="AI404" s="2304"/>
      <c r="AJ404" s="2304"/>
      <c r="AK404" s="39"/>
      <c r="AL404" s="39"/>
      <c r="AM404" s="39"/>
      <c r="AN404" s="39"/>
      <c r="AO404" s="39"/>
      <c r="AP404" s="39"/>
      <c r="AQ404" s="39"/>
      <c r="AR404" s="39"/>
      <c r="AS404" s="39"/>
      <c r="AT404" s="39"/>
      <c r="AU404" s="39"/>
      <c r="AV404" s="39"/>
      <c r="AW404" s="39"/>
      <c r="AX404" s="39"/>
      <c r="AY404" s="39"/>
      <c r="CR404" s="25"/>
    </row>
    <row r="405" spans="1:96" s="708" customFormat="1" ht="12.95" customHeight="1">
      <c r="D405" s="2076" t="s">
        <v>1844</v>
      </c>
      <c r="E405" s="2076"/>
      <c r="F405" s="2076"/>
      <c r="G405" s="2076"/>
      <c r="H405" s="2076"/>
      <c r="I405" s="2076"/>
      <c r="J405" s="2076"/>
      <c r="K405" s="2076"/>
      <c r="L405" s="2076"/>
      <c r="M405" s="2076"/>
      <c r="N405" s="2076"/>
      <c r="O405" s="2076"/>
      <c r="P405" s="2076"/>
      <c r="Q405" s="2076"/>
      <c r="R405" s="2076"/>
      <c r="S405" s="2076"/>
      <c r="T405" s="2076"/>
      <c r="U405" s="2076"/>
      <c r="V405" s="2076"/>
      <c r="W405" s="2076"/>
      <c r="X405" s="2076"/>
      <c r="Y405" s="2076"/>
      <c r="Z405" s="2076"/>
      <c r="AA405" s="2076"/>
      <c r="AB405" s="2076"/>
      <c r="AC405" s="2076"/>
      <c r="AD405" s="2076"/>
      <c r="AE405" s="2076"/>
      <c r="AF405" s="2076"/>
      <c r="AG405" s="2076"/>
      <c r="AH405" s="2076"/>
      <c r="AI405" s="2076"/>
      <c r="AJ405" s="2076"/>
      <c r="AK405" s="39"/>
      <c r="AL405" s="39"/>
      <c r="AM405" s="39"/>
      <c r="AN405" s="39"/>
      <c r="AO405" s="39"/>
      <c r="AP405" s="39"/>
      <c r="AQ405" s="39"/>
      <c r="AR405" s="39"/>
      <c r="AS405" s="39"/>
      <c r="AT405" s="39"/>
      <c r="AU405" s="39"/>
      <c r="AV405" s="39"/>
      <c r="AW405" s="39"/>
      <c r="AX405" s="39"/>
      <c r="AY405" s="39"/>
      <c r="CR405" s="25"/>
    </row>
    <row r="406" spans="1:96" s="708" customFormat="1" ht="12.95" customHeight="1">
      <c r="D406" s="2076"/>
      <c r="E406" s="2076"/>
      <c r="F406" s="2076"/>
      <c r="G406" s="2076"/>
      <c r="H406" s="2076"/>
      <c r="I406" s="2076"/>
      <c r="J406" s="2076"/>
      <c r="K406" s="2076"/>
      <c r="L406" s="2076"/>
      <c r="M406" s="2076"/>
      <c r="N406" s="2076"/>
      <c r="O406" s="2076"/>
      <c r="P406" s="2076"/>
      <c r="Q406" s="2076"/>
      <c r="R406" s="2076"/>
      <c r="S406" s="2076"/>
      <c r="T406" s="2076"/>
      <c r="U406" s="2076"/>
      <c r="V406" s="2076"/>
      <c r="W406" s="2076"/>
      <c r="X406" s="2076"/>
      <c r="Y406" s="2076"/>
      <c r="Z406" s="2076"/>
      <c r="AA406" s="2076"/>
      <c r="AB406" s="2076"/>
      <c r="AC406" s="2076"/>
      <c r="AD406" s="2076"/>
      <c r="AE406" s="2076"/>
      <c r="AF406" s="2076"/>
      <c r="AG406" s="2076"/>
      <c r="AH406" s="2076"/>
      <c r="AI406" s="2076"/>
      <c r="AJ406" s="2076"/>
      <c r="AK406" s="39"/>
      <c r="AL406" s="39"/>
      <c r="AM406" s="39"/>
      <c r="AN406" s="39"/>
      <c r="AO406" s="39"/>
      <c r="AP406" s="39"/>
      <c r="AQ406" s="39"/>
      <c r="AR406" s="39"/>
      <c r="AS406" s="39"/>
      <c r="AT406" s="39"/>
      <c r="AU406" s="39"/>
      <c r="AV406" s="39"/>
      <c r="AW406" s="39"/>
      <c r="AX406" s="39"/>
      <c r="AY406" s="39"/>
      <c r="CR406" s="25"/>
    </row>
    <row r="407" spans="1:96" s="708" customFormat="1" ht="12.9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7"/>
      <c r="AH407" s="737"/>
      <c r="AI407" s="737"/>
      <c r="AJ407" s="737"/>
      <c r="AK407" s="39"/>
      <c r="AL407" s="39"/>
      <c r="AM407" s="39"/>
      <c r="AN407" s="39"/>
      <c r="AO407" s="39"/>
      <c r="AP407" s="39"/>
      <c r="AQ407" s="39"/>
      <c r="AR407" s="39"/>
      <c r="AS407" s="39"/>
      <c r="AT407" s="39"/>
      <c r="AU407" s="39"/>
      <c r="AV407" s="39"/>
      <c r="AW407" s="39"/>
      <c r="AX407" s="39"/>
      <c r="AY407" s="39"/>
      <c r="AZ407" s="39"/>
      <c r="BA407" s="39"/>
      <c r="CR407" s="25"/>
    </row>
    <row r="408" spans="1:96" s="708" customFormat="1" ht="12.95" customHeight="1">
      <c r="A408" s="50" t="s">
        <v>598</v>
      </c>
      <c r="B408" s="50"/>
      <c r="C408" s="50" t="s">
        <v>112</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95" customHeight="1">
      <c r="B409" s="50"/>
      <c r="C409" s="50"/>
      <c r="D409" s="50" t="s">
        <v>1346</v>
      </c>
      <c r="I409" s="2269" t="s">
        <v>2711</v>
      </c>
      <c r="J409" s="2269"/>
      <c r="K409" s="2269"/>
      <c r="L409" s="2269"/>
      <c r="M409" s="2269"/>
      <c r="N409" s="2269"/>
      <c r="O409" s="2269"/>
      <c r="P409" s="2269"/>
      <c r="Q409" s="2269"/>
      <c r="R409" s="2269"/>
      <c r="S409" s="2269"/>
      <c r="T409" s="2269"/>
      <c r="U409" s="2269"/>
      <c r="V409" s="2269"/>
      <c r="W409" s="2269"/>
      <c r="X409" s="2269"/>
      <c r="Y409" s="2269"/>
      <c r="Z409" s="2269"/>
      <c r="AA409" s="2269"/>
      <c r="AB409" s="2269"/>
      <c r="AC409" s="2269"/>
      <c r="AD409" s="2269"/>
      <c r="AE409" s="2269"/>
    </row>
    <row r="410" spans="1:96" ht="12.95" customHeight="1">
      <c r="C410" s="25"/>
      <c r="D410" s="25"/>
      <c r="E410" s="12" t="s">
        <v>107</v>
      </c>
      <c r="F410" s="25"/>
      <c r="G410" s="25"/>
      <c r="H410" s="25"/>
      <c r="I410" s="25"/>
      <c r="J410" s="25"/>
      <c r="K410" s="25"/>
      <c r="L410" s="25"/>
      <c r="M410" s="25"/>
      <c r="N410" s="25"/>
      <c r="O410" s="25"/>
      <c r="P410" s="708"/>
      <c r="Q410" s="708"/>
      <c r="R410" s="2095" t="s">
        <v>554</v>
      </c>
      <c r="S410" s="2095"/>
      <c r="T410" s="12" t="s">
        <v>579</v>
      </c>
      <c r="U410" s="708"/>
      <c r="V410" s="708"/>
      <c r="W410" s="708"/>
      <c r="X410" s="708"/>
      <c r="Y410" s="708"/>
      <c r="Z410" s="708"/>
      <c r="AA410" s="708"/>
      <c r="AB410" s="708"/>
      <c r="AC410" s="708"/>
      <c r="AD410" s="2100">
        <v>2</v>
      </c>
      <c r="AE410" s="2100"/>
      <c r="AF410" s="708"/>
    </row>
    <row r="411" spans="1:96" ht="12.95" customHeight="1">
      <c r="C411" s="25"/>
      <c r="E411" s="12" t="s">
        <v>108</v>
      </c>
      <c r="F411" s="708"/>
      <c r="G411" s="708"/>
      <c r="H411" s="708"/>
      <c r="I411" s="708"/>
      <c r="J411" s="708"/>
      <c r="K411" s="708"/>
      <c r="L411" s="708"/>
      <c r="M411" s="708"/>
      <c r="N411" s="25"/>
      <c r="O411" s="25"/>
      <c r="P411" s="708"/>
      <c r="Q411" s="708"/>
      <c r="R411" s="2095" t="s">
        <v>600</v>
      </c>
      <c r="S411" s="2095"/>
      <c r="T411" s="12" t="s">
        <v>579</v>
      </c>
      <c r="U411" s="708"/>
      <c r="V411" s="708"/>
      <c r="W411" s="708"/>
      <c r="X411" s="708"/>
      <c r="Y411" s="708"/>
      <c r="Z411" s="708"/>
      <c r="AA411" s="708"/>
      <c r="AB411" s="708"/>
      <c r="AC411" s="708"/>
      <c r="AD411" s="2100">
        <v>0</v>
      </c>
      <c r="AE411" s="2100"/>
      <c r="AF411" s="708"/>
    </row>
    <row r="412" spans="1:96" ht="12.95" customHeight="1">
      <c r="C412" s="25"/>
      <c r="E412" s="12" t="s">
        <v>109</v>
      </c>
      <c r="F412" s="708"/>
      <c r="G412" s="708"/>
      <c r="H412" s="708"/>
      <c r="I412" s="708"/>
      <c r="J412" s="708"/>
      <c r="K412" s="708"/>
      <c r="L412" s="708"/>
      <c r="M412" s="708"/>
      <c r="N412" s="25"/>
      <c r="O412" s="25"/>
      <c r="P412" s="708"/>
      <c r="Q412" s="708"/>
      <c r="R412" s="708"/>
      <c r="S412" s="2095" t="s">
        <v>600</v>
      </c>
      <c r="T412" s="2095"/>
      <c r="U412" s="708"/>
      <c r="V412" s="708"/>
      <c r="W412" s="708"/>
      <c r="X412" s="708"/>
      <c r="Y412" s="708"/>
      <c r="Z412" s="708"/>
      <c r="AA412" s="708"/>
      <c r="AB412" s="708"/>
      <c r="AC412" s="708"/>
      <c r="AD412" s="708"/>
      <c r="AE412" s="708"/>
      <c r="AF412" s="708"/>
    </row>
    <row r="413" spans="1:96" ht="12.95" customHeight="1">
      <c r="E413" s="12" t="s">
        <v>170</v>
      </c>
      <c r="F413" s="708"/>
      <c r="G413" s="708"/>
      <c r="H413" s="2436" t="s">
        <v>335</v>
      </c>
      <c r="I413" s="2436"/>
      <c r="J413" s="2436"/>
      <c r="K413" s="2436"/>
      <c r="L413" s="2436"/>
      <c r="M413" s="2436"/>
      <c r="N413" s="2436"/>
      <c r="O413" s="2436"/>
      <c r="P413" s="2436"/>
      <c r="Q413" s="2436"/>
      <c r="R413" s="2436"/>
      <c r="S413" s="2436"/>
      <c r="T413" s="2436"/>
      <c r="U413" s="2436"/>
      <c r="V413" s="2436"/>
      <c r="W413" s="2436"/>
      <c r="X413" s="2436"/>
      <c r="Y413" s="2436"/>
      <c r="Z413" s="2436"/>
      <c r="AA413" s="2436"/>
      <c r="AB413" s="2436"/>
      <c r="AC413" s="2436"/>
      <c r="AD413" s="2436"/>
      <c r="AE413" s="2436"/>
      <c r="AF413" s="708"/>
    </row>
    <row r="414" spans="1:96" ht="12.95" customHeight="1">
      <c r="E414" s="25"/>
      <c r="F414" s="708"/>
      <c r="G414" s="708"/>
      <c r="H414" s="2437"/>
      <c r="I414" s="2437"/>
      <c r="J414" s="2437"/>
      <c r="K414" s="2437"/>
      <c r="L414" s="2437"/>
      <c r="M414" s="2437"/>
      <c r="N414" s="2437"/>
      <c r="O414" s="2437"/>
      <c r="P414" s="2437"/>
      <c r="Q414" s="2437"/>
      <c r="R414" s="2437"/>
      <c r="S414" s="2437"/>
      <c r="T414" s="2437"/>
      <c r="U414" s="2437"/>
      <c r="V414" s="2437"/>
      <c r="W414" s="2437"/>
      <c r="X414" s="2437"/>
      <c r="Y414" s="2437"/>
      <c r="Z414" s="2437"/>
      <c r="AA414" s="2437"/>
      <c r="AB414" s="2437"/>
      <c r="AC414" s="2437"/>
      <c r="AD414" s="2437"/>
      <c r="AE414" s="2437"/>
      <c r="AF414" s="708"/>
    </row>
    <row r="415" spans="1:96" ht="12.95" customHeight="1"/>
    <row r="416" spans="1:96" ht="12.95" customHeight="1">
      <c r="A416" s="50" t="s">
        <v>599</v>
      </c>
      <c r="B416" s="50"/>
      <c r="C416" s="50"/>
      <c r="D416" s="50" t="s">
        <v>115</v>
      </c>
      <c r="AF416" s="50" t="s">
        <v>996</v>
      </c>
    </row>
    <row r="417" spans="1:96" ht="12.95" customHeight="1">
      <c r="E417" s="2178"/>
      <c r="F417" s="2178"/>
      <c r="G417" s="2178"/>
      <c r="H417" s="23" t="s">
        <v>116</v>
      </c>
      <c r="I417" s="2178"/>
      <c r="J417" s="2178"/>
      <c r="K417" s="2178"/>
      <c r="L417" s="12" t="s">
        <v>117</v>
      </c>
      <c r="N417" s="141" t="s">
        <v>584</v>
      </c>
      <c r="P417" s="2298">
        <v>1.7663911800000001</v>
      </c>
      <c r="Q417" s="2298"/>
      <c r="R417" s="2298"/>
      <c r="S417" s="12" t="s">
        <v>118</v>
      </c>
      <c r="W417" s="2089">
        <f>IF(E417&gt;0,(E417*I417),(P417*43560))</f>
        <v>76943.999800799997</v>
      </c>
      <c r="X417" s="2089"/>
      <c r="Y417" s="2089"/>
      <c r="Z417" s="12" t="s">
        <v>119</v>
      </c>
      <c r="AF417" s="2249">
        <f>IF(P417&gt;0,(AG436/P417),(AG436/(W417/43560)))</f>
        <v>40.194947078483487</v>
      </c>
      <c r="AG417" s="2249"/>
      <c r="AH417" s="2249"/>
      <c r="AM417" s="238"/>
    </row>
    <row r="418" spans="1:96" ht="12.95" customHeight="1">
      <c r="E418" s="12" t="s">
        <v>51</v>
      </c>
    </row>
    <row r="419" spans="1:96" ht="12.95" customHeight="1">
      <c r="E419" s="2314"/>
      <c r="F419" s="2314"/>
      <c r="G419" s="2314"/>
      <c r="H419" s="2314"/>
      <c r="I419" s="2314"/>
      <c r="J419" s="2314"/>
      <c r="K419" s="2314"/>
      <c r="L419" s="2314"/>
      <c r="M419" s="2314"/>
      <c r="N419" s="2314"/>
      <c r="O419" s="2314"/>
      <c r="P419" s="2314"/>
      <c r="Q419" s="2314"/>
      <c r="R419" s="2314"/>
      <c r="S419" s="2314"/>
      <c r="T419" s="2314"/>
      <c r="U419" s="2314"/>
      <c r="V419" s="2314"/>
      <c r="W419" s="2314"/>
      <c r="X419" s="2314"/>
      <c r="Y419" s="2314"/>
      <c r="Z419" s="2314"/>
      <c r="AA419" s="2314"/>
      <c r="AB419" s="2314"/>
      <c r="AC419" s="2314"/>
      <c r="AD419" s="2314"/>
      <c r="AE419" s="2314"/>
      <c r="AF419" s="2314"/>
      <c r="AG419" s="2314"/>
      <c r="AH419" s="2314"/>
      <c r="AI419" s="2314"/>
      <c r="AJ419" s="2314"/>
    </row>
    <row r="420" spans="1:96" s="39" customFormat="1" ht="12.95" customHeight="1">
      <c r="E420" s="253" t="s">
        <v>1990</v>
      </c>
      <c r="F420" s="1640"/>
      <c r="G420" s="1640"/>
      <c r="H420" s="1640"/>
      <c r="I420" s="2450">
        <v>1.7</v>
      </c>
      <c r="J420" s="2450"/>
      <c r="K420" s="2450"/>
      <c r="L420" s="1640"/>
      <c r="M420" s="253"/>
      <c r="N420" s="1640"/>
      <c r="O420" s="1640"/>
      <c r="P420" s="2478">
        <f>(CS623+CS631+CS647)/I420</f>
        <v>41.764705882352942</v>
      </c>
      <c r="Q420" s="2478"/>
      <c r="R420" s="2478"/>
      <c r="S420" s="253" t="s">
        <v>1991</v>
      </c>
      <c r="T420" s="1640"/>
      <c r="U420" s="1640"/>
      <c r="V420" s="1640"/>
      <c r="W420" s="1640"/>
      <c r="X420" s="1640"/>
      <c r="Y420" s="1640"/>
      <c r="Z420" s="1640"/>
      <c r="AA420" s="1640"/>
      <c r="AB420" s="1640"/>
      <c r="AC420" s="1640"/>
      <c r="AD420" s="1640"/>
      <c r="AE420" s="1640"/>
      <c r="AF420" s="1640"/>
      <c r="AG420" s="1640"/>
      <c r="AH420" s="1640"/>
      <c r="AI420" s="1640"/>
      <c r="AJ420" s="1640"/>
      <c r="CR420" s="670"/>
    </row>
    <row r="421" spans="1:96" ht="12.95" customHeight="1">
      <c r="S421" s="708"/>
      <c r="T421" s="708"/>
      <c r="U421" s="708"/>
      <c r="V421" s="708"/>
      <c r="W421" s="708"/>
      <c r="X421" s="708"/>
      <c r="Y421" s="708"/>
      <c r="Z421" s="708"/>
      <c r="AA421" s="708"/>
      <c r="AB421" s="708"/>
      <c r="AC421" s="708"/>
      <c r="AD421" s="708"/>
      <c r="AE421" s="708"/>
      <c r="AF421" s="708"/>
      <c r="AG421" s="708"/>
      <c r="AH421" s="708"/>
      <c r="AI421" s="708"/>
      <c r="AJ421" s="708"/>
      <c r="AK421" s="708"/>
      <c r="AL421" s="708"/>
    </row>
    <row r="422" spans="1:96" ht="12.95" customHeight="1">
      <c r="A422" s="50" t="s">
        <v>601</v>
      </c>
      <c r="B422" s="50"/>
      <c r="C422" s="50"/>
      <c r="D422" s="50" t="s">
        <v>121</v>
      </c>
      <c r="S422" s="708"/>
      <c r="T422" s="708"/>
      <c r="U422" s="708"/>
      <c r="V422" s="708"/>
      <c r="W422" s="708"/>
      <c r="X422" s="708"/>
      <c r="Y422" s="708"/>
      <c r="Z422" s="708"/>
      <c r="AA422" s="708"/>
      <c r="AB422" s="708"/>
      <c r="AC422" s="708"/>
      <c r="AD422" s="708"/>
      <c r="AE422" s="708"/>
      <c r="AF422" s="708"/>
      <c r="AG422" s="708"/>
      <c r="AH422" s="708"/>
      <c r="AI422" s="708"/>
      <c r="AJ422" s="708"/>
      <c r="AK422" s="708"/>
      <c r="AL422" s="708"/>
    </row>
    <row r="423" spans="1:96" ht="12.95" customHeight="1">
      <c r="E423" s="12" t="s">
        <v>122</v>
      </c>
      <c r="P423" s="2095">
        <v>1</v>
      </c>
      <c r="Q423" s="2095"/>
      <c r="S423" s="12" t="s">
        <v>190</v>
      </c>
      <c r="AE423" s="2095">
        <v>1</v>
      </c>
      <c r="AF423" s="2095"/>
    </row>
    <row r="424" spans="1:96" ht="12.95" customHeight="1">
      <c r="E424" s="12" t="s">
        <v>191</v>
      </c>
      <c r="P424" s="2095">
        <v>0</v>
      </c>
      <c r="Q424" s="2095"/>
      <c r="S424" s="12" t="s">
        <v>132</v>
      </c>
      <c r="AE424" s="2095" t="s">
        <v>600</v>
      </c>
      <c r="AF424" s="2095"/>
    </row>
    <row r="425" spans="1:96" ht="12.95" customHeight="1">
      <c r="F425" s="67" t="s">
        <v>133</v>
      </c>
    </row>
    <row r="426" spans="1:96" ht="12.95" customHeight="1">
      <c r="F426" s="2179"/>
      <c r="G426" s="2179"/>
      <c r="H426" s="2179"/>
      <c r="I426" s="2179"/>
      <c r="J426" s="2179"/>
      <c r="K426" s="2179"/>
      <c r="L426" s="2179"/>
      <c r="M426" s="2179"/>
      <c r="N426" s="2179"/>
      <c r="O426" s="2179"/>
      <c r="P426" s="2179"/>
      <c r="Q426" s="2179"/>
      <c r="R426" s="2179"/>
      <c r="S426" s="2179"/>
      <c r="T426" s="2179"/>
      <c r="U426" s="2179"/>
      <c r="V426" s="2179"/>
      <c r="W426" s="2179"/>
      <c r="X426" s="2179"/>
      <c r="Y426" s="2179"/>
      <c r="Z426" s="2179"/>
      <c r="AA426" s="2179"/>
      <c r="AB426" s="2179"/>
      <c r="AC426" s="2179"/>
      <c r="AD426" s="2179"/>
      <c r="AE426" s="2179"/>
      <c r="AF426" s="2179"/>
      <c r="AG426" s="2179"/>
      <c r="AH426" s="2179"/>
    </row>
    <row r="427" spans="1:96" ht="12.95" customHeight="1">
      <c r="F427" s="2180"/>
      <c r="G427" s="2180"/>
      <c r="H427" s="2180"/>
      <c r="I427" s="2180"/>
      <c r="J427" s="2180"/>
      <c r="K427" s="2180"/>
      <c r="L427" s="2180"/>
      <c r="M427" s="2180"/>
      <c r="N427" s="2180"/>
      <c r="O427" s="2180"/>
      <c r="P427" s="2180"/>
      <c r="Q427" s="2180"/>
      <c r="R427" s="2180"/>
      <c r="S427" s="2180"/>
      <c r="T427" s="2180"/>
      <c r="U427" s="2180"/>
      <c r="V427" s="2180"/>
      <c r="W427" s="2180"/>
      <c r="X427" s="2180"/>
      <c r="Y427" s="2180"/>
      <c r="Z427" s="2180"/>
      <c r="AA427" s="2180"/>
      <c r="AB427" s="2180"/>
      <c r="AC427" s="2180"/>
      <c r="AD427" s="2180"/>
      <c r="AE427" s="2180"/>
      <c r="AF427" s="2180"/>
      <c r="AG427" s="2180"/>
      <c r="AH427" s="2180"/>
    </row>
    <row r="428" spans="1:96" ht="12.95" customHeight="1">
      <c r="E428" s="12" t="s">
        <v>617</v>
      </c>
      <c r="N428" s="39"/>
      <c r="O428" s="39"/>
      <c r="P428" s="234"/>
      <c r="Q428" s="2095" t="s">
        <v>678</v>
      </c>
      <c r="R428" s="2095"/>
      <c r="S428" s="39"/>
      <c r="T428" s="39"/>
      <c r="U428" s="39"/>
      <c r="V428" s="39"/>
      <c r="W428" s="39"/>
      <c r="X428" s="39"/>
      <c r="Y428" s="39"/>
      <c r="Z428" s="39"/>
      <c r="AA428" s="39"/>
      <c r="AB428" s="39"/>
      <c r="AC428" s="39"/>
      <c r="AD428" s="39"/>
      <c r="AG428" s="25"/>
    </row>
    <row r="429" spans="1:96" ht="12.95" customHeight="1">
      <c r="F429" s="12" t="s">
        <v>618</v>
      </c>
      <c r="N429" s="39"/>
      <c r="O429" s="39"/>
      <c r="P429" s="234"/>
      <c r="Q429" s="234"/>
      <c r="R429" s="39"/>
      <c r="S429" s="39"/>
      <c r="T429" s="39"/>
      <c r="U429" s="39"/>
      <c r="V429" s="39"/>
      <c r="W429" s="39"/>
      <c r="X429" s="39"/>
      <c r="Y429" s="39"/>
      <c r="Z429" s="39"/>
      <c r="AA429" s="39"/>
      <c r="AB429" s="39"/>
      <c r="AC429" s="39"/>
      <c r="AD429" s="39"/>
      <c r="AF429" s="2095" t="s">
        <v>600</v>
      </c>
      <c r="AG429" s="2172"/>
    </row>
    <row r="430" spans="1:96" ht="12.95" customHeight="1">
      <c r="S430" s="25"/>
      <c r="T430" s="25"/>
    </row>
    <row r="431" spans="1:96" ht="12.95" customHeight="1">
      <c r="A431" s="50"/>
      <c r="B431" s="50"/>
      <c r="C431" s="50"/>
      <c r="E431" s="7" t="s">
        <v>309</v>
      </c>
      <c r="Z431" s="2095" t="s">
        <v>678</v>
      </c>
      <c r="AA431" s="2095"/>
      <c r="AH431" s="25"/>
      <c r="AI431" s="25"/>
    </row>
    <row r="432" spans="1:96" ht="12.95" customHeight="1">
      <c r="F432" s="68" t="s">
        <v>44</v>
      </c>
      <c r="G432" s="69"/>
      <c r="H432" s="69"/>
      <c r="I432" s="69"/>
      <c r="J432" s="69"/>
      <c r="K432" s="69"/>
      <c r="L432" s="69"/>
      <c r="M432" s="69"/>
      <c r="N432" s="69"/>
      <c r="O432" s="69"/>
      <c r="P432" s="69"/>
      <c r="Q432" s="69"/>
      <c r="R432" s="69"/>
      <c r="S432" s="69"/>
      <c r="T432" s="69"/>
      <c r="U432" s="69"/>
      <c r="V432" s="69"/>
      <c r="W432" s="69"/>
      <c r="AB432" s="69"/>
    </row>
    <row r="433" spans="1:110" ht="12.95" customHeight="1">
      <c r="F433" s="12" t="s">
        <v>719</v>
      </c>
      <c r="G433" s="69"/>
      <c r="I433" s="69"/>
      <c r="J433" s="69"/>
      <c r="K433" s="69"/>
      <c r="L433" s="69"/>
      <c r="M433" s="69"/>
      <c r="N433" s="69"/>
      <c r="O433" s="67"/>
      <c r="P433" s="69"/>
      <c r="Q433" s="69"/>
      <c r="R433" s="69"/>
      <c r="S433" s="69"/>
      <c r="T433" s="69"/>
      <c r="U433" s="69"/>
      <c r="V433" s="69"/>
      <c r="W433" s="69"/>
      <c r="Z433" s="2095" t="s">
        <v>600</v>
      </c>
      <c r="AA433" s="2095"/>
    </row>
    <row r="434" spans="1:110" ht="12.95" customHeight="1"/>
    <row r="435" spans="1:110" ht="12.95" customHeight="1">
      <c r="A435" s="50" t="s">
        <v>476</v>
      </c>
      <c r="B435" s="50"/>
      <c r="C435" s="50"/>
      <c r="D435" s="50" t="s">
        <v>788</v>
      </c>
      <c r="AF435" s="80"/>
    </row>
    <row r="436" spans="1:110" ht="12.95" customHeight="1">
      <c r="D436" s="2141" t="s">
        <v>43</v>
      </c>
      <c r="E436" s="2142"/>
      <c r="F436" s="2142"/>
      <c r="G436" s="2142"/>
      <c r="H436" s="2142"/>
      <c r="I436" s="2142"/>
      <c r="J436" s="2142"/>
      <c r="K436" s="2142"/>
      <c r="L436" s="2142"/>
      <c r="M436" s="2142"/>
      <c r="N436" s="2142"/>
      <c r="O436" s="2142"/>
      <c r="P436" s="2142"/>
      <c r="Q436" s="2142"/>
      <c r="R436" s="2142"/>
      <c r="S436" s="2142"/>
      <c r="T436" s="2142"/>
      <c r="U436" s="2142"/>
      <c r="V436" s="2142"/>
      <c r="W436" s="2142"/>
      <c r="X436" s="2142"/>
      <c r="Y436" s="2142"/>
      <c r="Z436" s="2142"/>
      <c r="AA436" s="2142"/>
      <c r="AB436" s="2142"/>
      <c r="AC436" s="2142"/>
      <c r="AD436" s="2142"/>
      <c r="AE436" s="2142"/>
      <c r="AF436" s="2143"/>
      <c r="AG436" s="2082">
        <v>71</v>
      </c>
      <c r="AH436" s="2082"/>
      <c r="AI436" s="2082"/>
      <c r="AJ436" s="2082"/>
    </row>
    <row r="437" spans="1:110" ht="12.95" customHeight="1">
      <c r="D437" s="2086" t="s">
        <v>1368</v>
      </c>
      <c r="E437" s="2087"/>
      <c r="F437" s="2087"/>
      <c r="G437" s="2087"/>
      <c r="H437" s="2087"/>
      <c r="I437" s="2087"/>
      <c r="J437" s="2087"/>
      <c r="K437" s="2087"/>
      <c r="L437" s="2087"/>
      <c r="M437" s="2087"/>
      <c r="N437" s="2087"/>
      <c r="O437" s="2087"/>
      <c r="P437" s="2087"/>
      <c r="Q437" s="2087"/>
      <c r="R437" s="2087"/>
      <c r="S437" s="2087"/>
      <c r="T437" s="2087"/>
      <c r="U437" s="2087"/>
      <c r="V437" s="2087"/>
      <c r="W437" s="2087"/>
      <c r="X437" s="2087"/>
      <c r="Y437" s="2087"/>
      <c r="Z437" s="2087"/>
      <c r="AA437" s="2087"/>
      <c r="AB437" s="2087"/>
      <c r="AC437" s="2087"/>
      <c r="AD437" s="2087"/>
      <c r="AE437" s="2087"/>
      <c r="AF437" s="2088"/>
      <c r="AG437" s="2093"/>
      <c r="AH437" s="2094"/>
      <c r="AI437" s="2094"/>
      <c r="AJ437" s="2094"/>
    </row>
    <row r="438" spans="1:110" ht="12.95" customHeight="1">
      <c r="D438" s="2086" t="s">
        <v>1091</v>
      </c>
      <c r="E438" s="2087"/>
      <c r="F438" s="2087"/>
      <c r="G438" s="2087"/>
      <c r="H438" s="2087"/>
      <c r="I438" s="2087"/>
      <c r="J438" s="2087"/>
      <c r="K438" s="2087"/>
      <c r="L438" s="2087"/>
      <c r="M438" s="2087"/>
      <c r="N438" s="2087"/>
      <c r="O438" s="2087"/>
      <c r="P438" s="2087"/>
      <c r="Q438" s="2087"/>
      <c r="R438" s="2087"/>
      <c r="S438" s="2087"/>
      <c r="T438" s="2087"/>
      <c r="U438" s="2087"/>
      <c r="V438" s="2087"/>
      <c r="W438" s="2087"/>
      <c r="X438" s="2087"/>
      <c r="Y438" s="2087"/>
      <c r="Z438" s="2087"/>
      <c r="AA438" s="2087"/>
      <c r="AB438" s="2087"/>
      <c r="AC438" s="2087"/>
      <c r="AD438" s="2087"/>
      <c r="AE438" s="2087"/>
      <c r="AF438" s="2088"/>
      <c r="AG438" s="2082">
        <v>69</v>
      </c>
      <c r="AH438" s="2082"/>
      <c r="AI438" s="2082"/>
      <c r="AJ438" s="2082"/>
    </row>
    <row r="439" spans="1:110" ht="12.95" customHeight="1">
      <c r="D439" s="2086" t="s">
        <v>1092</v>
      </c>
      <c r="E439" s="2087"/>
      <c r="F439" s="2087"/>
      <c r="G439" s="2087"/>
      <c r="H439" s="2087"/>
      <c r="I439" s="2087"/>
      <c r="J439" s="2087"/>
      <c r="K439" s="2087"/>
      <c r="L439" s="2087"/>
      <c r="M439" s="2087"/>
      <c r="N439" s="2087"/>
      <c r="O439" s="2087"/>
      <c r="P439" s="2087"/>
      <c r="Q439" s="2087"/>
      <c r="R439" s="2087"/>
      <c r="S439" s="2087"/>
      <c r="T439" s="2087"/>
      <c r="U439" s="2087"/>
      <c r="V439" s="2087"/>
      <c r="W439" s="2087"/>
      <c r="X439" s="2087"/>
      <c r="Y439" s="2087"/>
      <c r="Z439" s="2087"/>
      <c r="AA439" s="2087"/>
      <c r="AB439" s="2087"/>
      <c r="AC439" s="2087"/>
      <c r="AD439" s="2087"/>
      <c r="AE439" s="2087"/>
      <c r="AF439" s="2088"/>
      <c r="AG439" s="2082">
        <v>69</v>
      </c>
      <c r="AH439" s="2082"/>
      <c r="AI439" s="2082"/>
      <c r="AJ439" s="2082"/>
    </row>
    <row r="440" spans="1:110" ht="12.95" customHeight="1">
      <c r="D440" s="2086" t="s">
        <v>1094</v>
      </c>
      <c r="E440" s="2087"/>
      <c r="F440" s="2087"/>
      <c r="G440" s="2087"/>
      <c r="H440" s="2087"/>
      <c r="I440" s="2087"/>
      <c r="J440" s="2087"/>
      <c r="K440" s="2087"/>
      <c r="L440" s="2087"/>
      <c r="M440" s="2087"/>
      <c r="N440" s="2087"/>
      <c r="O440" s="2087"/>
      <c r="P440" s="2087"/>
      <c r="Q440" s="2087"/>
      <c r="R440" s="2087"/>
      <c r="S440" s="2087"/>
      <c r="T440" s="2087"/>
      <c r="U440" s="2087"/>
      <c r="V440" s="2087"/>
      <c r="W440" s="2087"/>
      <c r="X440" s="2087"/>
      <c r="Y440" s="2087"/>
      <c r="Z440" s="2087"/>
      <c r="AA440" s="2087"/>
      <c r="AB440" s="2087"/>
      <c r="AC440" s="2087"/>
      <c r="AD440" s="2087"/>
      <c r="AE440" s="2087"/>
      <c r="AF440" s="2088"/>
      <c r="AG440" s="2084">
        <f>IF(ISERROR(AG439/AG438),"",AG439/AG438)</f>
        <v>1</v>
      </c>
      <c r="AH440" s="2084"/>
      <c r="AI440" s="2084"/>
      <c r="AJ440" s="2084"/>
    </row>
    <row r="441" spans="1:110" ht="12.95" customHeight="1">
      <c r="D441" s="2086" t="s">
        <v>1093</v>
      </c>
      <c r="E441" s="2087"/>
      <c r="F441" s="2087"/>
      <c r="G441" s="2087"/>
      <c r="H441" s="2087"/>
      <c r="I441" s="2087"/>
      <c r="J441" s="2087"/>
      <c r="K441" s="2087"/>
      <c r="L441" s="2087"/>
      <c r="M441" s="2087"/>
      <c r="N441" s="2087"/>
      <c r="O441" s="2087"/>
      <c r="P441" s="2087"/>
      <c r="Q441" s="2087"/>
      <c r="R441" s="2087"/>
      <c r="S441" s="2087"/>
      <c r="T441" s="2087"/>
      <c r="U441" s="2087"/>
      <c r="V441" s="2087"/>
      <c r="W441" s="2087"/>
      <c r="X441" s="2087"/>
      <c r="Y441" s="2087"/>
      <c r="Z441" s="2087"/>
      <c r="AA441" s="2087"/>
      <c r="AB441" s="2087"/>
      <c r="AC441" s="2087"/>
      <c r="AD441" s="2087"/>
      <c r="AE441" s="2087"/>
      <c r="AF441" s="2088"/>
      <c r="AG441" s="2083">
        <v>40502</v>
      </c>
      <c r="AH441" s="2083"/>
      <c r="AI441" s="2083"/>
      <c r="AJ441" s="2083"/>
    </row>
    <row r="442" spans="1:110" ht="12.95" customHeight="1">
      <c r="D442" s="2086" t="s">
        <v>1095</v>
      </c>
      <c r="E442" s="2087"/>
      <c r="F442" s="2087"/>
      <c r="G442" s="2087"/>
      <c r="H442" s="2087"/>
      <c r="I442" s="2087"/>
      <c r="J442" s="2087"/>
      <c r="K442" s="2087"/>
      <c r="L442" s="2087"/>
      <c r="M442" s="2087"/>
      <c r="N442" s="2087"/>
      <c r="O442" s="2087"/>
      <c r="P442" s="2087"/>
      <c r="Q442" s="2087"/>
      <c r="R442" s="2087"/>
      <c r="S442" s="2087"/>
      <c r="T442" s="2087"/>
      <c r="U442" s="2087"/>
      <c r="V442" s="2087"/>
      <c r="W442" s="2087"/>
      <c r="X442" s="2087"/>
      <c r="Y442" s="2087"/>
      <c r="Z442" s="2087"/>
      <c r="AA442" s="2087"/>
      <c r="AB442" s="2087"/>
      <c r="AC442" s="2087"/>
      <c r="AD442" s="2087"/>
      <c r="AE442" s="2087"/>
      <c r="AF442" s="2088"/>
      <c r="AG442" s="2083">
        <v>40502</v>
      </c>
      <c r="AH442" s="2083"/>
      <c r="AI442" s="2083"/>
      <c r="AJ442" s="2083"/>
    </row>
    <row r="443" spans="1:110" ht="12.95" customHeight="1">
      <c r="D443" s="2086" t="s">
        <v>1096</v>
      </c>
      <c r="E443" s="2087"/>
      <c r="F443" s="2087"/>
      <c r="G443" s="2087"/>
      <c r="H443" s="2087"/>
      <c r="I443" s="2087"/>
      <c r="J443" s="2087"/>
      <c r="K443" s="2087"/>
      <c r="L443" s="2087"/>
      <c r="M443" s="2087"/>
      <c r="N443" s="2087"/>
      <c r="O443" s="2087"/>
      <c r="P443" s="2087"/>
      <c r="Q443" s="2087"/>
      <c r="R443" s="2087"/>
      <c r="S443" s="2087"/>
      <c r="T443" s="2087"/>
      <c r="U443" s="2087"/>
      <c r="V443" s="2087"/>
      <c r="W443" s="2087"/>
      <c r="X443" s="2087"/>
      <c r="Y443" s="2087"/>
      <c r="Z443" s="2087"/>
      <c r="AA443" s="2087"/>
      <c r="AB443" s="2087"/>
      <c r="AC443" s="2087"/>
      <c r="AD443" s="2087"/>
      <c r="AE443" s="2087"/>
      <c r="AF443" s="2088"/>
      <c r="AG443" s="2084">
        <f>IF(ISERROR(AG442/AG441),"",AG442/AG441)</f>
        <v>1</v>
      </c>
      <c r="AH443" s="2084"/>
      <c r="AI443" s="2084"/>
      <c r="AJ443" s="2084"/>
    </row>
    <row r="444" spans="1:110" ht="12.95" customHeight="1">
      <c r="D444" s="2086" t="s">
        <v>1097</v>
      </c>
      <c r="E444" s="2087"/>
      <c r="F444" s="2087"/>
      <c r="G444" s="2087"/>
      <c r="H444" s="2087"/>
      <c r="I444" s="2087"/>
      <c r="J444" s="2087"/>
      <c r="K444" s="2087"/>
      <c r="L444" s="2087"/>
      <c r="M444" s="2087"/>
      <c r="N444" s="2087"/>
      <c r="O444" s="2087"/>
      <c r="P444" s="2087"/>
      <c r="Q444" s="2087"/>
      <c r="R444" s="2087"/>
      <c r="S444" s="2087"/>
      <c r="T444" s="2087"/>
      <c r="U444" s="2087"/>
      <c r="V444" s="2087"/>
      <c r="W444" s="2087"/>
      <c r="X444" s="2087"/>
      <c r="Y444" s="2087"/>
      <c r="Z444" s="2087"/>
      <c r="AA444" s="2087"/>
      <c r="AB444" s="2087"/>
      <c r="AC444" s="2087"/>
      <c r="AD444" s="2087"/>
      <c r="AE444" s="2087"/>
      <c r="AF444" s="2088"/>
      <c r="AG444" s="2084">
        <f>MIN(IF(AG440&gt;AG443,AG443,AG440),1)</f>
        <v>1</v>
      </c>
      <c r="AH444" s="2084"/>
      <c r="AI444" s="2084"/>
      <c r="AJ444" s="2084"/>
    </row>
    <row r="445" spans="1:110" ht="12.95" customHeight="1">
      <c r="D445" s="2086" t="s">
        <v>2500</v>
      </c>
      <c r="E445" s="2142"/>
      <c r="F445" s="2142"/>
      <c r="G445" s="2142"/>
      <c r="H445" s="2142"/>
      <c r="I445" s="2142"/>
      <c r="J445" s="2142"/>
      <c r="K445" s="2142"/>
      <c r="L445" s="2142"/>
      <c r="M445" s="2142"/>
      <c r="N445" s="2142"/>
      <c r="O445" s="2142"/>
      <c r="P445" s="2142"/>
      <c r="Q445" s="2142"/>
      <c r="R445" s="2142"/>
      <c r="S445" s="2142"/>
      <c r="T445" s="2142"/>
      <c r="U445" s="2142"/>
      <c r="V445" s="2142"/>
      <c r="W445" s="2142"/>
      <c r="X445" s="2142"/>
      <c r="Y445" s="2142"/>
      <c r="Z445" s="2142"/>
      <c r="AA445" s="2142"/>
      <c r="AB445" s="2142"/>
      <c r="AC445" s="2142"/>
      <c r="AD445" s="2142"/>
      <c r="AE445" s="2142"/>
      <c r="AF445" s="2143"/>
      <c r="AG445" s="2083">
        <v>3660</v>
      </c>
      <c r="AH445" s="2083"/>
      <c r="AI445" s="2083"/>
      <c r="AJ445" s="2083"/>
    </row>
    <row r="446" spans="1:110" ht="12.95" customHeight="1">
      <c r="D446" s="2141" t="s">
        <v>578</v>
      </c>
      <c r="E446" s="2142"/>
      <c r="F446" s="2142"/>
      <c r="G446" s="2142"/>
      <c r="H446" s="2142"/>
      <c r="I446" s="2142"/>
      <c r="J446" s="2142"/>
      <c r="K446" s="2142"/>
      <c r="L446" s="2142"/>
      <c r="M446" s="2142"/>
      <c r="N446" s="2142"/>
      <c r="O446" s="2142"/>
      <c r="P446" s="2142"/>
      <c r="Q446" s="2142"/>
      <c r="R446" s="2142"/>
      <c r="S446" s="2142"/>
      <c r="T446" s="2142"/>
      <c r="U446" s="2142"/>
      <c r="V446" s="2142"/>
      <c r="W446" s="2142"/>
      <c r="X446" s="2142"/>
      <c r="Y446" s="2142"/>
      <c r="Z446" s="2142"/>
      <c r="AA446" s="2142"/>
      <c r="AB446" s="2142"/>
      <c r="AC446" s="2142"/>
      <c r="AD446" s="2142"/>
      <c r="AE446" s="2142"/>
      <c r="AF446" s="2143"/>
      <c r="AG446" s="2083">
        <v>0</v>
      </c>
      <c r="AH446" s="2083"/>
      <c r="AI446" s="2083"/>
      <c r="AJ446" s="208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46"/>
      <c r="CS446" s="61"/>
      <c r="CT446" s="61"/>
      <c r="CU446" s="61"/>
      <c r="CV446" s="61"/>
      <c r="CW446" s="61"/>
      <c r="CX446" s="61"/>
      <c r="CY446" s="61"/>
      <c r="CZ446" s="61"/>
      <c r="DA446" s="61"/>
      <c r="DB446" s="61"/>
      <c r="DC446" s="61"/>
      <c r="DD446" s="61"/>
      <c r="DE446" s="61"/>
      <c r="DF446" s="61"/>
    </row>
    <row r="447" spans="1:110" ht="12.95" customHeight="1">
      <c r="D447" s="2086" t="s">
        <v>1347</v>
      </c>
      <c r="E447" s="2142"/>
      <c r="F447" s="2142"/>
      <c r="G447" s="2142"/>
      <c r="H447" s="2142"/>
      <c r="I447" s="2142"/>
      <c r="J447" s="2142"/>
      <c r="K447" s="2142"/>
      <c r="L447" s="2142"/>
      <c r="M447" s="2142"/>
      <c r="N447" s="2142"/>
      <c r="O447" s="2142"/>
      <c r="P447" s="2142"/>
      <c r="Q447" s="2142"/>
      <c r="R447" s="2142"/>
      <c r="S447" s="2142"/>
      <c r="T447" s="2142"/>
      <c r="U447" s="2142"/>
      <c r="V447" s="2142"/>
      <c r="W447" s="2142"/>
      <c r="X447" s="2142"/>
      <c r="Y447" s="2142"/>
      <c r="Z447" s="2142"/>
      <c r="AA447" s="2142"/>
      <c r="AB447" s="2142"/>
      <c r="AC447" s="2142"/>
      <c r="AD447" s="2142"/>
      <c r="AE447" s="2142"/>
      <c r="AF447" s="2143"/>
      <c r="AG447" s="2083">
        <v>7150</v>
      </c>
      <c r="AH447" s="2083"/>
      <c r="AI447" s="2083"/>
      <c r="AJ447" s="208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95" customHeight="1">
      <c r="D448" s="2086" t="s">
        <v>1098</v>
      </c>
      <c r="E448" s="2142"/>
      <c r="F448" s="2142"/>
      <c r="G448" s="2142"/>
      <c r="H448" s="2142"/>
      <c r="I448" s="2142"/>
      <c r="J448" s="2142"/>
      <c r="K448" s="2142"/>
      <c r="L448" s="2142"/>
      <c r="M448" s="2142"/>
      <c r="N448" s="2142"/>
      <c r="O448" s="2142"/>
      <c r="P448" s="2142"/>
      <c r="Q448" s="2142"/>
      <c r="R448" s="2142"/>
      <c r="S448" s="2142"/>
      <c r="T448" s="2142"/>
      <c r="U448" s="2142"/>
      <c r="V448" s="2142"/>
      <c r="W448" s="2142"/>
      <c r="X448" s="2142"/>
      <c r="Y448" s="2142"/>
      <c r="Z448" s="2142"/>
      <c r="AA448" s="2142"/>
      <c r="AB448" s="2142"/>
      <c r="AC448" s="2142"/>
      <c r="AD448" s="2142"/>
      <c r="AE448" s="2142"/>
      <c r="AF448" s="2143"/>
      <c r="AG448" s="2083">
        <v>0</v>
      </c>
      <c r="AH448" s="2083"/>
      <c r="AI448" s="2083"/>
      <c r="AJ448" s="208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5" customHeight="1">
      <c r="D449" s="2309" t="s">
        <v>1099</v>
      </c>
      <c r="E449" s="2310"/>
      <c r="F449" s="2310"/>
      <c r="G449" s="2310"/>
      <c r="H449" s="2310"/>
      <c r="I449" s="2310"/>
      <c r="J449" s="2310"/>
      <c r="K449" s="2310"/>
      <c r="L449" s="2310"/>
      <c r="M449" s="2310"/>
      <c r="N449" s="2310"/>
      <c r="O449" s="2310"/>
      <c r="P449" s="2310"/>
      <c r="Q449" s="2310"/>
      <c r="R449" s="2310"/>
      <c r="S449" s="2310"/>
      <c r="T449" s="2310"/>
      <c r="U449" s="2310"/>
      <c r="V449" s="2310"/>
      <c r="W449" s="2310"/>
      <c r="X449" s="2310"/>
      <c r="Y449" s="2310"/>
      <c r="Z449" s="2310"/>
      <c r="AA449" s="2310"/>
      <c r="AB449" s="2310"/>
      <c r="AC449" s="2310"/>
      <c r="AD449" s="2310"/>
      <c r="AE449" s="2310"/>
      <c r="AF449" s="2311"/>
      <c r="AG449" s="2192">
        <f>AG441+AG445+AG447+AG448</f>
        <v>51312</v>
      </c>
      <c r="AH449" s="2192"/>
      <c r="AI449" s="2192"/>
      <c r="AJ449" s="219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5" customHeight="1">
      <c r="D450" s="2312" t="s">
        <v>1348</v>
      </c>
      <c r="E450" s="2312"/>
      <c r="F450" s="2312"/>
      <c r="G450" s="2312"/>
      <c r="H450" s="2312"/>
      <c r="I450" s="2312"/>
      <c r="J450" s="2312"/>
      <c r="K450" s="2312"/>
      <c r="L450" s="2312"/>
      <c r="M450" s="2312"/>
      <c r="N450" s="2312"/>
      <c r="O450" s="2312"/>
      <c r="P450" s="2312"/>
      <c r="Q450" s="2312"/>
      <c r="R450" s="2312"/>
      <c r="S450" s="2312"/>
      <c r="T450" s="2312"/>
      <c r="U450" s="2312"/>
      <c r="V450" s="2312"/>
      <c r="W450" s="2312"/>
      <c r="X450" s="2312"/>
      <c r="Y450" s="2312"/>
      <c r="Z450" s="2312"/>
      <c r="AA450" s="2312"/>
      <c r="AB450" s="2312"/>
      <c r="AC450" s="2312"/>
      <c r="AD450" s="2312"/>
      <c r="AE450" s="2312"/>
      <c r="AF450" s="2312"/>
      <c r="AG450" s="2312"/>
      <c r="AH450" s="2312"/>
      <c r="AI450" s="2312"/>
      <c r="AJ450" s="231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5" customHeight="1">
      <c r="D451" s="2313"/>
      <c r="E451" s="2313"/>
      <c r="F451" s="2313"/>
      <c r="G451" s="2313"/>
      <c r="H451" s="2313"/>
      <c r="I451" s="2313"/>
      <c r="J451" s="2313"/>
      <c r="K451" s="2313"/>
      <c r="L451" s="2313"/>
      <c r="M451" s="2313"/>
      <c r="N451" s="2313"/>
      <c r="O451" s="2313"/>
      <c r="P451" s="2313"/>
      <c r="Q451" s="2313"/>
      <c r="R451" s="2313"/>
      <c r="S451" s="2313"/>
      <c r="T451" s="2313"/>
      <c r="U451" s="2313"/>
      <c r="V451" s="2313"/>
      <c r="W451" s="2313"/>
      <c r="X451" s="2313"/>
      <c r="Y451" s="2313"/>
      <c r="Z451" s="2313"/>
      <c r="AA451" s="2313"/>
      <c r="AB451" s="2313"/>
      <c r="AC451" s="2313"/>
      <c r="AD451" s="2313"/>
      <c r="AE451" s="2313"/>
      <c r="AF451" s="2313"/>
      <c r="AG451" s="2313"/>
      <c r="AH451" s="2313"/>
      <c r="AI451" s="2313"/>
      <c r="AJ451" s="231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5" customHeight="1">
      <c r="D452" s="896"/>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5" customHeight="1">
      <c r="D453" s="333" t="s">
        <v>840</v>
      </c>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085">
        <f>'Sources and Uses Budget'!B105/Application!AG436</f>
        <v>623322.36619718315</v>
      </c>
      <c r="AD453" s="2085"/>
      <c r="AE453" s="2085"/>
      <c r="AF453" s="2085"/>
      <c r="AG453" s="283"/>
      <c r="AH453" s="283"/>
      <c r="AI453" s="283"/>
      <c r="AJ453" s="289"/>
      <c r="AZ453" s="58"/>
      <c r="BA453" s="58" t="str">
        <f>N571</f>
        <v>Yes</v>
      </c>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5" customHeight="1">
      <c r="D454" s="333" t="s">
        <v>841</v>
      </c>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085">
        <f>'Sources and Uses Budget'!C105/Application!AG436</f>
        <v>623322.36619718315</v>
      </c>
      <c r="AD454" s="2085"/>
      <c r="AE454" s="2085"/>
      <c r="AF454" s="2085"/>
      <c r="AG454" s="283"/>
      <c r="AH454" s="283"/>
      <c r="AI454" s="283"/>
      <c r="AJ454" s="289"/>
      <c r="AZ454" s="58"/>
      <c r="BA454" s="58" t="str">
        <f>AG571</f>
        <v>Yes</v>
      </c>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5" customHeight="1">
      <c r="D455" s="333" t="s">
        <v>891</v>
      </c>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085">
        <f>('Sources and Uses Budget'!$S$107+'Sources and Uses Budget'!$T$107)/Application!AG436</f>
        <v>571264.661971831</v>
      </c>
      <c r="AD455" s="2085"/>
      <c r="AE455" s="2085"/>
      <c r="AF455" s="2085"/>
      <c r="AG455" s="283"/>
      <c r="AH455" s="283"/>
      <c r="AI455" s="283"/>
      <c r="AJ455" s="28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5" customHeight="1">
      <c r="D456" s="283"/>
      <c r="E456" s="283"/>
      <c r="F456" s="2246" t="str">
        <f>IFERROR(IF(AC453&gt;650000,"Please provide a justification of cost per unit in Tab 12 for all projects with per unit costs of greater than $650,000.",""),"")</f>
        <v/>
      </c>
      <c r="G456" s="2246"/>
      <c r="H456" s="2246"/>
      <c r="I456" s="2246"/>
      <c r="J456" s="2246"/>
      <c r="K456" s="2246"/>
      <c r="L456" s="2246"/>
      <c r="M456" s="2246"/>
      <c r="N456" s="2246"/>
      <c r="O456" s="2246"/>
      <c r="P456" s="2246"/>
      <c r="Q456" s="2246"/>
      <c r="R456" s="2246"/>
      <c r="S456" s="2246"/>
      <c r="T456" s="2246"/>
      <c r="U456" s="2246"/>
      <c r="V456" s="2246"/>
      <c r="W456" s="2246"/>
      <c r="X456" s="2246"/>
      <c r="Y456" s="2246"/>
      <c r="Z456" s="2246"/>
      <c r="AA456" s="2246"/>
      <c r="AB456" s="2246"/>
      <c r="AC456" s="857"/>
      <c r="AD456" s="283"/>
      <c r="AE456" s="283"/>
      <c r="AF456" s="283"/>
      <c r="AG456" s="283"/>
      <c r="AH456" s="283"/>
      <c r="AI456" s="283"/>
      <c r="AJ456" s="28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5" customHeight="1">
      <c r="A457" s="50"/>
      <c r="D457" s="50"/>
      <c r="E457" s="283"/>
      <c r="F457" s="2246"/>
      <c r="G457" s="2246"/>
      <c r="H457" s="2246"/>
      <c r="I457" s="2246"/>
      <c r="J457" s="2246"/>
      <c r="K457" s="2246"/>
      <c r="L457" s="2246"/>
      <c r="M457" s="2246"/>
      <c r="N457" s="2246"/>
      <c r="O457" s="2246"/>
      <c r="P457" s="2246"/>
      <c r="Q457" s="2246"/>
      <c r="R457" s="2246"/>
      <c r="S457" s="2246"/>
      <c r="T457" s="2246"/>
      <c r="U457" s="2246"/>
      <c r="V457" s="2246"/>
      <c r="W457" s="2246"/>
      <c r="X457" s="2246"/>
      <c r="Y457" s="2246"/>
      <c r="Z457" s="2246"/>
      <c r="AA457" s="2246"/>
      <c r="AB457" s="2246"/>
      <c r="AC457" s="283"/>
      <c r="AD457" s="283"/>
      <c r="AE457" s="283"/>
      <c r="AF457" s="283"/>
      <c r="AG457" s="283"/>
      <c r="AH457" s="283"/>
      <c r="AI457" s="283"/>
      <c r="AJ457" s="28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5" customHeight="1">
      <c r="A458" s="50" t="s">
        <v>622</v>
      </c>
      <c r="B458" s="708"/>
      <c r="C458" s="708"/>
      <c r="D458" s="50" t="s">
        <v>249</v>
      </c>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5" customHeight="1">
      <c r="D459" s="290" t="s">
        <v>2135</v>
      </c>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5" customHeight="1">
      <c r="D460" s="290" t="s">
        <v>2136</v>
      </c>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5" customHeight="1">
      <c r="D461" s="290" t="s">
        <v>2137</v>
      </c>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9"/>
      <c r="AZ461" s="58"/>
      <c r="BA461" s="58" t="str">
        <f>N579</f>
        <v>Yes</v>
      </c>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5" customHeight="1">
      <c r="D462" s="896"/>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9"/>
      <c r="AZ462" s="58"/>
      <c r="BA462" s="58" t="str">
        <f>AG579</f>
        <v>Yes</v>
      </c>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5" customHeight="1">
      <c r="A463" s="181"/>
      <c r="B463" s="181"/>
      <c r="C463" s="181"/>
      <c r="D463" s="291" t="s">
        <v>702</v>
      </c>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83"/>
      <c r="AE463" s="283"/>
      <c r="AF463" s="283"/>
      <c r="AG463" s="283"/>
      <c r="AH463" s="283"/>
      <c r="AI463" s="283"/>
      <c r="AJ463" s="28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5" customHeight="1">
      <c r="A464" s="181"/>
      <c r="B464" s="181"/>
      <c r="C464" s="181"/>
      <c r="D464" s="2170" t="s">
        <v>2516</v>
      </c>
      <c r="E464" s="2078"/>
      <c r="F464" s="2078"/>
      <c r="G464" s="2078"/>
      <c r="H464" s="2078"/>
      <c r="I464" s="2078"/>
      <c r="J464" s="2078"/>
      <c r="K464" s="2078"/>
      <c r="L464" s="2078"/>
      <c r="M464" s="2078"/>
      <c r="N464" s="2078"/>
      <c r="O464" s="2078"/>
      <c r="P464" s="2078"/>
      <c r="Q464" s="2078"/>
      <c r="R464" s="2078"/>
      <c r="S464" s="2078"/>
      <c r="T464" s="2078"/>
      <c r="U464" s="2078"/>
      <c r="V464" s="2079"/>
      <c r="W464" s="2171">
        <v>25</v>
      </c>
      <c r="X464" s="2074"/>
      <c r="Y464" s="2075"/>
      <c r="Z464" s="290"/>
      <c r="AA464" s="290"/>
      <c r="AB464" s="290"/>
      <c r="AC464" s="290"/>
      <c r="AD464" s="283"/>
      <c r="AE464" s="283"/>
      <c r="AF464" s="283"/>
      <c r="AG464" s="283"/>
      <c r="AH464" s="283"/>
      <c r="AI464" s="283"/>
      <c r="AJ464" s="289"/>
      <c r="AZ464" s="58"/>
      <c r="BA464" s="23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5" customHeight="1">
      <c r="A465" s="181"/>
      <c r="B465" s="181"/>
      <c r="C465" s="181"/>
      <c r="D465" s="2077" t="s">
        <v>703</v>
      </c>
      <c r="E465" s="2078"/>
      <c r="F465" s="2078"/>
      <c r="G465" s="2078"/>
      <c r="H465" s="2078"/>
      <c r="I465" s="2078"/>
      <c r="J465" s="2078"/>
      <c r="K465" s="2078"/>
      <c r="L465" s="2078"/>
      <c r="M465" s="2078"/>
      <c r="N465" s="2078"/>
      <c r="O465" s="2078"/>
      <c r="P465" s="2078"/>
      <c r="Q465" s="2078"/>
      <c r="R465" s="2078"/>
      <c r="S465" s="2078"/>
      <c r="T465" s="2078"/>
      <c r="U465" s="2078"/>
      <c r="V465" s="2079"/>
      <c r="W465" s="2073" t="s">
        <v>600</v>
      </c>
      <c r="X465" s="2074"/>
      <c r="Y465" s="2075"/>
      <c r="Z465" s="290"/>
      <c r="AA465" s="290"/>
      <c r="AB465" s="290"/>
      <c r="AC465" s="290"/>
      <c r="AD465" s="283"/>
      <c r="AE465" s="283"/>
      <c r="AF465" s="283"/>
      <c r="AG465" s="283"/>
      <c r="AH465" s="283"/>
      <c r="AI465" s="283"/>
      <c r="AJ465" s="289"/>
      <c r="AZ465" s="58"/>
      <c r="BA465" s="238"/>
      <c r="BB465" s="58"/>
      <c r="BC465" s="58"/>
      <c r="BD465" s="58"/>
      <c r="BE465" s="58"/>
      <c r="BF465" s="58"/>
      <c r="BG465" s="58"/>
      <c r="BH465" s="58"/>
      <c r="BI465" s="140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5" customHeight="1">
      <c r="A466" s="181"/>
      <c r="B466" s="181"/>
      <c r="C466" s="181"/>
      <c r="D466" s="2077" t="s">
        <v>704</v>
      </c>
      <c r="E466" s="2078"/>
      <c r="F466" s="2078"/>
      <c r="G466" s="2078"/>
      <c r="H466" s="2078"/>
      <c r="I466" s="2078"/>
      <c r="J466" s="2078"/>
      <c r="K466" s="2078"/>
      <c r="L466" s="2078"/>
      <c r="M466" s="2078"/>
      <c r="N466" s="2078"/>
      <c r="O466" s="2078"/>
      <c r="P466" s="2078"/>
      <c r="Q466" s="2078"/>
      <c r="R466" s="2078"/>
      <c r="S466" s="2078"/>
      <c r="T466" s="2078"/>
      <c r="U466" s="2078"/>
      <c r="V466" s="2079"/>
      <c r="W466" s="2073" t="s">
        <v>600</v>
      </c>
      <c r="X466" s="2074"/>
      <c r="Y466" s="2075"/>
      <c r="Z466" s="290"/>
      <c r="AA466" s="290"/>
      <c r="AB466" s="290"/>
      <c r="AC466" s="290"/>
      <c r="AD466" s="283"/>
      <c r="AE466" s="283"/>
      <c r="AF466" s="283"/>
      <c r="AG466" s="283"/>
      <c r="AH466" s="283"/>
      <c r="AI466" s="283"/>
      <c r="AJ466" s="28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95" customHeight="1">
      <c r="A467" s="181"/>
      <c r="B467" s="181"/>
      <c r="C467" s="181"/>
      <c r="D467" s="2077" t="s">
        <v>705</v>
      </c>
      <c r="E467" s="2078"/>
      <c r="F467" s="2078"/>
      <c r="G467" s="2078"/>
      <c r="H467" s="2078"/>
      <c r="I467" s="2078"/>
      <c r="J467" s="2078"/>
      <c r="K467" s="2078"/>
      <c r="L467" s="2078"/>
      <c r="M467" s="2078"/>
      <c r="N467" s="2078"/>
      <c r="O467" s="2078"/>
      <c r="P467" s="2078"/>
      <c r="Q467" s="2078"/>
      <c r="R467" s="2078"/>
      <c r="S467" s="2078"/>
      <c r="T467" s="2078"/>
      <c r="U467" s="2078"/>
      <c r="V467" s="2079"/>
      <c r="W467" s="2171">
        <v>7</v>
      </c>
      <c r="X467" s="2074"/>
      <c r="Y467" s="2075"/>
      <c r="Z467" s="290"/>
      <c r="AA467" s="290"/>
      <c r="AB467" s="290"/>
      <c r="AC467" s="290"/>
      <c r="AD467" s="283"/>
      <c r="AE467" s="283"/>
      <c r="AF467" s="283"/>
      <c r="AG467" s="283"/>
      <c r="AH467" s="283"/>
      <c r="AI467" s="283"/>
      <c r="AJ467" s="28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95" customHeight="1">
      <c r="A468" s="181"/>
      <c r="B468" s="181"/>
      <c r="C468" s="181"/>
      <c r="D468" s="2077" t="s">
        <v>910</v>
      </c>
      <c r="E468" s="2078"/>
      <c r="F468" s="2078"/>
      <c r="G468" s="2078"/>
      <c r="H468" s="2078"/>
      <c r="I468" s="2078"/>
      <c r="J468" s="2078"/>
      <c r="K468" s="2078"/>
      <c r="L468" s="2078"/>
      <c r="M468" s="2078"/>
      <c r="N468" s="2078"/>
      <c r="O468" s="2078"/>
      <c r="P468" s="2078"/>
      <c r="Q468" s="2078"/>
      <c r="R468" s="2078"/>
      <c r="S468" s="2078"/>
      <c r="T468" s="2078"/>
      <c r="U468" s="2078"/>
      <c r="V468" s="2079"/>
      <c r="W468" s="2073" t="s">
        <v>600</v>
      </c>
      <c r="X468" s="2074"/>
      <c r="Y468" s="2075"/>
      <c r="Z468" s="290"/>
      <c r="AA468" s="290"/>
      <c r="AB468" s="290"/>
      <c r="AC468" s="290"/>
      <c r="AD468" s="283"/>
      <c r="AE468" s="283"/>
      <c r="AF468" s="283"/>
      <c r="AG468" s="283"/>
      <c r="AH468" s="283"/>
      <c r="AI468" s="283"/>
      <c r="AJ468" s="28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5" customHeight="1">
      <c r="A469" s="181"/>
      <c r="B469" s="181"/>
      <c r="C469" s="181"/>
      <c r="D469" s="2077" t="s">
        <v>706</v>
      </c>
      <c r="E469" s="2078"/>
      <c r="F469" s="2078"/>
      <c r="G469" s="2078"/>
      <c r="H469" s="2078"/>
      <c r="I469" s="2078"/>
      <c r="J469" s="2078"/>
      <c r="K469" s="2078"/>
      <c r="L469" s="2078"/>
      <c r="M469" s="2078"/>
      <c r="N469" s="2078"/>
      <c r="O469" s="2078"/>
      <c r="P469" s="2078"/>
      <c r="Q469" s="2078"/>
      <c r="R469" s="2078"/>
      <c r="S469" s="2078"/>
      <c r="T469" s="2078"/>
      <c r="U469" s="2078"/>
      <c r="V469" s="2079"/>
      <c r="W469" s="2073" t="s">
        <v>600</v>
      </c>
      <c r="X469" s="2074"/>
      <c r="Y469" s="2075"/>
      <c r="Z469" s="290"/>
      <c r="AA469" s="290"/>
      <c r="AB469" s="290"/>
      <c r="AC469" s="290"/>
      <c r="AD469" s="283"/>
      <c r="AE469" s="283"/>
      <c r="AF469" s="283"/>
      <c r="AG469" s="283"/>
      <c r="AH469" s="283"/>
      <c r="AI469" s="283"/>
      <c r="AJ469" s="289"/>
      <c r="AZ469" s="58"/>
      <c r="BA469" s="58" t="str">
        <f>N587</f>
        <v>No</v>
      </c>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5" customHeight="1">
      <c r="A470" s="181"/>
      <c r="B470" s="181"/>
      <c r="C470" s="181"/>
      <c r="D470" s="2077" t="s">
        <v>1068</v>
      </c>
      <c r="E470" s="2078"/>
      <c r="F470" s="2078"/>
      <c r="G470" s="2078"/>
      <c r="H470" s="2078"/>
      <c r="I470" s="2078"/>
      <c r="J470" s="2078"/>
      <c r="K470" s="2078"/>
      <c r="L470" s="2078"/>
      <c r="M470" s="2078"/>
      <c r="N470" s="2078"/>
      <c r="O470" s="2078"/>
      <c r="P470" s="2078"/>
      <c r="Q470" s="2078"/>
      <c r="R470" s="2078"/>
      <c r="S470" s="2078"/>
      <c r="T470" s="2078"/>
      <c r="U470" s="2078"/>
      <c r="V470" s="2079"/>
      <c r="W470" s="2073" t="s">
        <v>600</v>
      </c>
      <c r="X470" s="2074"/>
      <c r="Y470" s="2075"/>
      <c r="Z470" s="290"/>
      <c r="AA470" s="290"/>
      <c r="AB470" s="290"/>
      <c r="AC470" s="290"/>
      <c r="AD470" s="283"/>
      <c r="AE470" s="283"/>
      <c r="AF470" s="283"/>
      <c r="AG470" s="283"/>
      <c r="AH470" s="283"/>
      <c r="AI470" s="283"/>
      <c r="AJ470" s="289"/>
      <c r="AZ470" s="58"/>
      <c r="BA470" s="58" t="str">
        <f>AG587</f>
        <v>Yes</v>
      </c>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5" customHeight="1">
      <c r="A471" s="181"/>
      <c r="B471" s="181"/>
      <c r="C471" s="181"/>
      <c r="D471" s="2170" t="s">
        <v>1833</v>
      </c>
      <c r="E471" s="2078"/>
      <c r="F471" s="2078"/>
      <c r="G471" s="2078"/>
      <c r="H471" s="2078"/>
      <c r="I471" s="2078"/>
      <c r="J471" s="2078"/>
      <c r="K471" s="2078"/>
      <c r="L471" s="2078"/>
      <c r="M471" s="2078"/>
      <c r="N471" s="2078"/>
      <c r="O471" s="2078"/>
      <c r="P471" s="2078"/>
      <c r="Q471" s="2078"/>
      <c r="R471" s="2078"/>
      <c r="S471" s="2078"/>
      <c r="T471" s="2078"/>
      <c r="U471" s="2078"/>
      <c r="V471" s="2079"/>
      <c r="W471" s="2171">
        <v>69</v>
      </c>
      <c r="X471" s="2074"/>
      <c r="Y471" s="2075"/>
      <c r="Z471" s="290"/>
      <c r="AA471" s="290"/>
      <c r="AB471" s="290"/>
      <c r="AC471" s="290"/>
      <c r="AD471" s="283"/>
      <c r="AE471" s="283"/>
      <c r="AF471" s="283"/>
      <c r="AG471" s="283"/>
      <c r="AH471" s="283"/>
      <c r="AI471" s="283"/>
      <c r="AJ471" s="28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5" customHeight="1">
      <c r="A472" s="181"/>
      <c r="B472" s="181"/>
      <c r="C472" s="181"/>
      <c r="D472" s="387" t="s">
        <v>170</v>
      </c>
      <c r="E472" s="388"/>
      <c r="F472" s="389"/>
      <c r="G472" s="2189"/>
      <c r="H472" s="2190"/>
      <c r="I472" s="2190"/>
      <c r="J472" s="2190"/>
      <c r="K472" s="2190"/>
      <c r="L472" s="2190"/>
      <c r="M472" s="2190"/>
      <c r="N472" s="2190"/>
      <c r="O472" s="2190"/>
      <c r="P472" s="2190"/>
      <c r="Q472" s="2190"/>
      <c r="R472" s="2190"/>
      <c r="S472" s="2190"/>
      <c r="T472" s="2190"/>
      <c r="U472" s="2190"/>
      <c r="V472" s="2191"/>
      <c r="W472" s="2171">
        <v>0</v>
      </c>
      <c r="X472" s="2074"/>
      <c r="Y472" s="2075"/>
      <c r="Z472" s="290"/>
      <c r="AA472" s="290"/>
      <c r="AB472" s="290"/>
      <c r="AC472" s="290"/>
      <c r="AD472" s="283"/>
      <c r="AE472" s="283"/>
      <c r="AF472" s="283"/>
      <c r="AG472" s="283"/>
      <c r="AH472" s="283"/>
      <c r="AI472" s="283"/>
      <c r="AJ472" s="28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5" customHeight="1">
      <c r="A473" s="181"/>
      <c r="B473" s="181"/>
      <c r="C473" s="181"/>
      <c r="D473" s="390" t="s">
        <v>911</v>
      </c>
      <c r="E473" s="391"/>
      <c r="F473" s="391"/>
      <c r="G473" s="1378"/>
      <c r="H473" s="1378"/>
      <c r="I473" s="1378"/>
      <c r="J473" s="1378"/>
      <c r="K473" s="1378"/>
      <c r="L473" s="1378"/>
      <c r="M473" s="1378"/>
      <c r="N473" s="1378"/>
      <c r="O473" s="1378"/>
      <c r="P473" s="1378"/>
      <c r="Q473" s="1378"/>
      <c r="R473" s="1378"/>
      <c r="S473" s="1378"/>
      <c r="T473" s="1378"/>
      <c r="U473" s="1378"/>
      <c r="V473" s="1378"/>
      <c r="W473" s="392"/>
      <c r="X473" s="392"/>
      <c r="Y473" s="393"/>
      <c r="Z473" s="290"/>
      <c r="AA473" s="290"/>
      <c r="AB473" s="290"/>
      <c r="AC473" s="290"/>
      <c r="AD473" s="283"/>
      <c r="AE473" s="283"/>
      <c r="AF473" s="283"/>
      <c r="AG473" s="283"/>
      <c r="AH473" s="283"/>
      <c r="AI473" s="283"/>
      <c r="AJ473" s="28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5" customHeight="1">
      <c r="A474" s="181"/>
      <c r="B474" s="181"/>
      <c r="C474" s="181"/>
      <c r="D474" s="394"/>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0"/>
      <c r="AA474" s="290"/>
      <c r="AB474" s="290"/>
      <c r="AC474" s="290"/>
      <c r="AD474" s="283"/>
      <c r="AE474" s="283"/>
      <c r="AF474" s="283"/>
      <c r="AG474" s="283"/>
      <c r="AH474" s="283"/>
      <c r="AI474" s="283"/>
      <c r="AJ474" s="28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5" customHeight="1">
      <c r="A475" s="181"/>
      <c r="B475" s="181"/>
      <c r="C475" s="181"/>
      <c r="D475" s="1373"/>
      <c r="E475" s="1372"/>
      <c r="F475" s="1372"/>
      <c r="G475" s="1372"/>
      <c r="H475" s="1372"/>
      <c r="I475" s="1372"/>
      <c r="J475" s="1372"/>
      <c r="K475" s="1372"/>
      <c r="L475" s="1372"/>
      <c r="M475" s="1372"/>
      <c r="N475" s="1372"/>
      <c r="O475" s="1372"/>
      <c r="P475" s="1372"/>
      <c r="Q475" s="1372"/>
      <c r="R475" s="1372"/>
      <c r="S475" s="1372"/>
      <c r="T475" s="1372"/>
      <c r="U475" s="1372"/>
      <c r="V475" s="1372"/>
      <c r="W475" s="396"/>
      <c r="X475" s="396"/>
      <c r="Y475" s="397"/>
      <c r="Z475" s="290"/>
      <c r="AA475" s="290"/>
      <c r="AB475" s="290"/>
      <c r="AC475" s="290"/>
      <c r="AD475" s="283"/>
      <c r="AE475" s="283"/>
      <c r="AF475" s="283"/>
      <c r="AG475" s="283"/>
      <c r="AH475" s="283"/>
      <c r="AI475" s="283"/>
      <c r="AJ475" s="289"/>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5" customHeight="1">
      <c r="A476" s="181"/>
      <c r="B476" s="181"/>
      <c r="C476" s="181"/>
      <c r="D476" s="1373"/>
      <c r="E476" s="1372"/>
      <c r="F476" s="1372"/>
      <c r="G476" s="1372"/>
      <c r="H476" s="1372"/>
      <c r="I476" s="1372"/>
      <c r="J476" s="1372"/>
      <c r="K476" s="1372"/>
      <c r="L476" s="1372"/>
      <c r="M476" s="1372"/>
      <c r="N476" s="1372"/>
      <c r="O476" s="1372"/>
      <c r="P476" s="1372"/>
      <c r="Q476" s="1372"/>
      <c r="R476" s="1372"/>
      <c r="S476" s="1372"/>
      <c r="T476" s="1372"/>
      <c r="U476" s="1372"/>
      <c r="V476" s="1372"/>
      <c r="W476" s="396"/>
      <c r="X476" s="396"/>
      <c r="Y476" s="397"/>
      <c r="Z476" s="290"/>
      <c r="AA476" s="290"/>
      <c r="AB476" s="290"/>
      <c r="AC476" s="290"/>
      <c r="AD476" s="283"/>
      <c r="AE476" s="283"/>
      <c r="AF476" s="283"/>
      <c r="AG476" s="283"/>
      <c r="AH476" s="283"/>
      <c r="AI476" s="283"/>
      <c r="AJ476" s="289"/>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5" customHeight="1">
      <c r="AZ477" s="58"/>
      <c r="BA477" s="58" t="str">
        <f>N595</f>
        <v>Yes</v>
      </c>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5" customHeight="1">
      <c r="A478" s="2176" t="s">
        <v>835</v>
      </c>
      <c r="B478" s="2176"/>
      <c r="C478" s="2176"/>
      <c r="D478" s="2176"/>
      <c r="E478" s="2176"/>
      <c r="F478" s="2176"/>
      <c r="G478" s="2176"/>
      <c r="H478" s="2176"/>
      <c r="I478" s="2176"/>
      <c r="J478" s="2176"/>
      <c r="K478" s="2176"/>
      <c r="L478" s="2176"/>
      <c r="M478" s="2176"/>
      <c r="N478" s="2176"/>
      <c r="O478" s="2176"/>
      <c r="P478" s="2176"/>
      <c r="Q478" s="2176"/>
      <c r="R478" s="2176"/>
      <c r="S478" s="2176"/>
      <c r="T478" s="2176"/>
      <c r="U478" s="2176"/>
      <c r="V478" s="2176"/>
      <c r="W478" s="2176"/>
      <c r="X478" s="2176"/>
      <c r="Y478" s="2176"/>
      <c r="Z478" s="2176"/>
      <c r="AA478" s="2176"/>
      <c r="AB478" s="2176"/>
      <c r="AC478" s="2176"/>
      <c r="AD478" s="2176"/>
      <c r="AE478" s="2176"/>
      <c r="AF478" s="2176"/>
      <c r="AG478" s="2176"/>
      <c r="AH478" s="2176"/>
      <c r="AI478" s="2176"/>
      <c r="AJ478" s="2176"/>
      <c r="AK478" s="2176"/>
      <c r="AL478" s="2176"/>
      <c r="AM478" s="144"/>
      <c r="AN478" s="144"/>
      <c r="AO478" s="144"/>
      <c r="AP478" s="144"/>
      <c r="AQ478" s="144"/>
      <c r="AR478" s="144"/>
      <c r="AS478" s="144"/>
      <c r="AT478" s="144"/>
      <c r="AU478" s="144"/>
      <c r="AV478" s="144"/>
      <c r="AW478" s="144"/>
      <c r="AX478" s="144"/>
      <c r="AY478" s="144"/>
      <c r="AZ478" s="58"/>
      <c r="BA478" s="58" t="str">
        <f>AG595</f>
        <v>No</v>
      </c>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2.95" customHeight="1" thickBot="1">
      <c r="A479" s="2177"/>
      <c r="B479" s="2177"/>
      <c r="C479" s="2177"/>
      <c r="D479" s="2177"/>
      <c r="E479" s="2177"/>
      <c r="F479" s="2177"/>
      <c r="G479" s="2177"/>
      <c r="H479" s="2177"/>
      <c r="I479" s="2177"/>
      <c r="J479" s="2177"/>
      <c r="K479" s="2177"/>
      <c r="L479" s="2177"/>
      <c r="M479" s="2177"/>
      <c r="N479" s="2177"/>
      <c r="O479" s="2177"/>
      <c r="P479" s="2177"/>
      <c r="Q479" s="2177"/>
      <c r="R479" s="2177"/>
      <c r="S479" s="2177"/>
      <c r="T479" s="2177"/>
      <c r="U479" s="2177"/>
      <c r="V479" s="2177"/>
      <c r="W479" s="2177"/>
      <c r="X479" s="2177"/>
      <c r="Y479" s="2177"/>
      <c r="Z479" s="2177"/>
      <c r="AA479" s="2177"/>
      <c r="AB479" s="2177"/>
      <c r="AC479" s="2177"/>
      <c r="AD479" s="2177"/>
      <c r="AE479" s="2177"/>
      <c r="AF479" s="2177"/>
      <c r="AG479" s="2177"/>
      <c r="AH479" s="2177"/>
      <c r="AI479" s="2177"/>
      <c r="AJ479" s="2177"/>
      <c r="AK479" s="2177"/>
      <c r="AL479" s="2177"/>
      <c r="AM479" s="144"/>
      <c r="AN479" s="144"/>
      <c r="AO479" s="144"/>
      <c r="AP479" s="144"/>
      <c r="AQ479" s="144"/>
      <c r="AR479" s="144"/>
      <c r="AS479" s="144"/>
      <c r="AT479" s="144"/>
      <c r="AU479" s="144"/>
      <c r="AV479" s="144"/>
      <c r="AW479" s="144"/>
      <c r="AX479" s="144"/>
      <c r="AY479" s="144"/>
      <c r="AZ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2.95" customHeight="1" thickTop="1">
      <c r="A480" s="25"/>
      <c r="B480" s="25"/>
      <c r="C480" s="25"/>
      <c r="D480" s="25"/>
      <c r="E480" s="25"/>
      <c r="F480" s="25"/>
      <c r="G480" s="3"/>
      <c r="H480" s="25"/>
      <c r="AZ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5" customHeight="1">
      <c r="A481" s="50" t="s">
        <v>320</v>
      </c>
      <c r="C481" s="50" t="s">
        <v>833</v>
      </c>
      <c r="AZ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5" customHeight="1">
      <c r="AZ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5" customHeight="1">
      <c r="B483" s="76"/>
      <c r="C483" s="77"/>
      <c r="D483" s="77"/>
      <c r="E483" s="77"/>
      <c r="F483" s="77"/>
      <c r="G483" s="77"/>
      <c r="H483" s="77"/>
      <c r="I483" s="77"/>
      <c r="J483" s="77"/>
      <c r="K483" s="77"/>
      <c r="L483" s="77"/>
      <c r="M483" s="77"/>
      <c r="N483" s="77"/>
      <c r="O483" s="77"/>
      <c r="P483" s="78"/>
      <c r="Q483" s="2138" t="s">
        <v>394</v>
      </c>
      <c r="R483" s="2139"/>
      <c r="S483" s="2139"/>
      <c r="T483" s="2139"/>
      <c r="U483" s="2139"/>
      <c r="V483" s="2139"/>
      <c r="W483" s="2139"/>
      <c r="X483" s="2139"/>
      <c r="Y483" s="2139"/>
      <c r="Z483" s="2139"/>
      <c r="AA483" s="2139"/>
      <c r="AB483" s="2139"/>
      <c r="AC483" s="2139"/>
      <c r="AD483" s="2139"/>
      <c r="AE483" s="2139"/>
      <c r="AF483" s="2139"/>
      <c r="AG483" s="2139"/>
      <c r="AH483" s="2139"/>
      <c r="AI483" s="2139"/>
      <c r="AJ483" s="2139"/>
      <c r="AK483" s="2140"/>
      <c r="AZ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5" customHeight="1">
      <c r="B484" s="76" t="s">
        <v>395</v>
      </c>
      <c r="C484" s="77"/>
      <c r="D484" s="77"/>
      <c r="E484" s="77"/>
      <c r="F484" s="77"/>
      <c r="G484" s="77"/>
      <c r="H484" s="77"/>
      <c r="I484" s="77"/>
      <c r="J484" s="77"/>
      <c r="K484" s="77"/>
      <c r="L484" s="77"/>
      <c r="M484" s="77"/>
      <c r="N484" s="77"/>
      <c r="O484" s="77"/>
      <c r="P484" s="77"/>
      <c r="Q484" s="1908" t="s">
        <v>2712</v>
      </c>
      <c r="R484" s="1909"/>
      <c r="S484" s="1909"/>
      <c r="T484" s="1909"/>
      <c r="U484" s="1909"/>
      <c r="V484" s="1909"/>
      <c r="W484" s="1909"/>
      <c r="X484" s="1909"/>
      <c r="Y484" s="1909"/>
      <c r="Z484" s="1909"/>
      <c r="AA484" s="1909"/>
      <c r="AB484" s="1909"/>
      <c r="AC484" s="1909"/>
      <c r="AD484" s="1909"/>
      <c r="AE484" s="1909"/>
      <c r="AF484" s="1909"/>
      <c r="AG484" s="1909"/>
      <c r="AH484" s="1909"/>
      <c r="AI484" s="1909"/>
      <c r="AJ484" s="1909"/>
      <c r="AK484" s="1910"/>
      <c r="AZ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5" customHeight="1">
      <c r="B485" s="76" t="s">
        <v>396</v>
      </c>
      <c r="C485" s="77"/>
      <c r="D485" s="77"/>
      <c r="E485" s="77"/>
      <c r="F485" s="77"/>
      <c r="G485" s="77"/>
      <c r="H485" s="77"/>
      <c r="I485" s="77"/>
      <c r="J485" s="77"/>
      <c r="K485" s="77"/>
      <c r="L485" s="77"/>
      <c r="M485" s="77"/>
      <c r="N485" s="77"/>
      <c r="O485" s="77"/>
      <c r="P485" s="77"/>
      <c r="Q485" s="1908" t="s">
        <v>2713</v>
      </c>
      <c r="R485" s="1909"/>
      <c r="S485" s="1909"/>
      <c r="T485" s="1909"/>
      <c r="U485" s="1909"/>
      <c r="V485" s="1909"/>
      <c r="W485" s="1909"/>
      <c r="X485" s="1909"/>
      <c r="Y485" s="1909"/>
      <c r="Z485" s="1909"/>
      <c r="AA485" s="1909"/>
      <c r="AB485" s="1909"/>
      <c r="AC485" s="1909"/>
      <c r="AD485" s="1909"/>
      <c r="AE485" s="1909"/>
      <c r="AF485" s="1909"/>
      <c r="AG485" s="1909"/>
      <c r="AH485" s="1909"/>
      <c r="AI485" s="1909"/>
      <c r="AJ485" s="1909"/>
      <c r="AK485" s="1910"/>
      <c r="AZ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ht="12.95" customHeight="1">
      <c r="B486" s="76" t="s">
        <v>397</v>
      </c>
      <c r="C486" s="77"/>
      <c r="D486" s="77"/>
      <c r="E486" s="77"/>
      <c r="F486" s="77"/>
      <c r="G486" s="77"/>
      <c r="H486" s="77"/>
      <c r="I486" s="77"/>
      <c r="J486" s="77"/>
      <c r="K486" s="77"/>
      <c r="L486" s="77"/>
      <c r="M486" s="77"/>
      <c r="N486" s="77"/>
      <c r="O486" s="77"/>
      <c r="P486" s="77"/>
      <c r="Q486" s="1908" t="s">
        <v>2714</v>
      </c>
      <c r="R486" s="1909"/>
      <c r="S486" s="1909"/>
      <c r="T486" s="1909"/>
      <c r="U486" s="1909"/>
      <c r="V486" s="1909"/>
      <c r="W486" s="1909"/>
      <c r="X486" s="1909"/>
      <c r="Y486" s="1909"/>
      <c r="Z486" s="1909"/>
      <c r="AA486" s="1909"/>
      <c r="AB486" s="1909"/>
      <c r="AC486" s="1909"/>
      <c r="AD486" s="1909"/>
      <c r="AE486" s="1909"/>
      <c r="AF486" s="1909"/>
      <c r="AG486" s="1909"/>
      <c r="AH486" s="1909"/>
      <c r="AI486" s="1909"/>
      <c r="AJ486" s="1909"/>
      <c r="AK486" s="1910"/>
      <c r="AZ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177"/>
      <c r="CS486" s="58"/>
      <c r="CT486" s="58"/>
      <c r="CU486" s="58"/>
      <c r="CV486" s="58"/>
      <c r="CW486" s="58"/>
      <c r="CX486" s="58"/>
      <c r="CY486" s="58"/>
      <c r="CZ486" s="58"/>
      <c r="DA486" s="58"/>
      <c r="DB486" s="58"/>
      <c r="DC486" s="58"/>
      <c r="DD486" s="58"/>
      <c r="DE486" s="58"/>
      <c r="DF486" s="58"/>
    </row>
    <row r="487" spans="1:110" ht="12.95" customHeight="1">
      <c r="B487" s="2115" t="s">
        <v>398</v>
      </c>
      <c r="C487" s="2116"/>
      <c r="D487" s="2116"/>
      <c r="E487" s="2116"/>
      <c r="F487" s="2116"/>
      <c r="G487" s="2116"/>
      <c r="H487" s="2116"/>
      <c r="I487" s="2116"/>
      <c r="J487" s="2116"/>
      <c r="K487" s="2116"/>
      <c r="L487" s="2116"/>
      <c r="M487" s="2116"/>
      <c r="N487" s="2116"/>
      <c r="O487" s="2116"/>
      <c r="P487" s="2117"/>
      <c r="Q487" s="2121" t="s">
        <v>554</v>
      </c>
      <c r="R487" s="2122"/>
      <c r="S487" s="2463" t="s">
        <v>2715</v>
      </c>
      <c r="T487" s="2464"/>
      <c r="U487" s="2464"/>
      <c r="V487" s="2464"/>
      <c r="W487" s="2464"/>
      <c r="X487" s="2464"/>
      <c r="Y487" s="2464"/>
      <c r="Z487" s="2464"/>
      <c r="AA487" s="2464"/>
      <c r="AB487" s="2464"/>
      <c r="AC487" s="2464"/>
      <c r="AD487" s="2464"/>
      <c r="AE487" s="2464"/>
      <c r="AF487" s="2464"/>
      <c r="AG487" s="2464"/>
      <c r="AH487" s="2464"/>
      <c r="AI487" s="2464"/>
      <c r="AJ487" s="2464"/>
      <c r="AK487" s="2465"/>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177"/>
      <c r="CS487" s="58"/>
      <c r="CT487" s="58"/>
      <c r="CU487" s="58"/>
      <c r="CV487" s="58"/>
      <c r="CW487" s="58"/>
      <c r="CX487" s="58"/>
      <c r="CY487" s="58"/>
      <c r="CZ487" s="58"/>
      <c r="DA487" s="58"/>
      <c r="DB487" s="58"/>
      <c r="DC487" s="58"/>
      <c r="DD487" s="58"/>
      <c r="DE487" s="58"/>
      <c r="DF487" s="58"/>
    </row>
    <row r="488" spans="1:110" ht="12.95" customHeight="1">
      <c r="B488" s="2118"/>
      <c r="C488" s="2119"/>
      <c r="D488" s="2119"/>
      <c r="E488" s="2119"/>
      <c r="F488" s="2119"/>
      <c r="G488" s="2119"/>
      <c r="H488" s="2119"/>
      <c r="I488" s="2119"/>
      <c r="J488" s="2119"/>
      <c r="K488" s="2119"/>
      <c r="L488" s="2119"/>
      <c r="M488" s="2119"/>
      <c r="N488" s="2119"/>
      <c r="O488" s="2119"/>
      <c r="P488" s="2120"/>
      <c r="Q488" s="2123"/>
      <c r="R488" s="2124"/>
      <c r="S488" s="2466"/>
      <c r="T488" s="2180"/>
      <c r="U488" s="2180"/>
      <c r="V488" s="2180"/>
      <c r="W488" s="2180"/>
      <c r="X488" s="2180"/>
      <c r="Y488" s="2180"/>
      <c r="Z488" s="2180"/>
      <c r="AA488" s="2180"/>
      <c r="AB488" s="2180"/>
      <c r="AC488" s="2180"/>
      <c r="AD488" s="2180"/>
      <c r="AE488" s="2180"/>
      <c r="AF488" s="2180"/>
      <c r="AG488" s="2180"/>
      <c r="AH488" s="2180"/>
      <c r="AI488" s="2180"/>
      <c r="AJ488" s="2180"/>
      <c r="AK488" s="246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s="708" customFormat="1" ht="12.95" customHeight="1">
      <c r="B489" s="1410" t="s">
        <v>1851</v>
      </c>
      <c r="C489" s="1379"/>
      <c r="D489" s="1379"/>
      <c r="E489" s="1379"/>
      <c r="F489" s="1379"/>
      <c r="G489" s="1379"/>
      <c r="H489" s="1379"/>
      <c r="I489" s="1379"/>
      <c r="J489" s="1379"/>
      <c r="K489" s="1379"/>
      <c r="L489" s="1379"/>
      <c r="M489" s="1379"/>
      <c r="N489" s="1379"/>
      <c r="O489" s="1379"/>
      <c r="P489" s="1379"/>
      <c r="Q489" s="2253"/>
      <c r="R489" s="2254"/>
      <c r="S489" s="2254"/>
      <c r="T489" s="2254"/>
      <c r="U489" s="2254"/>
      <c r="V489" s="2254"/>
      <c r="W489" s="2254"/>
      <c r="X489" s="2254"/>
      <c r="Y489" s="2254"/>
      <c r="Z489" s="2254"/>
      <c r="AA489" s="2254"/>
      <c r="AB489" s="2254"/>
      <c r="AC489" s="2254"/>
      <c r="AD489" s="2254"/>
      <c r="AE489" s="2254"/>
      <c r="AF489" s="2254"/>
      <c r="AG489" s="2254"/>
      <c r="AH489" s="2254"/>
      <c r="AI489" s="2254"/>
      <c r="AJ489" s="2254"/>
      <c r="AK489" s="2255"/>
      <c r="AM489" s="39"/>
      <c r="AN489" s="39"/>
      <c r="AO489" s="39"/>
      <c r="AP489" s="39"/>
      <c r="AQ489" s="39"/>
      <c r="AR489" s="39"/>
      <c r="AS489" s="39"/>
      <c r="AT489" s="39"/>
      <c r="AU489" s="39"/>
      <c r="AV489" s="39"/>
      <c r="AW489" s="39"/>
      <c r="AX489" s="39"/>
      <c r="AY489" s="3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5" customHeight="1">
      <c r="B490" s="76" t="s">
        <v>399</v>
      </c>
      <c r="C490" s="77"/>
      <c r="D490" s="77"/>
      <c r="E490" s="77"/>
      <c r="F490" s="77"/>
      <c r="G490" s="77"/>
      <c r="H490" s="77"/>
      <c r="I490" s="77"/>
      <c r="J490" s="77"/>
      <c r="K490" s="77"/>
      <c r="L490" s="77"/>
      <c r="M490" s="77"/>
      <c r="N490" s="77"/>
      <c r="O490" s="77"/>
      <c r="P490" s="77"/>
      <c r="Q490" s="2090" t="s">
        <v>2716</v>
      </c>
      <c r="R490" s="2091"/>
      <c r="S490" s="2091"/>
      <c r="T490" s="2091"/>
      <c r="U490" s="2091"/>
      <c r="V490" s="2091"/>
      <c r="W490" s="2091"/>
      <c r="X490" s="2091"/>
      <c r="Y490" s="2091"/>
      <c r="Z490" s="2091"/>
      <c r="AA490" s="2091"/>
      <c r="AB490" s="2091"/>
      <c r="AC490" s="2091"/>
      <c r="AD490" s="2091"/>
      <c r="AE490" s="2091"/>
      <c r="AF490" s="2091"/>
      <c r="AG490" s="2091"/>
      <c r="AH490" s="2091"/>
      <c r="AI490" s="2091"/>
      <c r="AJ490" s="2091"/>
      <c r="AK490" s="209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5" customHeight="1">
      <c r="B491" s="76" t="s">
        <v>400</v>
      </c>
      <c r="C491" s="77"/>
      <c r="D491" s="77"/>
      <c r="E491" s="77"/>
      <c r="F491" s="77"/>
      <c r="G491" s="77"/>
      <c r="H491" s="77"/>
      <c r="I491" s="77"/>
      <c r="J491" s="77"/>
      <c r="K491" s="77"/>
      <c r="L491" s="77"/>
      <c r="M491" s="77"/>
      <c r="N491" s="77"/>
      <c r="O491" s="77"/>
      <c r="P491" s="77"/>
      <c r="Q491" s="2090" t="s">
        <v>2717</v>
      </c>
      <c r="R491" s="2091"/>
      <c r="S491" s="2091"/>
      <c r="T491" s="2091"/>
      <c r="U491" s="2091"/>
      <c r="V491" s="2091"/>
      <c r="W491" s="2091"/>
      <c r="X491" s="2091"/>
      <c r="Y491" s="2091"/>
      <c r="Z491" s="2091"/>
      <c r="AA491" s="2091"/>
      <c r="AB491" s="2091"/>
      <c r="AC491" s="2091"/>
      <c r="AD491" s="2091"/>
      <c r="AE491" s="2091"/>
      <c r="AF491" s="2091"/>
      <c r="AG491" s="2091"/>
      <c r="AH491" s="2091"/>
      <c r="AI491" s="2091"/>
      <c r="AJ491" s="2091"/>
      <c r="AK491" s="2092"/>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5" customHeight="1">
      <c r="B492" s="185" t="s">
        <v>1848</v>
      </c>
      <c r="C492" s="77"/>
      <c r="D492" s="77"/>
      <c r="E492" s="77"/>
      <c r="F492" s="77"/>
      <c r="G492" s="77"/>
      <c r="H492" s="77"/>
      <c r="I492" s="77"/>
      <c r="J492" s="77"/>
      <c r="K492" s="77"/>
      <c r="L492" s="77"/>
      <c r="M492" s="77"/>
      <c r="N492" s="77"/>
      <c r="O492" s="77"/>
      <c r="P492" s="77"/>
      <c r="Q492" s="2090">
        <v>71</v>
      </c>
      <c r="R492" s="2091"/>
      <c r="S492" s="2091"/>
      <c r="T492" s="2091"/>
      <c r="U492" s="2091"/>
      <c r="V492" s="2091"/>
      <c r="W492" s="2091"/>
      <c r="X492" s="2091"/>
      <c r="Y492" s="2091"/>
      <c r="Z492" s="2091"/>
      <c r="AA492" s="2091"/>
      <c r="AB492" s="2091"/>
      <c r="AC492" s="2091"/>
      <c r="AD492" s="2091"/>
      <c r="AE492" s="2091"/>
      <c r="AF492" s="2091"/>
      <c r="AG492" s="2091"/>
      <c r="AH492" s="2091"/>
      <c r="AI492" s="2091"/>
      <c r="AJ492" s="2091"/>
      <c r="AK492" s="2092"/>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s="708" customFormat="1" ht="12.95" customHeight="1">
      <c r="B493" s="185" t="s">
        <v>1849</v>
      </c>
      <c r="C493" s="77"/>
      <c r="D493" s="77"/>
      <c r="E493" s="77"/>
      <c r="F493" s="77"/>
      <c r="G493" s="77"/>
      <c r="H493" s="77"/>
      <c r="I493" s="77"/>
      <c r="J493" s="77"/>
      <c r="K493" s="77"/>
      <c r="L493" s="77"/>
      <c r="M493" s="2148">
        <v>39</v>
      </c>
      <c r="N493" s="2149"/>
      <c r="O493" s="2149"/>
      <c r="P493" s="2150"/>
      <c r="Q493" s="1408" t="s">
        <v>1850</v>
      </c>
      <c r="R493" s="1409"/>
      <c r="S493" s="1409"/>
      <c r="T493" s="1409"/>
      <c r="U493" s="1409"/>
      <c r="V493" s="1409"/>
      <c r="W493" s="1409"/>
      <c r="X493" s="1409"/>
      <c r="Y493" s="1409"/>
      <c r="Z493" s="1409"/>
      <c r="AA493" s="1409"/>
      <c r="AB493" s="1409"/>
      <c r="AC493" s="1409"/>
      <c r="AD493" s="1409"/>
      <c r="AE493" s="1409"/>
      <c r="AF493" s="1409"/>
      <c r="AG493" s="1409"/>
      <c r="AH493" s="2148">
        <v>32</v>
      </c>
      <c r="AI493" s="2149"/>
      <c r="AJ493" s="2149"/>
      <c r="AK493" s="2150"/>
      <c r="AM493" s="39"/>
      <c r="AN493" s="39"/>
      <c r="AO493" s="39"/>
      <c r="AP493" s="39"/>
      <c r="AQ493" s="39"/>
      <c r="AR493" s="39"/>
      <c r="AS493" s="39"/>
      <c r="AT493" s="39"/>
      <c r="AU493" s="39"/>
      <c r="AV493" s="39"/>
      <c r="AW493" s="39"/>
      <c r="AX493" s="39"/>
      <c r="AY493" s="3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5" customHeight="1">
      <c r="B494" s="897"/>
      <c r="C494" s="25"/>
      <c r="D494" s="25"/>
      <c r="E494" s="25"/>
      <c r="F494" s="25"/>
      <c r="G494" s="25"/>
      <c r="H494" s="25"/>
      <c r="I494" s="25"/>
      <c r="J494" s="25"/>
      <c r="K494" s="25"/>
      <c r="L494" s="25"/>
      <c r="M494" s="25"/>
      <c r="N494" s="25"/>
      <c r="O494" s="25"/>
      <c r="P494" s="3"/>
      <c r="Q494" s="14"/>
      <c r="R494" s="14"/>
      <c r="S494" s="14"/>
      <c r="T494" s="14"/>
      <c r="U494" s="14"/>
      <c r="V494" s="14"/>
      <c r="W494" s="14"/>
      <c r="X494" s="14"/>
      <c r="Y494" s="14"/>
      <c r="Z494" s="14"/>
      <c r="AA494" s="14"/>
      <c r="AB494" s="14"/>
      <c r="AC494" s="14"/>
      <c r="AD494" s="14"/>
      <c r="AE494" s="14"/>
      <c r="AF494" s="14"/>
      <c r="AG494" s="14"/>
      <c r="AH494" s="14"/>
      <c r="AI494" s="14"/>
      <c r="AJ494" s="14"/>
      <c r="AK494" s="14"/>
      <c r="AL494" s="3"/>
      <c r="AM494" s="670"/>
      <c r="AN494" s="670"/>
      <c r="AO494" s="670"/>
      <c r="AP494" s="670"/>
      <c r="AQ494" s="670"/>
      <c r="AR494" s="670"/>
      <c r="AS494" s="670"/>
      <c r="AT494" s="670"/>
      <c r="AU494" s="670"/>
      <c r="AV494" s="670"/>
      <c r="AW494" s="670"/>
      <c r="AX494" s="670"/>
      <c r="AY494" s="6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5" customHeight="1">
      <c r="A495" s="50" t="s">
        <v>585</v>
      </c>
      <c r="C495" s="50" t="s">
        <v>401</v>
      </c>
      <c r="D495" s="25"/>
      <c r="E495" s="25"/>
      <c r="F495" s="25"/>
      <c r="G495" s="25"/>
      <c r="H495" s="25"/>
      <c r="I495" s="25"/>
      <c r="J495" s="25"/>
      <c r="K495" s="25"/>
      <c r="L495" s="25"/>
      <c r="M495" s="25"/>
      <c r="N495" s="25"/>
      <c r="O495" s="25"/>
      <c r="P495" s="3"/>
      <c r="Q495" s="14"/>
      <c r="R495" s="14"/>
      <c r="S495" s="14"/>
      <c r="T495" s="14"/>
      <c r="U495" s="14"/>
      <c r="V495" s="14"/>
      <c r="W495" s="14"/>
      <c r="X495" s="14"/>
      <c r="Y495" s="14"/>
      <c r="Z495" s="14"/>
      <c r="AA495" s="14"/>
      <c r="AB495" s="14"/>
      <c r="AC495" s="14"/>
      <c r="AD495" s="14"/>
      <c r="AE495" s="14"/>
      <c r="AF495" s="14"/>
      <c r="AG495" s="14"/>
      <c r="AH495" s="14"/>
      <c r="AI495" s="14"/>
      <c r="AJ495" s="14"/>
      <c r="AK495" s="14"/>
      <c r="AL495" s="3"/>
      <c r="AM495" s="670"/>
      <c r="AN495" s="670"/>
      <c r="AO495" s="670"/>
      <c r="AP495" s="670"/>
      <c r="AQ495" s="670"/>
      <c r="AR495" s="670"/>
      <c r="AS495" s="670"/>
      <c r="AT495" s="670"/>
      <c r="AU495" s="670"/>
      <c r="AV495" s="670"/>
      <c r="AW495" s="670"/>
      <c r="AX495" s="670"/>
      <c r="AY495" s="6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5" customHeight="1">
      <c r="B496" s="892"/>
      <c r="C496" s="901"/>
      <c r="D496" s="25"/>
      <c r="E496" s="25"/>
      <c r="F496" s="25"/>
      <c r="G496" s="25"/>
      <c r="H496" s="25"/>
      <c r="I496" s="25"/>
      <c r="J496" s="25"/>
      <c r="K496" s="25"/>
      <c r="L496" s="25"/>
      <c r="M496" s="25"/>
      <c r="N496" s="25"/>
      <c r="O496" s="25"/>
      <c r="P496" s="3"/>
      <c r="Q496" s="14"/>
      <c r="R496" s="14"/>
      <c r="S496" s="14"/>
      <c r="T496" s="14"/>
      <c r="U496" s="14"/>
      <c r="V496" s="14"/>
      <c r="W496" s="14"/>
      <c r="X496" s="14"/>
      <c r="Y496" s="14"/>
      <c r="Z496" s="14"/>
      <c r="AA496" s="14"/>
      <c r="AB496" s="14"/>
      <c r="AC496" s="14"/>
      <c r="AD496" s="14"/>
      <c r="AE496" s="14"/>
      <c r="AF496" s="14"/>
      <c r="AG496" s="14"/>
      <c r="AH496" s="14"/>
      <c r="AI496" s="14"/>
      <c r="AJ496" s="14"/>
      <c r="AK496" s="14"/>
      <c r="AL496" s="3"/>
      <c r="AM496" s="670"/>
      <c r="AN496" s="670"/>
      <c r="AO496" s="670"/>
      <c r="AP496" s="670"/>
      <c r="AQ496" s="670"/>
      <c r="AR496" s="670"/>
      <c r="AS496" s="670"/>
      <c r="AT496" s="670"/>
      <c r="AU496" s="670"/>
      <c r="AV496" s="670"/>
      <c r="AW496" s="670"/>
      <c r="AX496" s="670"/>
      <c r="AY496" s="670"/>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2:110" ht="12.95" customHeight="1">
      <c r="B497" s="71"/>
      <c r="C497" s="72"/>
      <c r="D497" s="1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94"/>
      <c r="AC497" s="2138" t="s">
        <v>402</v>
      </c>
      <c r="AD497" s="2139"/>
      <c r="AE497" s="2139"/>
      <c r="AF497" s="2139"/>
      <c r="AG497" s="2139"/>
      <c r="AH497" s="2139"/>
      <c r="AI497" s="2139"/>
      <c r="AJ497" s="2139"/>
      <c r="AK497" s="214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2:110" ht="12.95" customHeight="1">
      <c r="B498" s="79"/>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1"/>
      <c r="AC498" s="2154" t="s">
        <v>403</v>
      </c>
      <c r="AD498" s="2134"/>
      <c r="AE498" s="2134"/>
      <c r="AF498" s="2134"/>
      <c r="AG498" s="82" t="s">
        <v>404</v>
      </c>
      <c r="AH498" s="2134" t="s">
        <v>405</v>
      </c>
      <c r="AI498" s="2134"/>
      <c r="AJ498" s="2134"/>
      <c r="AK498" s="213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2:110" ht="12.95" customHeight="1">
      <c r="B499" s="2125" t="s">
        <v>406</v>
      </c>
      <c r="C499" s="2126"/>
      <c r="D499" s="2126"/>
      <c r="E499" s="2126"/>
      <c r="F499" s="2126"/>
      <c r="G499" s="2126"/>
      <c r="H499" s="2127"/>
      <c r="I499" s="72" t="s">
        <v>407</v>
      </c>
      <c r="J499" s="72"/>
      <c r="K499" s="72"/>
      <c r="L499" s="72"/>
      <c r="M499" s="72"/>
      <c r="N499" s="72"/>
      <c r="O499" s="72"/>
      <c r="P499" s="72"/>
      <c r="Q499" s="72"/>
      <c r="R499" s="72"/>
      <c r="S499" s="72"/>
      <c r="T499" s="72"/>
      <c r="U499" s="72"/>
      <c r="V499" s="72"/>
      <c r="W499" s="72"/>
      <c r="X499" s="25"/>
      <c r="Y499" s="25"/>
      <c r="AC499" s="2099">
        <v>1</v>
      </c>
      <c r="AD499" s="2100"/>
      <c r="AE499" s="2100"/>
      <c r="AF499" s="2100"/>
      <c r="AG499" s="75" t="s">
        <v>404</v>
      </c>
      <c r="AH499" s="2080">
        <v>2021</v>
      </c>
      <c r="AI499" s="2080"/>
      <c r="AJ499" s="2080"/>
      <c r="AK499" s="2081"/>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2:110" ht="12.95" customHeight="1">
      <c r="B500" s="2128"/>
      <c r="C500" s="2129"/>
      <c r="D500" s="2129"/>
      <c r="E500" s="2129"/>
      <c r="F500" s="2129"/>
      <c r="G500" s="2129"/>
      <c r="H500" s="2130"/>
      <c r="I500" s="80" t="s">
        <v>408</v>
      </c>
      <c r="J500" s="80"/>
      <c r="K500" s="80"/>
      <c r="L500" s="80"/>
      <c r="M500" s="80"/>
      <c r="N500" s="80"/>
      <c r="O500" s="80"/>
      <c r="P500" s="80"/>
      <c r="Q500" s="80"/>
      <c r="R500" s="80"/>
      <c r="S500" s="80"/>
      <c r="T500" s="80"/>
      <c r="U500" s="80"/>
      <c r="V500" s="80"/>
      <c r="W500" s="80"/>
      <c r="X500" s="80"/>
      <c r="Y500" s="80"/>
      <c r="Z500" s="80"/>
      <c r="AA500" s="80"/>
      <c r="AB500" s="80"/>
      <c r="AC500" s="2099">
        <v>12</v>
      </c>
      <c r="AD500" s="2100"/>
      <c r="AE500" s="2100"/>
      <c r="AF500" s="2100"/>
      <c r="AG500" s="65" t="s">
        <v>404</v>
      </c>
      <c r="AH500" s="2080">
        <v>2022</v>
      </c>
      <c r="AI500" s="2080"/>
      <c r="AJ500" s="2080"/>
      <c r="AK500" s="2081"/>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2:110" ht="12.95" customHeight="1">
      <c r="B501" s="2125" t="s">
        <v>409</v>
      </c>
      <c r="C501" s="2126"/>
      <c r="D501" s="2126"/>
      <c r="E501" s="2126"/>
      <c r="F501" s="2126"/>
      <c r="G501" s="2126"/>
      <c r="H501" s="2127"/>
      <c r="I501" s="72" t="s">
        <v>410</v>
      </c>
      <c r="J501" s="72"/>
      <c r="K501" s="72"/>
      <c r="L501" s="72"/>
      <c r="M501" s="72"/>
      <c r="N501" s="72"/>
      <c r="O501" s="72"/>
      <c r="P501" s="72"/>
      <c r="Q501" s="72"/>
      <c r="R501" s="72"/>
      <c r="S501" s="72"/>
      <c r="T501" s="72"/>
      <c r="U501" s="72"/>
      <c r="V501" s="72"/>
      <c r="W501" s="72"/>
      <c r="X501" s="25"/>
      <c r="Y501" s="25"/>
      <c r="AC501" s="2099" t="s">
        <v>600</v>
      </c>
      <c r="AD501" s="2100"/>
      <c r="AE501" s="2100"/>
      <c r="AF501" s="2100"/>
      <c r="AG501" s="75" t="s">
        <v>404</v>
      </c>
      <c r="AH501" s="2080"/>
      <c r="AI501" s="2080"/>
      <c r="AJ501" s="2080"/>
      <c r="AK501" s="208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2:110" ht="12.95" customHeight="1">
      <c r="B502" s="2128"/>
      <c r="C502" s="2129"/>
      <c r="D502" s="2129"/>
      <c r="E502" s="2129"/>
      <c r="F502" s="2129"/>
      <c r="G502" s="2129"/>
      <c r="H502" s="2130"/>
      <c r="I502" s="25" t="s">
        <v>411</v>
      </c>
      <c r="J502" s="25"/>
      <c r="K502" s="25"/>
      <c r="L502" s="25"/>
      <c r="M502" s="25"/>
      <c r="N502" s="25"/>
      <c r="O502" s="25"/>
      <c r="P502" s="25"/>
      <c r="Q502" s="25"/>
      <c r="R502" s="25"/>
      <c r="S502" s="25"/>
      <c r="T502" s="25"/>
      <c r="U502" s="25"/>
      <c r="V502" s="25"/>
      <c r="W502" s="25"/>
      <c r="X502" s="25"/>
      <c r="Y502" s="25"/>
      <c r="AC502" s="2099" t="s">
        <v>600</v>
      </c>
      <c r="AD502" s="2100"/>
      <c r="AE502" s="2100"/>
      <c r="AF502" s="2100"/>
      <c r="AG502" s="75" t="s">
        <v>404</v>
      </c>
      <c r="AH502" s="2080"/>
      <c r="AI502" s="2080"/>
      <c r="AJ502" s="2080"/>
      <c r="AK502" s="208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2:110" ht="12.95" customHeight="1">
      <c r="B503" s="2128"/>
      <c r="C503" s="2129"/>
      <c r="D503" s="2129"/>
      <c r="E503" s="2129"/>
      <c r="F503" s="2129"/>
      <c r="G503" s="2129"/>
      <c r="H503" s="2130"/>
      <c r="I503" s="25" t="s">
        <v>412</v>
      </c>
      <c r="J503" s="25"/>
      <c r="K503" s="25"/>
      <c r="L503" s="25"/>
      <c r="M503" s="25"/>
      <c r="N503" s="25"/>
      <c r="O503" s="25"/>
      <c r="P503" s="25"/>
      <c r="Q503" s="25"/>
      <c r="R503" s="25"/>
      <c r="S503" s="25"/>
      <c r="T503" s="25"/>
      <c r="U503" s="25"/>
      <c r="V503" s="25"/>
      <c r="W503" s="25"/>
      <c r="X503" s="25"/>
      <c r="Y503" s="25"/>
      <c r="AC503" s="2099">
        <v>1</v>
      </c>
      <c r="AD503" s="2100"/>
      <c r="AE503" s="2100"/>
      <c r="AF503" s="2100"/>
      <c r="AG503" s="75" t="s">
        <v>404</v>
      </c>
      <c r="AH503" s="2080">
        <v>2021</v>
      </c>
      <c r="AI503" s="2080"/>
      <c r="AJ503" s="2080"/>
      <c r="AK503" s="2081"/>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2:110" s="708" customFormat="1" ht="12.95" customHeight="1">
      <c r="B504" s="2128"/>
      <c r="C504" s="2129"/>
      <c r="D504" s="2129"/>
      <c r="E504" s="2129"/>
      <c r="F504" s="2129"/>
      <c r="G504" s="2129"/>
      <c r="H504" s="2130"/>
      <c r="I504" s="25" t="s">
        <v>413</v>
      </c>
      <c r="J504" s="25"/>
      <c r="K504" s="25"/>
      <c r="L504" s="25"/>
      <c r="M504" s="25"/>
      <c r="N504" s="25"/>
      <c r="O504" s="25"/>
      <c r="P504" s="25"/>
      <c r="Q504" s="25"/>
      <c r="R504" s="25"/>
      <c r="S504" s="25"/>
      <c r="T504" s="25"/>
      <c r="U504" s="25"/>
      <c r="V504" s="25"/>
      <c r="W504" s="25"/>
      <c r="X504" s="25"/>
      <c r="Y504" s="25"/>
      <c r="AC504" s="2099">
        <v>4</v>
      </c>
      <c r="AD504" s="2100"/>
      <c r="AE504" s="2100"/>
      <c r="AF504" s="2100"/>
      <c r="AG504" s="75" t="s">
        <v>404</v>
      </c>
      <c r="AH504" s="2080">
        <v>2023</v>
      </c>
      <c r="AI504" s="2080"/>
      <c r="AJ504" s="2080"/>
      <c r="AK504" s="2081"/>
      <c r="AM504" s="39"/>
      <c r="AN504" s="39"/>
      <c r="AO504" s="39"/>
      <c r="AP504" s="39"/>
      <c r="AQ504" s="39"/>
      <c r="AR504" s="39"/>
      <c r="AS504" s="39"/>
      <c r="AT504" s="39"/>
      <c r="AU504" s="39"/>
      <c r="AV504" s="39"/>
      <c r="AW504" s="39"/>
      <c r="AX504" s="39"/>
      <c r="AY504" s="3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2:110" ht="12.95" customHeight="1">
      <c r="B505" s="2128"/>
      <c r="C505" s="2129"/>
      <c r="D505" s="2129"/>
      <c r="E505" s="2129"/>
      <c r="F505" s="2129"/>
      <c r="G505" s="2129"/>
      <c r="H505" s="2130"/>
      <c r="I505" s="177" t="s">
        <v>414</v>
      </c>
      <c r="J505" s="25"/>
      <c r="K505" s="25"/>
      <c r="L505" s="25"/>
      <c r="M505" s="25"/>
      <c r="N505" s="25"/>
      <c r="O505" s="25"/>
      <c r="P505" s="25"/>
      <c r="Q505" s="25"/>
      <c r="R505" s="25"/>
      <c r="S505" s="25"/>
      <c r="T505" s="25"/>
      <c r="U505" s="25"/>
      <c r="V505" s="25"/>
      <c r="W505" s="25"/>
      <c r="X505" s="25"/>
      <c r="Y505" s="25"/>
      <c r="AC505" s="2144">
        <v>4</v>
      </c>
      <c r="AD505" s="2145"/>
      <c r="AE505" s="2145"/>
      <c r="AF505" s="2145"/>
      <c r="AG505" s="75" t="s">
        <v>404</v>
      </c>
      <c r="AH505" s="2080">
        <v>2023</v>
      </c>
      <c r="AI505" s="2080"/>
      <c r="AJ505" s="2080"/>
      <c r="AK505" s="208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2:110" ht="12.95" customHeight="1">
      <c r="B506" s="2128"/>
      <c r="C506" s="2129"/>
      <c r="D506" s="2129"/>
      <c r="E506" s="2129"/>
      <c r="F506" s="2129"/>
      <c r="G506" s="2129"/>
      <c r="H506" s="2130"/>
      <c r="I506" s="1411" t="s">
        <v>170</v>
      </c>
      <c r="J506" s="80"/>
      <c r="K506" s="80"/>
      <c r="L506" s="2111" t="s">
        <v>335</v>
      </c>
      <c r="M506" s="2112"/>
      <c r="N506" s="2112"/>
      <c r="O506" s="2112"/>
      <c r="P506" s="2112"/>
      <c r="Q506" s="2112"/>
      <c r="R506" s="2112"/>
      <c r="S506" s="2112"/>
      <c r="T506" s="2112"/>
      <c r="U506" s="2112"/>
      <c r="V506" s="2112"/>
      <c r="W506" s="2112"/>
      <c r="X506" s="2112"/>
      <c r="Y506" s="2112"/>
      <c r="Z506" s="2112"/>
      <c r="AA506" s="2112"/>
      <c r="AB506" s="2155"/>
      <c r="AC506" s="2099" t="s">
        <v>600</v>
      </c>
      <c r="AD506" s="2100"/>
      <c r="AE506" s="2100"/>
      <c r="AF506" s="2100"/>
      <c r="AG506" s="1383" t="s">
        <v>404</v>
      </c>
      <c r="AH506" s="2080"/>
      <c r="AI506" s="2080"/>
      <c r="AJ506" s="2080"/>
      <c r="AK506" s="208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row>
    <row r="507" spans="2:110" s="708" customFormat="1" ht="12.95" customHeight="1">
      <c r="B507" s="1374"/>
      <c r="C507" s="1375"/>
      <c r="D507" s="1375"/>
      <c r="E507" s="1375"/>
      <c r="F507" s="1375"/>
      <c r="G507" s="1375"/>
      <c r="H507" s="1376"/>
      <c r="I507" s="239" t="s">
        <v>1855</v>
      </c>
      <c r="J507" s="25"/>
      <c r="K507" s="25"/>
      <c r="L507" s="25"/>
      <c r="M507" s="25"/>
      <c r="N507" s="25"/>
      <c r="O507" s="25"/>
      <c r="P507" s="25"/>
      <c r="Q507" s="25"/>
      <c r="R507" s="25"/>
      <c r="S507" s="25"/>
      <c r="T507" s="25"/>
      <c r="U507" s="25"/>
      <c r="V507" s="25"/>
      <c r="W507" s="25"/>
      <c r="X507" s="25"/>
      <c r="Y507" s="25"/>
      <c r="AC507" s="2082" t="s">
        <v>554</v>
      </c>
      <c r="AD507" s="2082"/>
      <c r="AE507" s="2082"/>
      <c r="AF507" s="2082"/>
      <c r="AG507" s="1620"/>
      <c r="AH507" s="2101"/>
      <c r="AI507" s="2101"/>
      <c r="AJ507" s="2101"/>
      <c r="AK507" s="210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row>
    <row r="508" spans="2:110" s="708" customFormat="1" ht="12.95" customHeight="1">
      <c r="B508" s="1374"/>
      <c r="C508" s="1375"/>
      <c r="D508" s="1375"/>
      <c r="E508" s="1375"/>
      <c r="F508" s="1375"/>
      <c r="G508" s="1375"/>
      <c r="H508" s="1376"/>
      <c r="I508" s="676" t="s">
        <v>1852</v>
      </c>
      <c r="J508" s="25"/>
      <c r="K508" s="25"/>
      <c r="L508" s="25"/>
      <c r="M508" s="25"/>
      <c r="N508" s="25"/>
      <c r="O508" s="25"/>
      <c r="P508" s="25"/>
      <c r="Q508" s="25"/>
      <c r="R508" s="25"/>
      <c r="S508" s="25"/>
      <c r="T508" s="25"/>
      <c r="U508" s="25"/>
      <c r="V508" s="25"/>
      <c r="W508" s="25"/>
      <c r="X508" s="25"/>
      <c r="Y508" s="25"/>
      <c r="AC508" s="2144">
        <v>2</v>
      </c>
      <c r="AD508" s="2145"/>
      <c r="AE508" s="2145"/>
      <c r="AF508" s="2156"/>
      <c r="AG508" s="1620"/>
      <c r="AH508" s="2101"/>
      <c r="AI508" s="2101"/>
      <c r="AJ508" s="2101"/>
      <c r="AK508" s="2102"/>
      <c r="AM508" s="39"/>
      <c r="AN508" s="39"/>
      <c r="AO508" s="39"/>
      <c r="AP508" s="39"/>
      <c r="AQ508" s="39"/>
      <c r="AR508" s="39"/>
      <c r="AS508" s="39"/>
      <c r="AT508" s="39"/>
      <c r="AU508" s="39"/>
      <c r="AV508" s="39"/>
      <c r="AW508" s="39"/>
      <c r="AX508" s="39"/>
      <c r="AY508" s="3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row>
    <row r="509" spans="2:110" s="708" customFormat="1" ht="12.95" customHeight="1">
      <c r="B509" s="1374"/>
      <c r="C509" s="1375"/>
      <c r="D509" s="1375"/>
      <c r="E509" s="1375"/>
      <c r="F509" s="1375"/>
      <c r="G509" s="1375"/>
      <c r="H509" s="1376"/>
      <c r="I509" s="676" t="s">
        <v>1853</v>
      </c>
      <c r="J509" s="25"/>
      <c r="K509" s="25"/>
      <c r="L509" s="25"/>
      <c r="M509" s="25"/>
      <c r="N509" s="25"/>
      <c r="O509" s="25"/>
      <c r="P509" s="25"/>
      <c r="Q509" s="25"/>
      <c r="R509" s="25"/>
      <c r="S509" s="25"/>
      <c r="T509" s="25"/>
      <c r="U509" s="25"/>
      <c r="V509" s="25"/>
      <c r="W509" s="25"/>
      <c r="X509" s="25"/>
      <c r="Y509" s="25"/>
      <c r="AC509" s="1400"/>
      <c r="AD509" s="1401"/>
      <c r="AE509" s="1401"/>
      <c r="AF509" s="1402"/>
      <c r="AG509" s="20"/>
      <c r="AH509" s="1617"/>
      <c r="AI509" s="1617"/>
      <c r="AJ509" s="1617"/>
      <c r="AK509" s="1618"/>
      <c r="AM509" s="39"/>
      <c r="AN509" s="39"/>
      <c r="AO509" s="39"/>
      <c r="AP509" s="39"/>
      <c r="AQ509" s="39"/>
      <c r="AR509" s="39"/>
      <c r="AS509" s="39"/>
      <c r="AT509" s="39"/>
      <c r="AU509" s="39"/>
      <c r="AV509" s="39"/>
      <c r="AW509" s="39"/>
      <c r="AX509" s="39"/>
      <c r="AY509" s="3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row>
    <row r="510" spans="2:110" s="708" customFormat="1" ht="12.95" customHeight="1">
      <c r="B510" s="1374"/>
      <c r="C510" s="1375"/>
      <c r="D510" s="1375"/>
      <c r="E510" s="1375"/>
      <c r="F510" s="1375"/>
      <c r="G510" s="1375"/>
      <c r="H510" s="1376"/>
      <c r="I510" s="1412" t="s">
        <v>1854</v>
      </c>
      <c r="J510" s="80"/>
      <c r="K510" s="80"/>
      <c r="L510" s="80"/>
      <c r="M510" s="80"/>
      <c r="N510" s="80"/>
      <c r="O510" s="80"/>
      <c r="P510" s="80"/>
      <c r="Q510" s="80"/>
      <c r="R510" s="80"/>
      <c r="S510" s="80"/>
      <c r="T510" s="80"/>
      <c r="U510" s="80"/>
      <c r="V510" s="80"/>
      <c r="W510" s="80"/>
      <c r="X510" s="80"/>
      <c r="Y510" s="80"/>
      <c r="Z510" s="80"/>
      <c r="AA510" s="80"/>
      <c r="AB510" s="80"/>
      <c r="AC510" s="2103">
        <v>0.9</v>
      </c>
      <c r="AD510" s="2104"/>
      <c r="AE510" s="2104"/>
      <c r="AF510" s="2105"/>
      <c r="AG510" s="1621"/>
      <c r="AH510" s="2106"/>
      <c r="AI510" s="2106"/>
      <c r="AJ510" s="2106"/>
      <c r="AK510" s="2107"/>
      <c r="AM510" s="39"/>
      <c r="AN510" s="39"/>
      <c r="AO510" s="39"/>
      <c r="AP510" s="39"/>
      <c r="AQ510" s="39"/>
      <c r="AR510" s="39"/>
      <c r="AS510" s="39"/>
      <c r="AT510" s="39"/>
      <c r="AU510" s="39"/>
      <c r="AV510" s="39"/>
      <c r="AW510" s="39"/>
      <c r="AX510" s="39"/>
      <c r="AY510" s="3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row>
    <row r="511" spans="2:110" s="708" customFormat="1" ht="12.95" customHeight="1">
      <c r="B511" s="1374"/>
      <c r="C511" s="1375"/>
      <c r="D511" s="1375"/>
      <c r="E511" s="1375"/>
      <c r="F511" s="1375"/>
      <c r="G511" s="1375"/>
      <c r="H511" s="1376"/>
      <c r="I511" s="177"/>
      <c r="J511" s="670"/>
      <c r="K511" s="670"/>
      <c r="L511" s="14"/>
      <c r="M511" s="14"/>
      <c r="N511" s="14"/>
      <c r="O511" s="14"/>
      <c r="P511" s="14"/>
      <c r="Q511" s="14"/>
      <c r="R511" s="14"/>
      <c r="S511" s="14"/>
      <c r="T511" s="14"/>
      <c r="U511" s="14"/>
      <c r="V511" s="14"/>
      <c r="W511" s="14"/>
      <c r="X511" s="1619"/>
      <c r="Y511" s="1619"/>
      <c r="Z511" s="1619"/>
      <c r="AA511" s="1619"/>
      <c r="AB511" s="1641"/>
      <c r="AC511" s="2248" t="s">
        <v>403</v>
      </c>
      <c r="AD511" s="2146"/>
      <c r="AE511" s="2146"/>
      <c r="AF511" s="2146"/>
      <c r="AG511" s="1621" t="s">
        <v>404</v>
      </c>
      <c r="AH511" s="2146" t="s">
        <v>405</v>
      </c>
      <c r="AI511" s="2146"/>
      <c r="AJ511" s="2146"/>
      <c r="AK511" s="2147"/>
      <c r="AM511" s="39"/>
      <c r="AN511" s="39"/>
      <c r="AO511" s="39"/>
      <c r="AP511" s="39"/>
      <c r="AQ511" s="39"/>
      <c r="AR511" s="39"/>
      <c r="AS511" s="39"/>
      <c r="AT511" s="39"/>
      <c r="AU511" s="39"/>
      <c r="AV511" s="39"/>
      <c r="AW511" s="39"/>
      <c r="AX511" s="39"/>
      <c r="AY511" s="39"/>
      <c r="AZ511" s="58"/>
      <c r="BA511" s="58"/>
      <c r="BB511" s="58"/>
      <c r="BC511" s="58"/>
      <c r="BD511" s="58"/>
      <c r="BE511" s="58"/>
      <c r="BF511" s="58"/>
      <c r="BG511" s="58"/>
      <c r="BH511" s="58"/>
      <c r="BI511" s="58"/>
      <c r="BJ511" s="58"/>
      <c r="BK511" s="58"/>
      <c r="BL511" s="58"/>
      <c r="BM511" s="58"/>
      <c r="BN511" s="58" t="s">
        <v>1326</v>
      </c>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row>
    <row r="512" spans="2:110" ht="12.95" customHeight="1">
      <c r="B512" s="2125" t="s">
        <v>415</v>
      </c>
      <c r="C512" s="2126"/>
      <c r="D512" s="2126"/>
      <c r="E512" s="2126"/>
      <c r="F512" s="2126"/>
      <c r="G512" s="2126"/>
      <c r="H512" s="2127"/>
      <c r="I512" s="72" t="s">
        <v>416</v>
      </c>
      <c r="J512" s="72"/>
      <c r="K512" s="72"/>
      <c r="L512" s="72"/>
      <c r="M512" s="72"/>
      <c r="N512" s="72"/>
      <c r="O512" s="72"/>
      <c r="P512" s="72"/>
      <c r="Q512" s="72"/>
      <c r="R512" s="72"/>
      <c r="S512" s="72"/>
      <c r="T512" s="72"/>
      <c r="U512" s="72"/>
      <c r="V512" s="72"/>
      <c r="W512" s="72"/>
      <c r="X512" s="25"/>
      <c r="Y512" s="25"/>
      <c r="AC512" s="2099">
        <v>1</v>
      </c>
      <c r="AD512" s="2100"/>
      <c r="AE512" s="2100"/>
      <c r="AF512" s="2100"/>
      <c r="AG512" s="75" t="s">
        <v>404</v>
      </c>
      <c r="AH512" s="2080">
        <v>2023</v>
      </c>
      <c r="AI512" s="2080"/>
      <c r="AJ512" s="2080"/>
      <c r="AK512" s="2081"/>
      <c r="AZ512" s="58"/>
      <c r="BA512" s="58"/>
      <c r="BB512" s="58"/>
      <c r="BC512" s="58"/>
      <c r="BD512" s="58"/>
      <c r="BE512" s="58"/>
      <c r="BF512" s="58"/>
      <c r="BG512" s="58"/>
      <c r="BH512" s="58"/>
      <c r="BI512" s="58"/>
      <c r="BJ512" s="58"/>
      <c r="BK512" s="58"/>
      <c r="BL512" s="58"/>
      <c r="BM512" s="58"/>
      <c r="BN512" s="58" t="s">
        <v>2522</v>
      </c>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row>
    <row r="513" spans="2:110" ht="12.95" customHeight="1">
      <c r="B513" s="2128"/>
      <c r="C513" s="2129"/>
      <c r="D513" s="2129"/>
      <c r="E513" s="2129"/>
      <c r="F513" s="2129"/>
      <c r="G513" s="2129"/>
      <c r="H513" s="2130"/>
      <c r="I513" s="25" t="s">
        <v>417</v>
      </c>
      <c r="J513" s="25"/>
      <c r="K513" s="25"/>
      <c r="L513" s="25"/>
      <c r="M513" s="25"/>
      <c r="N513" s="25"/>
      <c r="O513" s="25"/>
      <c r="P513" s="25"/>
      <c r="Q513" s="25"/>
      <c r="R513" s="25"/>
      <c r="S513" s="25"/>
      <c r="T513" s="25"/>
      <c r="U513" s="25"/>
      <c r="V513" s="25"/>
      <c r="W513" s="25"/>
      <c r="X513" s="25"/>
      <c r="Y513" s="25"/>
      <c r="AC513" s="2099">
        <v>1</v>
      </c>
      <c r="AD513" s="2100"/>
      <c r="AE513" s="2100"/>
      <c r="AF513" s="2100"/>
      <c r="AG513" s="75" t="s">
        <v>404</v>
      </c>
      <c r="AH513" s="2080">
        <v>2023</v>
      </c>
      <c r="AI513" s="2080"/>
      <c r="AJ513" s="2080"/>
      <c r="AK513" s="2081"/>
      <c r="AZ513" s="58"/>
      <c r="BA513" s="58"/>
      <c r="BB513" s="58"/>
      <c r="BC513" s="58"/>
      <c r="BD513" s="58"/>
      <c r="BE513" s="58"/>
      <c r="BF513" s="58"/>
      <c r="BG513" s="58"/>
      <c r="BH513" s="58"/>
      <c r="BI513" s="58"/>
      <c r="BJ513" s="58"/>
      <c r="BK513" s="58"/>
      <c r="BL513" s="58"/>
      <c r="BM513" s="58"/>
      <c r="BN513" s="58" t="s">
        <v>2523</v>
      </c>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row>
    <row r="514" spans="2:110" ht="12.95" customHeight="1">
      <c r="B514" s="2128"/>
      <c r="C514" s="2129"/>
      <c r="D514" s="2129"/>
      <c r="E514" s="2129"/>
      <c r="F514" s="2129"/>
      <c r="G514" s="2129"/>
      <c r="H514" s="2130"/>
      <c r="I514" s="80" t="s">
        <v>418</v>
      </c>
      <c r="J514" s="80"/>
      <c r="K514" s="80"/>
      <c r="L514" s="80"/>
      <c r="M514" s="80"/>
      <c r="N514" s="80"/>
      <c r="O514" s="80"/>
      <c r="P514" s="80"/>
      <c r="Q514" s="80"/>
      <c r="R514" s="80"/>
      <c r="S514" s="80"/>
      <c r="T514" s="80"/>
      <c r="U514" s="80"/>
      <c r="V514" s="80"/>
      <c r="W514" s="80"/>
      <c r="X514" s="80"/>
      <c r="Y514" s="80"/>
      <c r="Z514" s="80"/>
      <c r="AA514" s="80"/>
      <c r="AB514" s="80"/>
      <c r="AC514" s="2099">
        <v>11</v>
      </c>
      <c r="AD514" s="2100"/>
      <c r="AE514" s="2100"/>
      <c r="AF514" s="2100"/>
      <c r="AG514" s="65" t="s">
        <v>404</v>
      </c>
      <c r="AH514" s="2080">
        <v>2023</v>
      </c>
      <c r="AI514" s="2080"/>
      <c r="AJ514" s="2080"/>
      <c r="AK514" s="2081"/>
      <c r="AZ514" s="58"/>
      <c r="BA514" s="58"/>
      <c r="BB514" s="58"/>
      <c r="BC514" s="58"/>
      <c r="BD514" s="58"/>
      <c r="BE514" s="58"/>
      <c r="BF514" s="58"/>
      <c r="BG514" s="58"/>
      <c r="BH514" s="58"/>
      <c r="BI514" s="58"/>
      <c r="BJ514" s="58"/>
      <c r="BK514" s="58"/>
      <c r="BL514" s="58"/>
      <c r="BM514" s="58"/>
      <c r="BN514" s="58" t="s">
        <v>2524</v>
      </c>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row>
    <row r="515" spans="2:110" ht="12.95" customHeight="1">
      <c r="B515" s="2125" t="s">
        <v>419</v>
      </c>
      <c r="C515" s="2126"/>
      <c r="D515" s="2126"/>
      <c r="E515" s="2126"/>
      <c r="F515" s="2126"/>
      <c r="G515" s="2126"/>
      <c r="H515" s="2127"/>
      <c r="I515" s="72" t="s">
        <v>416</v>
      </c>
      <c r="J515" s="72"/>
      <c r="K515" s="72"/>
      <c r="L515" s="72"/>
      <c r="M515" s="72"/>
      <c r="N515" s="72"/>
      <c r="O515" s="72"/>
      <c r="P515" s="72"/>
      <c r="Q515" s="72"/>
      <c r="R515" s="72"/>
      <c r="S515" s="72"/>
      <c r="T515" s="72"/>
      <c r="U515" s="72"/>
      <c r="V515" s="72"/>
      <c r="W515" s="72"/>
      <c r="X515" s="72"/>
      <c r="Y515" s="72"/>
      <c r="Z515" s="72"/>
      <c r="AA515" s="72"/>
      <c r="AB515" s="72"/>
      <c r="AC515" s="2144">
        <v>1</v>
      </c>
      <c r="AD515" s="2145"/>
      <c r="AE515" s="2145"/>
      <c r="AF515" s="2145"/>
      <c r="AG515" s="196" t="s">
        <v>404</v>
      </c>
      <c r="AH515" s="2080">
        <v>2023</v>
      </c>
      <c r="AI515" s="2080"/>
      <c r="AJ515" s="2080"/>
      <c r="AK515" s="2081"/>
      <c r="AZ515" s="58"/>
      <c r="BA515" s="58"/>
      <c r="BB515" s="58"/>
      <c r="BC515" s="58"/>
      <c r="BD515" s="58"/>
      <c r="BE515" s="58"/>
      <c r="BF515" s="58"/>
      <c r="BG515" s="58"/>
      <c r="BH515" s="58"/>
      <c r="BI515" s="58"/>
      <c r="BJ515" s="58"/>
      <c r="BK515" s="58"/>
      <c r="BL515" s="58"/>
      <c r="BM515" s="58"/>
      <c r="BN515" s="58" t="s">
        <v>2525</v>
      </c>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row>
    <row r="516" spans="2:110" ht="12.95" customHeight="1">
      <c r="B516" s="2128"/>
      <c r="C516" s="2129"/>
      <c r="D516" s="2129"/>
      <c r="E516" s="2129"/>
      <c r="F516" s="2129"/>
      <c r="G516" s="2129"/>
      <c r="H516" s="2130"/>
      <c r="I516" s="25" t="s">
        <v>417</v>
      </c>
      <c r="J516" s="25"/>
      <c r="K516" s="25"/>
      <c r="L516" s="25"/>
      <c r="M516" s="25"/>
      <c r="N516" s="25"/>
      <c r="O516" s="25"/>
      <c r="P516" s="25"/>
      <c r="Q516" s="25"/>
      <c r="R516" s="25"/>
      <c r="S516" s="25"/>
      <c r="T516" s="25"/>
      <c r="U516" s="25"/>
      <c r="V516" s="25"/>
      <c r="W516" s="25"/>
      <c r="X516" s="25"/>
      <c r="Y516" s="25"/>
      <c r="Z516" s="25"/>
      <c r="AA516" s="25"/>
      <c r="AB516" s="25"/>
      <c r="AC516" s="2099">
        <v>1</v>
      </c>
      <c r="AD516" s="2100"/>
      <c r="AE516" s="2100"/>
      <c r="AF516" s="2100"/>
      <c r="AG516" s="75" t="s">
        <v>404</v>
      </c>
      <c r="AH516" s="2080">
        <v>2023</v>
      </c>
      <c r="AI516" s="2080"/>
      <c r="AJ516" s="2080"/>
      <c r="AK516" s="2081"/>
      <c r="AZ516" s="58"/>
      <c r="BB516" s="58"/>
      <c r="BC516" s="58"/>
      <c r="BD516" s="58"/>
      <c r="BE516" s="58"/>
      <c r="BF516" s="58"/>
      <c r="BG516" s="58"/>
      <c r="BH516" s="58"/>
      <c r="BI516" s="58"/>
      <c r="BJ516" s="58"/>
      <c r="BK516" s="58"/>
      <c r="BL516" s="58"/>
      <c r="BM516" s="58"/>
      <c r="BN516" s="58" t="s">
        <v>2526</v>
      </c>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row>
    <row r="517" spans="2:110" ht="12.95" customHeight="1">
      <c r="B517" s="2131"/>
      <c r="C517" s="2132"/>
      <c r="D517" s="2132"/>
      <c r="E517" s="2132"/>
      <c r="F517" s="2132"/>
      <c r="G517" s="2132"/>
      <c r="H517" s="2133"/>
      <c r="I517" s="80" t="s">
        <v>418</v>
      </c>
      <c r="J517" s="80"/>
      <c r="K517" s="80"/>
      <c r="L517" s="80"/>
      <c r="M517" s="80"/>
      <c r="N517" s="80"/>
      <c r="O517" s="80"/>
      <c r="P517" s="80"/>
      <c r="Q517" s="80"/>
      <c r="R517" s="80"/>
      <c r="S517" s="80"/>
      <c r="T517" s="80"/>
      <c r="U517" s="80"/>
      <c r="V517" s="80"/>
      <c r="W517" s="80"/>
      <c r="X517" s="80"/>
      <c r="Y517" s="80"/>
      <c r="Z517" s="80"/>
      <c r="AA517" s="80"/>
      <c r="AB517" s="80"/>
      <c r="AC517" s="2099">
        <v>11</v>
      </c>
      <c r="AD517" s="2100"/>
      <c r="AE517" s="2100"/>
      <c r="AF517" s="2100"/>
      <c r="AG517" s="65" t="s">
        <v>404</v>
      </c>
      <c r="AH517" s="2080">
        <v>2023</v>
      </c>
      <c r="AI517" s="2080"/>
      <c r="AJ517" s="2080"/>
      <c r="AK517" s="2081"/>
      <c r="BB517" s="58"/>
      <c r="BC517" s="58"/>
      <c r="BD517" s="58"/>
      <c r="BE517" s="58"/>
      <c r="BF517" s="58"/>
      <c r="BG517" s="58"/>
      <c r="BH517" s="58"/>
      <c r="BI517" s="58"/>
      <c r="BJ517" s="58"/>
      <c r="BK517" s="58"/>
      <c r="BL517" s="58"/>
      <c r="BM517" s="58"/>
      <c r="BN517" s="58" t="s">
        <v>2527</v>
      </c>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row>
    <row r="518" spans="2:110" ht="12.95" customHeight="1">
      <c r="B518" s="2125" t="s">
        <v>420</v>
      </c>
      <c r="C518" s="2126"/>
      <c r="D518" s="2126"/>
      <c r="E518" s="2126"/>
      <c r="F518" s="2126"/>
      <c r="G518" s="2126"/>
      <c r="H518" s="2127"/>
      <c r="I518" s="71" t="s">
        <v>421</v>
      </c>
      <c r="J518" s="72"/>
      <c r="K518" s="72"/>
      <c r="L518" s="72"/>
      <c r="M518" s="72"/>
      <c r="N518" s="72"/>
      <c r="O518" s="2111" t="s">
        <v>2718</v>
      </c>
      <c r="P518" s="2112"/>
      <c r="Q518" s="2112"/>
      <c r="R518" s="2112"/>
      <c r="S518" s="2112"/>
      <c r="T518" s="2112"/>
      <c r="U518" s="2112"/>
      <c r="V518" s="2112"/>
      <c r="W518" s="2112"/>
      <c r="X518" s="2112"/>
      <c r="Y518" s="2112"/>
      <c r="Z518" s="2112"/>
      <c r="AA518" s="2112"/>
      <c r="AB518" s="94"/>
      <c r="AC518" s="2144" t="s">
        <v>600</v>
      </c>
      <c r="AD518" s="2145"/>
      <c r="AE518" s="2145"/>
      <c r="AF518" s="2145"/>
      <c r="AG518" s="196" t="s">
        <v>404</v>
      </c>
      <c r="AH518" s="2080"/>
      <c r="AI518" s="2080"/>
      <c r="AJ518" s="2080"/>
      <c r="AK518" s="2081"/>
      <c r="BB518" s="58"/>
      <c r="BC518" s="58"/>
      <c r="BD518" s="58"/>
      <c r="BE518" s="58"/>
      <c r="BF518" s="58"/>
      <c r="BG518" s="58"/>
      <c r="BH518" s="58"/>
      <c r="BI518" s="58"/>
      <c r="BJ518" s="58"/>
      <c r="BK518" s="58"/>
      <c r="BL518" s="58"/>
      <c r="BM518" s="58"/>
      <c r="BN518" s="58" t="s">
        <v>2528</v>
      </c>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row>
    <row r="519" spans="2:110" ht="12.95" customHeight="1">
      <c r="B519" s="2128"/>
      <c r="C519" s="2129"/>
      <c r="D519" s="2129"/>
      <c r="E519" s="2129"/>
      <c r="F519" s="2129"/>
      <c r="G519" s="2129"/>
      <c r="H519" s="2130"/>
      <c r="I519" s="171" t="s">
        <v>422</v>
      </c>
      <c r="J519" s="25"/>
      <c r="K519" s="25"/>
      <c r="L519" s="25"/>
      <c r="M519" s="25"/>
      <c r="N519" s="25"/>
      <c r="O519" s="25"/>
      <c r="P519" s="25"/>
      <c r="Q519" s="25"/>
      <c r="R519" s="25"/>
      <c r="S519" s="25"/>
      <c r="T519" s="25"/>
      <c r="U519" s="25"/>
      <c r="V519" s="25"/>
      <c r="W519" s="25"/>
      <c r="X519" s="25"/>
      <c r="Y519" s="25"/>
      <c r="Z519" s="25"/>
      <c r="AA519" s="25"/>
      <c r="AB519" s="101"/>
      <c r="AC519" s="2099">
        <v>1</v>
      </c>
      <c r="AD519" s="2100"/>
      <c r="AE519" s="2100"/>
      <c r="AF519" s="2100"/>
      <c r="AG519" s="75" t="s">
        <v>404</v>
      </c>
      <c r="AH519" s="2080">
        <v>2021</v>
      </c>
      <c r="AI519" s="2080"/>
      <c r="AJ519" s="2080"/>
      <c r="AK519" s="2081"/>
      <c r="AZ519" s="58"/>
      <c r="BB519" s="58"/>
      <c r="BC519" s="58"/>
      <c r="BD519" s="58"/>
      <c r="BE519" s="58"/>
      <c r="BF519" s="58"/>
      <c r="BG519" s="58"/>
      <c r="BH519" s="58"/>
      <c r="BI519" s="58"/>
      <c r="BJ519" s="58"/>
      <c r="BK519" s="58"/>
      <c r="BL519" s="58"/>
      <c r="BM519" s="58"/>
      <c r="BN519" s="58" t="s">
        <v>2529</v>
      </c>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row>
    <row r="520" spans="2:110" ht="12.95" customHeight="1">
      <c r="B520" s="2128"/>
      <c r="C520" s="2129"/>
      <c r="D520" s="2129"/>
      <c r="E520" s="2129"/>
      <c r="F520" s="2129"/>
      <c r="G520" s="2129"/>
      <c r="H520" s="2130"/>
      <c r="I520" s="79" t="s">
        <v>423</v>
      </c>
      <c r="J520" s="80"/>
      <c r="K520" s="80"/>
      <c r="L520" s="80"/>
      <c r="M520" s="80"/>
      <c r="N520" s="80"/>
      <c r="O520" s="80"/>
      <c r="P520" s="80"/>
      <c r="Q520" s="80"/>
      <c r="R520" s="80"/>
      <c r="S520" s="80"/>
      <c r="T520" s="80"/>
      <c r="U520" s="80"/>
      <c r="V520" s="80"/>
      <c r="W520" s="80"/>
      <c r="X520" s="80"/>
      <c r="Y520" s="80"/>
      <c r="Z520" s="80"/>
      <c r="AA520" s="80"/>
      <c r="AB520" s="81"/>
      <c r="AC520" s="2099">
        <v>6</v>
      </c>
      <c r="AD520" s="2100"/>
      <c r="AE520" s="2100"/>
      <c r="AF520" s="2100"/>
      <c r="AG520" s="65" t="s">
        <v>404</v>
      </c>
      <c r="AH520" s="2080">
        <v>2021</v>
      </c>
      <c r="AI520" s="2080"/>
      <c r="AJ520" s="2080"/>
      <c r="AK520" s="2081"/>
      <c r="AZ520" s="58"/>
      <c r="BB520" s="58"/>
      <c r="BC520" s="58"/>
      <c r="BD520" s="58"/>
      <c r="BE520" s="58"/>
      <c r="BF520" s="58"/>
      <c r="BG520" s="58"/>
      <c r="BH520" s="58"/>
      <c r="BI520" s="58"/>
      <c r="BJ520" s="58"/>
      <c r="BK520" s="58"/>
      <c r="BL520" s="58"/>
      <c r="BM520" s="58"/>
      <c r="BN520" s="58" t="s">
        <v>2530</v>
      </c>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ht="12.95" customHeight="1">
      <c r="B521" s="2128"/>
      <c r="C521" s="2129"/>
      <c r="D521" s="2129"/>
      <c r="E521" s="2129"/>
      <c r="F521" s="2129"/>
      <c r="G521" s="2129"/>
      <c r="H521" s="2130"/>
      <c r="I521" s="72" t="s">
        <v>424</v>
      </c>
      <c r="J521" s="72"/>
      <c r="K521" s="72"/>
      <c r="L521" s="72"/>
      <c r="M521" s="72"/>
      <c r="N521" s="72"/>
      <c r="O521" s="2111" t="s">
        <v>2719</v>
      </c>
      <c r="P521" s="2112"/>
      <c r="Q521" s="2112"/>
      <c r="R521" s="2112"/>
      <c r="S521" s="2112"/>
      <c r="T521" s="2112"/>
      <c r="U521" s="2112"/>
      <c r="V521" s="2112"/>
      <c r="W521" s="2112"/>
      <c r="X521" s="2112"/>
      <c r="Y521" s="2112"/>
      <c r="Z521" s="2112"/>
      <c r="AA521" s="2112"/>
      <c r="AC521" s="2099" t="s">
        <v>600</v>
      </c>
      <c r="AD521" s="2100"/>
      <c r="AE521" s="2100"/>
      <c r="AF521" s="2100"/>
      <c r="AG521" s="75" t="s">
        <v>404</v>
      </c>
      <c r="AH521" s="2080"/>
      <c r="AI521" s="2080"/>
      <c r="AJ521" s="2080"/>
      <c r="AK521" s="2081"/>
      <c r="AZ521" s="58"/>
      <c r="BA521" s="58"/>
      <c r="BB521" s="58"/>
      <c r="BC521" s="58"/>
      <c r="BD521" s="58"/>
      <c r="BE521" s="58"/>
      <c r="BF521" s="58"/>
      <c r="BG521" s="58"/>
      <c r="BH521" s="58"/>
      <c r="BI521" s="58"/>
      <c r="BJ521" s="58"/>
      <c r="BK521" s="58"/>
      <c r="BL521" s="58"/>
      <c r="BM521" s="58"/>
      <c r="BN521" s="58" t="s">
        <v>2531</v>
      </c>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ht="12.95" customHeight="1">
      <c r="B522" s="2128"/>
      <c r="C522" s="2129"/>
      <c r="D522" s="2129"/>
      <c r="E522" s="2129"/>
      <c r="F522" s="2129"/>
      <c r="G522" s="2129"/>
      <c r="H522" s="2130"/>
      <c r="I522" s="25" t="s">
        <v>422</v>
      </c>
      <c r="J522" s="25"/>
      <c r="K522" s="25"/>
      <c r="L522" s="25"/>
      <c r="M522" s="25"/>
      <c r="N522" s="25"/>
      <c r="O522" s="25"/>
      <c r="P522" s="25"/>
      <c r="Q522" s="25"/>
      <c r="R522" s="25"/>
      <c r="S522" s="25"/>
      <c r="T522" s="25"/>
      <c r="U522" s="25"/>
      <c r="V522" s="25"/>
      <c r="W522" s="25"/>
      <c r="X522" s="25"/>
      <c r="Y522" s="25"/>
      <c r="AC522" s="2099">
        <v>7</v>
      </c>
      <c r="AD522" s="2100"/>
      <c r="AE522" s="2100"/>
      <c r="AF522" s="2100"/>
      <c r="AG522" s="75" t="s">
        <v>404</v>
      </c>
      <c r="AH522" s="2080">
        <v>2020</v>
      </c>
      <c r="AI522" s="2080"/>
      <c r="AJ522" s="2080"/>
      <c r="AK522" s="2081"/>
      <c r="AZ522" s="58"/>
      <c r="BA522" s="58"/>
      <c r="BB522" s="58"/>
      <c r="BC522" s="58"/>
      <c r="BD522" s="58"/>
      <c r="BE522" s="58"/>
      <c r="BF522" s="58"/>
      <c r="BG522" s="58"/>
      <c r="BH522" s="58"/>
      <c r="BI522" s="58"/>
      <c r="BJ522" s="58"/>
      <c r="BK522" s="58"/>
      <c r="BL522" s="58"/>
      <c r="BM522" s="58"/>
      <c r="BN522" s="58" t="s">
        <v>2532</v>
      </c>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ht="12.95" customHeight="1">
      <c r="B523" s="2128"/>
      <c r="C523" s="2129"/>
      <c r="D523" s="2129"/>
      <c r="E523" s="2129"/>
      <c r="F523" s="2129"/>
      <c r="G523" s="2129"/>
      <c r="H523" s="2130"/>
      <c r="I523" s="80" t="s">
        <v>423</v>
      </c>
      <c r="J523" s="80"/>
      <c r="K523" s="80"/>
      <c r="L523" s="80"/>
      <c r="M523" s="80"/>
      <c r="N523" s="80"/>
      <c r="O523" s="80"/>
      <c r="P523" s="80"/>
      <c r="Q523" s="80"/>
      <c r="R523" s="80"/>
      <c r="S523" s="80"/>
      <c r="T523" s="80"/>
      <c r="U523" s="80"/>
      <c r="V523" s="80"/>
      <c r="W523" s="80"/>
      <c r="X523" s="80"/>
      <c r="Y523" s="80"/>
      <c r="Z523" s="80"/>
      <c r="AA523" s="80"/>
      <c r="AB523" s="80"/>
      <c r="AC523" s="2099">
        <v>9</v>
      </c>
      <c r="AD523" s="2100"/>
      <c r="AE523" s="2100"/>
      <c r="AF523" s="2100"/>
      <c r="AG523" s="65" t="s">
        <v>404</v>
      </c>
      <c r="AH523" s="2080">
        <v>2020</v>
      </c>
      <c r="AI523" s="2080"/>
      <c r="AJ523" s="2080"/>
      <c r="AK523" s="2081"/>
      <c r="AZ523" s="58"/>
      <c r="BA523" s="58"/>
      <c r="BB523" s="58"/>
      <c r="BC523" s="58"/>
      <c r="BD523" s="58"/>
      <c r="BE523" s="58"/>
      <c r="BF523" s="58"/>
      <c r="BG523" s="58"/>
      <c r="BH523" s="58"/>
      <c r="BI523" s="58"/>
      <c r="BJ523" s="58"/>
      <c r="BK523" s="58"/>
      <c r="BL523" s="58"/>
      <c r="BM523" s="58"/>
      <c r="BN523" s="58" t="s">
        <v>2533</v>
      </c>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ht="12.95" customHeight="1">
      <c r="B524" s="2128"/>
      <c r="C524" s="2129"/>
      <c r="D524" s="2129"/>
      <c r="E524" s="2129"/>
      <c r="F524" s="2129"/>
      <c r="G524" s="2129"/>
      <c r="H524" s="2130"/>
      <c r="I524" s="72" t="s">
        <v>424</v>
      </c>
      <c r="J524" s="72"/>
      <c r="K524" s="72"/>
      <c r="L524" s="72"/>
      <c r="M524" s="72"/>
      <c r="N524" s="72"/>
      <c r="O524" s="2111" t="s">
        <v>2720</v>
      </c>
      <c r="P524" s="2112"/>
      <c r="Q524" s="2112"/>
      <c r="R524" s="2112"/>
      <c r="S524" s="2112"/>
      <c r="T524" s="2112"/>
      <c r="U524" s="2112"/>
      <c r="V524" s="2112"/>
      <c r="W524" s="2112"/>
      <c r="X524" s="2112"/>
      <c r="Y524" s="2112"/>
      <c r="Z524" s="2112"/>
      <c r="AA524" s="2112"/>
      <c r="AC524" s="2099" t="s">
        <v>600</v>
      </c>
      <c r="AD524" s="2100"/>
      <c r="AE524" s="2100"/>
      <c r="AF524" s="2100"/>
      <c r="AG524" s="75" t="s">
        <v>404</v>
      </c>
      <c r="AH524" s="2080"/>
      <c r="AI524" s="2080"/>
      <c r="AJ524" s="2080"/>
      <c r="AK524" s="2081"/>
      <c r="AZ524" s="58"/>
      <c r="BA524" s="58"/>
      <c r="BB524" s="58"/>
      <c r="BC524" s="58"/>
      <c r="BD524" s="58"/>
      <c r="BE524" s="58"/>
      <c r="BF524" s="58"/>
      <c r="BG524" s="58"/>
      <c r="BH524" s="58"/>
      <c r="BI524" s="58"/>
      <c r="BJ524" s="58"/>
      <c r="BK524" s="58"/>
      <c r="BL524" s="58"/>
      <c r="BM524" s="58"/>
      <c r="BN524" s="58" t="s">
        <v>2534</v>
      </c>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c r="CU524" s="58"/>
      <c r="CV524" s="58"/>
      <c r="CW524" s="58"/>
      <c r="CX524" s="58"/>
      <c r="CY524" s="58"/>
      <c r="CZ524" s="58"/>
      <c r="DA524" s="58"/>
      <c r="DB524" s="58"/>
      <c r="DC524" s="58"/>
      <c r="DD524" s="58"/>
      <c r="DE524" s="58"/>
      <c r="DF524" s="58"/>
    </row>
    <row r="525" spans="2:110" ht="12.95" customHeight="1">
      <c r="B525" s="2128"/>
      <c r="C525" s="2129"/>
      <c r="D525" s="2129"/>
      <c r="E525" s="2129"/>
      <c r="F525" s="2129"/>
      <c r="G525" s="2129"/>
      <c r="H525" s="2130"/>
      <c r="I525" s="25" t="s">
        <v>422</v>
      </c>
      <c r="J525" s="25"/>
      <c r="K525" s="25"/>
      <c r="L525" s="25"/>
      <c r="M525" s="25"/>
      <c r="N525" s="25"/>
      <c r="O525" s="25"/>
      <c r="P525" s="25"/>
      <c r="Q525" s="25"/>
      <c r="R525" s="25"/>
      <c r="S525" s="25"/>
      <c r="T525" s="25"/>
      <c r="U525" s="25"/>
      <c r="V525" s="25"/>
      <c r="W525" s="25"/>
      <c r="X525" s="25"/>
      <c r="Y525" s="25"/>
      <c r="AC525" s="2099">
        <v>2</v>
      </c>
      <c r="AD525" s="2100"/>
      <c r="AE525" s="2100"/>
      <c r="AF525" s="2100"/>
      <c r="AG525" s="75" t="s">
        <v>404</v>
      </c>
      <c r="AH525" s="2080">
        <v>2020</v>
      </c>
      <c r="AI525" s="2080"/>
      <c r="AJ525" s="2080"/>
      <c r="AK525" s="2081"/>
      <c r="AZ525" s="58"/>
      <c r="BA525" s="58"/>
      <c r="BB525" s="58"/>
      <c r="BC525" s="58"/>
      <c r="BD525" s="58"/>
      <c r="BE525" s="58"/>
      <c r="BF525" s="58"/>
      <c r="BG525" s="58"/>
      <c r="BH525" s="58"/>
      <c r="BI525" s="58"/>
      <c r="BJ525" s="58"/>
      <c r="BK525" s="58"/>
      <c r="BL525" s="58"/>
      <c r="BM525" s="58"/>
      <c r="BN525" s="58" t="s">
        <v>2535</v>
      </c>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c r="CU525" s="58"/>
      <c r="CV525" s="58"/>
      <c r="CW525" s="58"/>
      <c r="CX525" s="58"/>
      <c r="CY525" s="58"/>
      <c r="CZ525" s="58"/>
      <c r="DA525" s="58"/>
      <c r="DB525" s="58"/>
      <c r="DC525" s="58"/>
      <c r="DD525" s="58"/>
      <c r="DE525" s="58"/>
      <c r="DF525" s="58"/>
    </row>
    <row r="526" spans="2:110" ht="12.95" customHeight="1">
      <c r="B526" s="2128"/>
      <c r="C526" s="2129"/>
      <c r="D526" s="2129"/>
      <c r="E526" s="2129"/>
      <c r="F526" s="2129"/>
      <c r="G526" s="2129"/>
      <c r="H526" s="2130"/>
      <c r="I526" s="80" t="s">
        <v>423</v>
      </c>
      <c r="J526" s="80"/>
      <c r="K526" s="80"/>
      <c r="L526" s="80"/>
      <c r="M526" s="80"/>
      <c r="N526" s="80"/>
      <c r="O526" s="80"/>
      <c r="P526" s="80"/>
      <c r="Q526" s="80"/>
      <c r="R526" s="80"/>
      <c r="S526" s="80"/>
      <c r="T526" s="80"/>
      <c r="U526" s="80"/>
      <c r="V526" s="80"/>
      <c r="W526" s="80"/>
      <c r="X526" s="80"/>
      <c r="Y526" s="80"/>
      <c r="Z526" s="80"/>
      <c r="AA526" s="80"/>
      <c r="AB526" s="80"/>
      <c r="AC526" s="2099">
        <v>1</v>
      </c>
      <c r="AD526" s="2100"/>
      <c r="AE526" s="2100"/>
      <c r="AF526" s="2100"/>
      <c r="AG526" s="65" t="s">
        <v>404</v>
      </c>
      <c r="AH526" s="2080">
        <v>2021</v>
      </c>
      <c r="AI526" s="2080"/>
      <c r="AJ526" s="2080"/>
      <c r="AK526" s="2081"/>
      <c r="AZ526" s="58"/>
      <c r="BA526" s="58"/>
      <c r="BB526" s="58"/>
      <c r="BC526" s="58"/>
      <c r="BD526" s="58"/>
      <c r="BE526" s="58"/>
      <c r="BF526" s="58"/>
      <c r="BG526" s="58"/>
      <c r="BH526" s="58"/>
      <c r="BI526" s="58"/>
      <c r="BJ526" s="58"/>
      <c r="BK526" s="58"/>
      <c r="BL526" s="58"/>
      <c r="BM526" s="58"/>
      <c r="BN526" s="58" t="s">
        <v>2536</v>
      </c>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c r="CU526" s="58"/>
      <c r="CV526" s="58"/>
      <c r="CW526" s="58"/>
      <c r="CX526" s="58"/>
      <c r="CY526" s="58"/>
      <c r="CZ526" s="58"/>
      <c r="DA526" s="58"/>
      <c r="DB526" s="58"/>
      <c r="DC526" s="58"/>
      <c r="DD526" s="58"/>
      <c r="DE526" s="58"/>
      <c r="DF526" s="58"/>
    </row>
    <row r="527" spans="2:110" ht="12.95" customHeight="1">
      <c r="B527" s="2128"/>
      <c r="C527" s="2129"/>
      <c r="D527" s="2129"/>
      <c r="E527" s="2129"/>
      <c r="F527" s="2129"/>
      <c r="G527" s="2129"/>
      <c r="H527" s="2130"/>
      <c r="I527" s="72" t="s">
        <v>424</v>
      </c>
      <c r="J527" s="72"/>
      <c r="K527" s="72"/>
      <c r="L527" s="72"/>
      <c r="M527" s="72"/>
      <c r="N527" s="72"/>
      <c r="O527" s="2111" t="s">
        <v>2723</v>
      </c>
      <c r="P527" s="2112"/>
      <c r="Q527" s="2112"/>
      <c r="R527" s="2112"/>
      <c r="S527" s="2112"/>
      <c r="T527" s="2112"/>
      <c r="U527" s="2112"/>
      <c r="V527" s="2112"/>
      <c r="W527" s="2112"/>
      <c r="X527" s="2112"/>
      <c r="Y527" s="2112"/>
      <c r="Z527" s="2112"/>
      <c r="AA527" s="2112"/>
      <c r="AC527" s="2099" t="s">
        <v>600</v>
      </c>
      <c r="AD527" s="2100"/>
      <c r="AE527" s="2100"/>
      <c r="AF527" s="2100"/>
      <c r="AG527" s="75" t="s">
        <v>404</v>
      </c>
      <c r="AH527" s="2080"/>
      <c r="AI527" s="2080"/>
      <c r="AJ527" s="2080"/>
      <c r="AK527" s="2081"/>
      <c r="AZ527" s="58"/>
      <c r="BA527" s="58"/>
      <c r="BB527" s="58"/>
      <c r="BC527" s="58"/>
      <c r="BD527" s="58"/>
      <c r="BE527" s="58"/>
      <c r="BF527" s="58"/>
      <c r="BG527" s="58"/>
      <c r="BH527" s="58"/>
      <c r="BI527" s="58"/>
      <c r="BJ527" s="58"/>
      <c r="BK527" s="58"/>
      <c r="BL527" s="58"/>
      <c r="BM527" s="58"/>
      <c r="BN527" s="58" t="s">
        <v>2537</v>
      </c>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c r="CU527" s="58"/>
      <c r="CV527" s="58"/>
      <c r="CW527" s="58"/>
      <c r="CX527" s="58"/>
      <c r="CY527" s="58"/>
      <c r="CZ527" s="58"/>
      <c r="DA527" s="58"/>
      <c r="DB527" s="58"/>
      <c r="DC527" s="58"/>
      <c r="DD527" s="58"/>
      <c r="DE527" s="58"/>
      <c r="DF527" s="58"/>
    </row>
    <row r="528" spans="2:110" ht="12.95" customHeight="1">
      <c r="B528" s="2128"/>
      <c r="C528" s="2129"/>
      <c r="D528" s="2129"/>
      <c r="E528" s="2129"/>
      <c r="F528" s="2129"/>
      <c r="G528" s="2129"/>
      <c r="H528" s="2130"/>
      <c r="I528" s="25" t="s">
        <v>422</v>
      </c>
      <c r="J528" s="25"/>
      <c r="K528" s="25"/>
      <c r="L528" s="25"/>
      <c r="M528" s="25"/>
      <c r="N528" s="25"/>
      <c r="O528" s="25"/>
      <c r="P528" s="25"/>
      <c r="Q528" s="25"/>
      <c r="R528" s="25"/>
      <c r="S528" s="25"/>
      <c r="T528" s="25"/>
      <c r="U528" s="25"/>
      <c r="V528" s="25"/>
      <c r="W528" s="25"/>
      <c r="X528" s="25"/>
      <c r="Y528" s="25"/>
      <c r="AC528" s="2099">
        <v>11</v>
      </c>
      <c r="AD528" s="2100"/>
      <c r="AE528" s="2100"/>
      <c r="AF528" s="2100"/>
      <c r="AG528" s="75" t="s">
        <v>404</v>
      </c>
      <c r="AH528" s="2080">
        <v>2022</v>
      </c>
      <c r="AI528" s="2080"/>
      <c r="AJ528" s="2080"/>
      <c r="AK528" s="2081"/>
      <c r="AZ528" s="58"/>
      <c r="BA528" s="58"/>
      <c r="BB528" s="58"/>
      <c r="BC528" s="58"/>
      <c r="BD528" s="58"/>
      <c r="BE528" s="58"/>
      <c r="BF528" s="58"/>
      <c r="BG528" s="58"/>
      <c r="BH528" s="58"/>
      <c r="BI528" s="58"/>
      <c r="BJ528" s="58"/>
      <c r="BK528" s="58"/>
      <c r="BL528" s="58"/>
      <c r="BM528" s="58"/>
      <c r="BN528" s="58" t="s">
        <v>2538</v>
      </c>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c r="CU528" s="58"/>
      <c r="CV528" s="58"/>
      <c r="CW528" s="58"/>
      <c r="CX528" s="58"/>
      <c r="CY528" s="58"/>
      <c r="CZ528" s="58"/>
      <c r="DA528" s="58"/>
      <c r="DB528" s="58"/>
      <c r="DC528" s="58"/>
      <c r="DD528" s="58"/>
      <c r="DE528" s="58"/>
      <c r="DF528" s="58"/>
    </row>
    <row r="529" spans="1:110" ht="12.95" customHeight="1">
      <c r="B529" s="2128"/>
      <c r="C529" s="2129"/>
      <c r="D529" s="2129"/>
      <c r="E529" s="2129"/>
      <c r="F529" s="2129"/>
      <c r="G529" s="2129"/>
      <c r="H529" s="2130"/>
      <c r="I529" s="80" t="s">
        <v>423</v>
      </c>
      <c r="J529" s="80"/>
      <c r="K529" s="80"/>
      <c r="L529" s="80"/>
      <c r="M529" s="80"/>
      <c r="N529" s="80"/>
      <c r="O529" s="80"/>
      <c r="P529" s="80"/>
      <c r="Q529" s="80"/>
      <c r="R529" s="80"/>
      <c r="S529" s="80"/>
      <c r="T529" s="80"/>
      <c r="U529" s="80"/>
      <c r="V529" s="80"/>
      <c r="W529" s="80"/>
      <c r="X529" s="80"/>
      <c r="Y529" s="80"/>
      <c r="Z529" s="80"/>
      <c r="AA529" s="80"/>
      <c r="AB529" s="80"/>
      <c r="AC529" s="2099">
        <v>2</v>
      </c>
      <c r="AD529" s="2100"/>
      <c r="AE529" s="2100"/>
      <c r="AF529" s="2100"/>
      <c r="AG529" s="65" t="s">
        <v>404</v>
      </c>
      <c r="AH529" s="2080">
        <v>2023</v>
      </c>
      <c r="AI529" s="2080"/>
      <c r="AJ529" s="2080"/>
      <c r="AK529" s="2081"/>
      <c r="AZ529" s="58"/>
      <c r="BA529" s="58"/>
      <c r="BB529" s="58"/>
      <c r="BC529" s="58"/>
      <c r="BD529" s="58"/>
      <c r="BE529" s="58"/>
      <c r="BF529" s="58"/>
      <c r="BG529" s="58"/>
      <c r="BH529" s="58"/>
      <c r="BI529" s="58"/>
      <c r="BJ529" s="58"/>
      <c r="BK529" s="58"/>
      <c r="BL529" s="58"/>
      <c r="BM529" s="58"/>
      <c r="BN529" s="58" t="s">
        <v>2539</v>
      </c>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c r="CU529" s="58"/>
      <c r="CV529" s="58"/>
      <c r="CW529" s="58"/>
      <c r="CX529" s="58"/>
      <c r="CY529" s="58"/>
      <c r="CZ529" s="58"/>
      <c r="DA529" s="58"/>
      <c r="DB529" s="58"/>
      <c r="DC529" s="58"/>
      <c r="DD529" s="58"/>
      <c r="DE529" s="58"/>
      <c r="DF529" s="58"/>
    </row>
    <row r="530" spans="1:110" ht="12.95" customHeight="1">
      <c r="B530" s="2128"/>
      <c r="C530" s="2129"/>
      <c r="D530" s="2129"/>
      <c r="E530" s="2129"/>
      <c r="F530" s="2129"/>
      <c r="G530" s="2129"/>
      <c r="H530" s="2130"/>
      <c r="I530" s="72" t="s">
        <v>424</v>
      </c>
      <c r="J530" s="72"/>
      <c r="K530" s="72"/>
      <c r="L530" s="72"/>
      <c r="M530" s="72"/>
      <c r="N530" s="72"/>
      <c r="O530" s="2111" t="s">
        <v>2744</v>
      </c>
      <c r="P530" s="2112"/>
      <c r="Q530" s="2112"/>
      <c r="R530" s="2112"/>
      <c r="S530" s="2112"/>
      <c r="T530" s="2112"/>
      <c r="U530" s="2112"/>
      <c r="V530" s="2112"/>
      <c r="W530" s="2112"/>
      <c r="X530" s="2112"/>
      <c r="Y530" s="2112"/>
      <c r="Z530" s="2112"/>
      <c r="AA530" s="2112"/>
      <c r="AC530" s="2099" t="s">
        <v>600</v>
      </c>
      <c r="AD530" s="2100"/>
      <c r="AE530" s="2100"/>
      <c r="AF530" s="2100"/>
      <c r="AG530" s="75" t="s">
        <v>404</v>
      </c>
      <c r="AH530" s="2080"/>
      <c r="AI530" s="2080"/>
      <c r="AJ530" s="2080"/>
      <c r="AK530" s="2081"/>
      <c r="AZ530" s="58"/>
      <c r="BA530" s="58"/>
      <c r="BB530" s="58"/>
      <c r="BC530" s="58"/>
      <c r="BD530" s="58"/>
      <c r="BE530" s="58"/>
      <c r="BF530" s="58"/>
      <c r="BG530" s="58"/>
      <c r="BH530" s="58"/>
      <c r="BI530" s="58"/>
      <c r="BJ530" s="58"/>
      <c r="BK530" s="58"/>
      <c r="BL530" s="58"/>
      <c r="BM530" s="58"/>
      <c r="BN530" s="58" t="s">
        <v>2540</v>
      </c>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c r="CU530" s="58"/>
      <c r="CV530" s="58"/>
      <c r="CW530" s="58"/>
      <c r="CX530" s="58"/>
      <c r="CY530" s="58"/>
      <c r="CZ530" s="58"/>
      <c r="DA530" s="58"/>
      <c r="DB530" s="58"/>
      <c r="DC530" s="58"/>
      <c r="DD530" s="58"/>
      <c r="DE530" s="58"/>
      <c r="DF530" s="58"/>
    </row>
    <row r="531" spans="1:110" ht="12.95" customHeight="1">
      <c r="B531" s="2128"/>
      <c r="C531" s="2129"/>
      <c r="D531" s="2129"/>
      <c r="E531" s="2129"/>
      <c r="F531" s="2129"/>
      <c r="G531" s="2129"/>
      <c r="H531" s="2130"/>
      <c r="I531" s="25" t="s">
        <v>422</v>
      </c>
      <c r="J531" s="25"/>
      <c r="K531" s="25"/>
      <c r="L531" s="25"/>
      <c r="M531" s="25"/>
      <c r="N531" s="25"/>
      <c r="O531" s="25"/>
      <c r="P531" s="25"/>
      <c r="Q531" s="25"/>
      <c r="R531" s="25"/>
      <c r="S531" s="25"/>
      <c r="T531" s="25"/>
      <c r="U531" s="25"/>
      <c r="V531" s="25"/>
      <c r="W531" s="25"/>
      <c r="X531" s="25"/>
      <c r="Y531" s="25"/>
      <c r="AC531" s="2099">
        <v>3</v>
      </c>
      <c r="AD531" s="2100"/>
      <c r="AE531" s="2100"/>
      <c r="AF531" s="2100"/>
      <c r="AG531" s="65" t="s">
        <v>404</v>
      </c>
      <c r="AH531" s="2080">
        <v>2023</v>
      </c>
      <c r="AI531" s="2080"/>
      <c r="AJ531" s="2080"/>
      <c r="AK531" s="2081"/>
      <c r="AZ531" s="58"/>
      <c r="BA531" s="58"/>
      <c r="BB531" s="58"/>
      <c r="BC531" s="58"/>
      <c r="BD531" s="58"/>
      <c r="BE531" s="58"/>
      <c r="BF531" s="58"/>
      <c r="BG531" s="58"/>
      <c r="BH531" s="58"/>
      <c r="BI531" s="58"/>
      <c r="BJ531" s="58"/>
      <c r="BK531" s="58"/>
      <c r="BL531" s="58"/>
      <c r="BM531" s="58"/>
      <c r="BN531" s="58" t="s">
        <v>2541</v>
      </c>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c r="CU531" s="58"/>
      <c r="CV531" s="58"/>
      <c r="CW531" s="58"/>
      <c r="CX531" s="58"/>
      <c r="CY531" s="58"/>
      <c r="CZ531" s="58"/>
      <c r="DA531" s="58"/>
      <c r="DB531" s="58"/>
      <c r="DC531" s="58"/>
      <c r="DD531" s="58"/>
      <c r="DE531" s="58"/>
      <c r="DF531" s="58"/>
    </row>
    <row r="532" spans="1:110" ht="12.95" customHeight="1">
      <c r="B532" s="2128"/>
      <c r="C532" s="2129"/>
      <c r="D532" s="2129"/>
      <c r="E532" s="2129"/>
      <c r="F532" s="2129"/>
      <c r="G532" s="2129"/>
      <c r="H532" s="2130"/>
      <c r="I532" s="80" t="s">
        <v>423</v>
      </c>
      <c r="J532" s="80"/>
      <c r="K532" s="80"/>
      <c r="L532" s="80"/>
      <c r="M532" s="80"/>
      <c r="N532" s="80"/>
      <c r="O532" s="80"/>
      <c r="P532" s="80"/>
      <c r="Q532" s="80"/>
      <c r="R532" s="80"/>
      <c r="S532" s="80"/>
      <c r="T532" s="80"/>
      <c r="U532" s="80"/>
      <c r="V532" s="80"/>
      <c r="W532" s="80"/>
      <c r="X532" s="80"/>
      <c r="Y532" s="80"/>
      <c r="Z532" s="80"/>
      <c r="AA532" s="80"/>
      <c r="AB532" s="80"/>
      <c r="AC532" s="2099">
        <v>6</v>
      </c>
      <c r="AD532" s="2100"/>
      <c r="AE532" s="2100"/>
      <c r="AF532" s="2100"/>
      <c r="AG532" s="75" t="s">
        <v>404</v>
      </c>
      <c r="AH532" s="2080">
        <v>2023</v>
      </c>
      <c r="AI532" s="2080"/>
      <c r="AJ532" s="2080"/>
      <c r="AK532" s="2081"/>
      <c r="AZ532" s="58"/>
      <c r="BA532" s="58"/>
      <c r="BB532" s="58"/>
      <c r="BC532" s="58"/>
      <c r="BD532" s="58"/>
      <c r="BE532" s="58"/>
      <c r="BF532" s="58"/>
      <c r="BG532" s="58"/>
      <c r="BH532" s="58"/>
      <c r="BI532" s="58"/>
      <c r="BJ532" s="58"/>
      <c r="BK532" s="58"/>
      <c r="BL532" s="58"/>
      <c r="BM532" s="58"/>
      <c r="BN532" s="58" t="s">
        <v>2542</v>
      </c>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c r="CU532" s="58"/>
      <c r="CV532" s="58"/>
      <c r="CW532" s="58"/>
      <c r="CX532" s="58"/>
      <c r="CY532" s="58"/>
      <c r="CZ532" s="58"/>
      <c r="DA532" s="58"/>
      <c r="DB532" s="58"/>
      <c r="DC532" s="58"/>
      <c r="DD532" s="58"/>
      <c r="DE532" s="58"/>
      <c r="DF532" s="58"/>
    </row>
    <row r="533" spans="1:110" ht="12.95" customHeight="1">
      <c r="B533" s="2128"/>
      <c r="C533" s="2129"/>
      <c r="D533" s="2129"/>
      <c r="E533" s="2129"/>
      <c r="F533" s="2129"/>
      <c r="G533" s="2129"/>
      <c r="H533" s="2130"/>
      <c r="I533" s="72" t="s">
        <v>424</v>
      </c>
      <c r="J533" s="72"/>
      <c r="K533" s="72"/>
      <c r="L533" s="72"/>
      <c r="M533" s="72"/>
      <c r="N533" s="72"/>
      <c r="O533" s="2111" t="s">
        <v>335</v>
      </c>
      <c r="P533" s="2112"/>
      <c r="Q533" s="2112"/>
      <c r="R533" s="2112"/>
      <c r="S533" s="2112"/>
      <c r="T533" s="2112"/>
      <c r="U533" s="2112"/>
      <c r="V533" s="2112"/>
      <c r="W533" s="2112"/>
      <c r="X533" s="2112"/>
      <c r="Y533" s="2112"/>
      <c r="Z533" s="2112"/>
      <c r="AA533" s="2112"/>
      <c r="AC533" s="2099" t="s">
        <v>600</v>
      </c>
      <c r="AD533" s="2100"/>
      <c r="AE533" s="2100"/>
      <c r="AF533" s="2100"/>
      <c r="AG533" s="65" t="s">
        <v>404</v>
      </c>
      <c r="AH533" s="2080"/>
      <c r="AI533" s="2080"/>
      <c r="AJ533" s="2080"/>
      <c r="AK533" s="2081"/>
      <c r="AZ533" s="58"/>
      <c r="BA533" s="58"/>
      <c r="BB533" s="58"/>
      <c r="BC533" s="58"/>
      <c r="BD533" s="58"/>
      <c r="BE533" s="58"/>
      <c r="BF533" s="58"/>
      <c r="BG533" s="58"/>
      <c r="BH533" s="58"/>
      <c r="BI533" s="58"/>
      <c r="BJ533" s="58"/>
      <c r="BK533" s="58"/>
      <c r="BL533" s="58"/>
      <c r="BM533" s="58"/>
      <c r="BN533" s="58" t="s">
        <v>2543</v>
      </c>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c r="CU533" s="58"/>
      <c r="CV533" s="58"/>
      <c r="CW533" s="58"/>
      <c r="CX533" s="58"/>
      <c r="CY533" s="58"/>
      <c r="CZ533" s="58"/>
      <c r="DA533" s="58"/>
      <c r="DB533" s="58"/>
      <c r="DC533" s="58"/>
      <c r="DD533" s="58"/>
      <c r="DE533" s="58"/>
      <c r="DF533" s="58"/>
    </row>
    <row r="534" spans="1:110" ht="12.95" customHeight="1">
      <c r="B534" s="2128"/>
      <c r="C534" s="2129"/>
      <c r="D534" s="2129"/>
      <c r="E534" s="2129"/>
      <c r="F534" s="2129"/>
      <c r="G534" s="2129"/>
      <c r="H534" s="2130"/>
      <c r="I534" s="25" t="s">
        <v>422</v>
      </c>
      <c r="J534" s="25"/>
      <c r="K534" s="25"/>
      <c r="L534" s="25"/>
      <c r="M534" s="25"/>
      <c r="N534" s="25"/>
      <c r="O534" s="25"/>
      <c r="P534" s="25"/>
      <c r="Q534" s="25"/>
      <c r="R534" s="25"/>
      <c r="S534" s="25"/>
      <c r="T534" s="25"/>
      <c r="U534" s="25"/>
      <c r="V534" s="25"/>
      <c r="W534" s="25"/>
      <c r="X534" s="25"/>
      <c r="Y534" s="25"/>
      <c r="AC534" s="2099" t="s">
        <v>600</v>
      </c>
      <c r="AD534" s="2100"/>
      <c r="AE534" s="2100"/>
      <c r="AF534" s="2100"/>
      <c r="AG534" s="75" t="s">
        <v>404</v>
      </c>
      <c r="AH534" s="2080"/>
      <c r="AI534" s="2080"/>
      <c r="AJ534" s="2080"/>
      <c r="AK534" s="2081"/>
      <c r="AZ534" s="58"/>
      <c r="BA534" s="58"/>
      <c r="BB534" s="58"/>
      <c r="BC534" s="58"/>
      <c r="BD534" s="58"/>
      <c r="BE534" s="58"/>
      <c r="BF534" s="58"/>
      <c r="BG534" s="58"/>
      <c r="BH534" s="58"/>
      <c r="BI534" s="58"/>
      <c r="BJ534" s="58"/>
      <c r="BK534" s="58"/>
      <c r="BL534" s="58"/>
      <c r="BM534" s="58"/>
      <c r="BN534" s="58" t="s">
        <v>2544</v>
      </c>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c r="CU534" s="58"/>
      <c r="CV534" s="58"/>
      <c r="CW534" s="58"/>
      <c r="CX534" s="58"/>
      <c r="CY534" s="58"/>
      <c r="CZ534" s="58"/>
      <c r="DA534" s="58"/>
      <c r="DB534" s="58"/>
      <c r="DC534" s="58"/>
      <c r="DD534" s="58"/>
      <c r="DE534" s="58"/>
      <c r="DF534" s="58"/>
    </row>
    <row r="535" spans="1:110" ht="12.95" customHeight="1">
      <c r="B535" s="2128"/>
      <c r="C535" s="2129"/>
      <c r="D535" s="2129"/>
      <c r="E535" s="2129"/>
      <c r="F535" s="2129"/>
      <c r="G535" s="2129"/>
      <c r="H535" s="2130"/>
      <c r="I535" s="80" t="s">
        <v>423</v>
      </c>
      <c r="J535" s="80"/>
      <c r="K535" s="80"/>
      <c r="L535" s="80"/>
      <c r="M535" s="80"/>
      <c r="N535" s="80"/>
      <c r="O535" s="80"/>
      <c r="P535" s="80"/>
      <c r="Q535" s="80"/>
      <c r="R535" s="80"/>
      <c r="S535" s="80"/>
      <c r="T535" s="80"/>
      <c r="U535" s="80"/>
      <c r="V535" s="80"/>
      <c r="W535" s="80"/>
      <c r="X535" s="80"/>
      <c r="Y535" s="80"/>
      <c r="Z535" s="80"/>
      <c r="AA535" s="80"/>
      <c r="AB535" s="80"/>
      <c r="AC535" s="2099" t="s">
        <v>600</v>
      </c>
      <c r="AD535" s="2100"/>
      <c r="AE535" s="2100"/>
      <c r="AF535" s="2100"/>
      <c r="AG535" s="65" t="s">
        <v>404</v>
      </c>
      <c r="AH535" s="2080"/>
      <c r="AI535" s="2080"/>
      <c r="AJ535" s="2080"/>
      <c r="AK535" s="2081"/>
      <c r="AZ535" s="58"/>
      <c r="BA535" s="58"/>
      <c r="BB535" s="58"/>
      <c r="BC535" s="58"/>
      <c r="BD535" s="58"/>
      <c r="BE535" s="58"/>
      <c r="BF535" s="58"/>
      <c r="BG535" s="58"/>
      <c r="BH535" s="58"/>
      <c r="BI535" s="58"/>
      <c r="BJ535" s="58"/>
      <c r="BK535" s="58"/>
      <c r="BL535" s="58"/>
      <c r="BM535" s="58"/>
      <c r="BN535" s="58" t="s">
        <v>2545</v>
      </c>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c r="CU535" s="58"/>
      <c r="CV535" s="58"/>
      <c r="CW535" s="58"/>
      <c r="CX535" s="58"/>
      <c r="CY535" s="58"/>
      <c r="CZ535" s="58"/>
      <c r="DA535" s="58"/>
      <c r="DB535" s="58"/>
      <c r="DC535" s="58"/>
      <c r="DD535" s="58"/>
      <c r="DE535" s="58"/>
      <c r="DF535" s="58"/>
    </row>
    <row r="536" spans="1:110" ht="12.95" customHeight="1">
      <c r="B536" s="2128"/>
      <c r="C536" s="2129"/>
      <c r="D536" s="2129"/>
      <c r="E536" s="2129"/>
      <c r="F536" s="2129"/>
      <c r="G536" s="2129"/>
      <c r="H536" s="2130"/>
      <c r="I536" s="72" t="s">
        <v>571</v>
      </c>
      <c r="J536" s="72"/>
      <c r="K536" s="72"/>
      <c r="L536" s="72"/>
      <c r="M536" s="72"/>
      <c r="N536" s="72"/>
      <c r="O536" s="72"/>
      <c r="P536" s="72"/>
      <c r="Q536" s="72"/>
      <c r="R536" s="72"/>
      <c r="S536" s="72"/>
      <c r="T536" s="72"/>
      <c r="U536" s="72"/>
      <c r="V536" s="72"/>
      <c r="W536" s="72"/>
      <c r="X536" s="25"/>
      <c r="Y536" s="25"/>
      <c r="AC536" s="2099">
        <v>11</v>
      </c>
      <c r="AD536" s="2100"/>
      <c r="AE536" s="2100"/>
      <c r="AF536" s="2100"/>
      <c r="AG536" s="65" t="s">
        <v>404</v>
      </c>
      <c r="AH536" s="2080">
        <v>2023</v>
      </c>
      <c r="AI536" s="2080"/>
      <c r="AJ536" s="2080"/>
      <c r="AK536" s="2081"/>
      <c r="AZ536" s="58"/>
      <c r="BA536" s="58"/>
      <c r="BB536" s="58"/>
      <c r="BC536" s="58"/>
      <c r="BD536" s="58"/>
      <c r="BE536" s="58"/>
      <c r="BF536" s="58"/>
      <c r="BG536" s="58"/>
      <c r="BH536" s="58"/>
      <c r="BI536" s="58"/>
      <c r="BJ536" s="58"/>
      <c r="BK536" s="58"/>
      <c r="BL536" s="58"/>
      <c r="BM536" s="58"/>
      <c r="BN536" s="58" t="s">
        <v>2546</v>
      </c>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c r="CU536" s="58"/>
      <c r="CV536" s="58"/>
      <c r="CW536" s="58"/>
      <c r="CX536" s="58"/>
      <c r="CY536" s="58"/>
      <c r="CZ536" s="58"/>
      <c r="DA536" s="58"/>
      <c r="DB536" s="58"/>
      <c r="DC536" s="58"/>
      <c r="DD536" s="58"/>
      <c r="DE536" s="58"/>
      <c r="DF536" s="58"/>
    </row>
    <row r="537" spans="1:110" ht="12.95" customHeight="1">
      <c r="B537" s="2128"/>
      <c r="C537" s="2129"/>
      <c r="D537" s="2129"/>
      <c r="E537" s="2129"/>
      <c r="F537" s="2129"/>
      <c r="G537" s="2129"/>
      <c r="H537" s="2130"/>
      <c r="I537" s="25" t="s">
        <v>572</v>
      </c>
      <c r="J537" s="25"/>
      <c r="K537" s="25"/>
      <c r="L537" s="25"/>
      <c r="M537" s="25"/>
      <c r="N537" s="25"/>
      <c r="O537" s="25"/>
      <c r="P537" s="25"/>
      <c r="Q537" s="25"/>
      <c r="R537" s="25"/>
      <c r="S537" s="25"/>
      <c r="T537" s="25"/>
      <c r="U537" s="25"/>
      <c r="V537" s="25"/>
      <c r="W537" s="25"/>
      <c r="X537" s="25"/>
      <c r="Y537" s="25"/>
      <c r="AC537" s="2099">
        <v>12</v>
      </c>
      <c r="AD537" s="2100"/>
      <c r="AE537" s="2100"/>
      <c r="AF537" s="2100"/>
      <c r="AG537" s="75" t="s">
        <v>404</v>
      </c>
      <c r="AH537" s="2080">
        <v>2023</v>
      </c>
      <c r="AI537" s="2080"/>
      <c r="AJ537" s="2080"/>
      <c r="AK537" s="208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c r="CU537" s="58"/>
      <c r="CV537" s="58"/>
      <c r="CW537" s="58"/>
      <c r="CX537" s="58"/>
      <c r="CY537" s="58"/>
      <c r="CZ537" s="58"/>
      <c r="DA537" s="58"/>
      <c r="DB537" s="58"/>
      <c r="DC537" s="58"/>
      <c r="DD537" s="58"/>
      <c r="DE537" s="58"/>
      <c r="DF537" s="58"/>
    </row>
    <row r="538" spans="1:110" ht="12.95" customHeight="1">
      <c r="B538" s="2128"/>
      <c r="C538" s="2129"/>
      <c r="D538" s="2129"/>
      <c r="E538" s="2129"/>
      <c r="F538" s="2129"/>
      <c r="G538" s="2129"/>
      <c r="H538" s="2130"/>
      <c r="I538" s="25" t="s">
        <v>573</v>
      </c>
      <c r="J538" s="25"/>
      <c r="K538" s="25"/>
      <c r="L538" s="25"/>
      <c r="M538" s="25"/>
      <c r="N538" s="25"/>
      <c r="O538" s="25"/>
      <c r="P538" s="25"/>
      <c r="Q538" s="25"/>
      <c r="R538" s="25"/>
      <c r="S538" s="25"/>
      <c r="T538" s="25"/>
      <c r="U538" s="25"/>
      <c r="V538" s="25"/>
      <c r="W538" s="25"/>
      <c r="X538" s="25"/>
      <c r="Y538" s="25"/>
      <c r="AC538" s="2099">
        <v>8</v>
      </c>
      <c r="AD538" s="2100"/>
      <c r="AE538" s="2100"/>
      <c r="AF538" s="2100"/>
      <c r="AG538" s="65" t="s">
        <v>404</v>
      </c>
      <c r="AH538" s="2080">
        <v>2025</v>
      </c>
      <c r="AI538" s="2080"/>
      <c r="AJ538" s="2080"/>
      <c r="AK538" s="208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1:110" ht="12.95" customHeight="1">
      <c r="B539" s="2128"/>
      <c r="C539" s="2129"/>
      <c r="D539" s="2129"/>
      <c r="E539" s="2129"/>
      <c r="F539" s="2129"/>
      <c r="G539" s="2129"/>
      <c r="H539" s="2130"/>
      <c r="I539" s="25" t="s">
        <v>574</v>
      </c>
      <c r="J539" s="25"/>
      <c r="K539" s="25"/>
      <c r="L539" s="25"/>
      <c r="M539" s="25"/>
      <c r="N539" s="25"/>
      <c r="O539" s="25"/>
      <c r="P539" s="25"/>
      <c r="Q539" s="25"/>
      <c r="R539" s="25"/>
      <c r="S539" s="25"/>
      <c r="T539" s="25"/>
      <c r="U539" s="25"/>
      <c r="V539" s="25"/>
      <c r="W539" s="25"/>
      <c r="X539" s="25"/>
      <c r="Y539" s="25"/>
      <c r="AC539" s="2099">
        <v>8</v>
      </c>
      <c r="AD539" s="2100"/>
      <c r="AE539" s="2100"/>
      <c r="AF539" s="2100"/>
      <c r="AG539" s="65" t="s">
        <v>404</v>
      </c>
      <c r="AH539" s="2080">
        <v>2025</v>
      </c>
      <c r="AI539" s="2080"/>
      <c r="AJ539" s="2080"/>
      <c r="AK539" s="208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1:110" ht="12.95" customHeight="1">
      <c r="B540" s="2131"/>
      <c r="C540" s="2132"/>
      <c r="D540" s="2132"/>
      <c r="E540" s="2132"/>
      <c r="F540" s="2132"/>
      <c r="G540" s="2132"/>
      <c r="H540" s="2133"/>
      <c r="I540" s="80" t="s">
        <v>460</v>
      </c>
      <c r="J540" s="80"/>
      <c r="K540" s="80"/>
      <c r="L540" s="80"/>
      <c r="M540" s="80"/>
      <c r="N540" s="80"/>
      <c r="O540" s="80"/>
      <c r="P540" s="80"/>
      <c r="Q540" s="80"/>
      <c r="R540" s="80"/>
      <c r="S540" s="80"/>
      <c r="T540" s="80"/>
      <c r="U540" s="80"/>
      <c r="V540" s="80"/>
      <c r="W540" s="80"/>
      <c r="X540" s="80"/>
      <c r="Y540" s="80"/>
      <c r="Z540" s="80"/>
      <c r="AA540" s="80"/>
      <c r="AB540" s="80"/>
      <c r="AC540" s="2099">
        <v>11</v>
      </c>
      <c r="AD540" s="2100"/>
      <c r="AE540" s="2100"/>
      <c r="AF540" s="2100"/>
      <c r="AG540" s="65" t="s">
        <v>404</v>
      </c>
      <c r="AH540" s="2080">
        <v>2025</v>
      </c>
      <c r="AI540" s="2080"/>
      <c r="AJ540" s="2080"/>
      <c r="AK540" s="208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1:110" ht="12.95" customHeight="1">
      <c r="B541" s="898"/>
      <c r="C541" s="197"/>
      <c r="D541" s="197"/>
      <c r="E541" s="197"/>
      <c r="F541" s="197"/>
      <c r="G541" s="197"/>
      <c r="H541" s="197"/>
      <c r="I541" s="25"/>
      <c r="J541" s="25"/>
      <c r="K541" s="25"/>
      <c r="L541" s="25"/>
      <c r="M541" s="25"/>
      <c r="N541" s="25"/>
      <c r="O541" s="25"/>
      <c r="P541" s="25"/>
      <c r="Q541" s="25"/>
      <c r="R541" s="25"/>
      <c r="S541" s="25"/>
      <c r="T541" s="25"/>
      <c r="U541" s="25"/>
      <c r="V541" s="25"/>
      <c r="W541" s="25"/>
      <c r="X541" s="25"/>
      <c r="Y541" s="25"/>
      <c r="Z541" s="25"/>
      <c r="AA541" s="25"/>
      <c r="AB541" s="197"/>
      <c r="AC541" s="25"/>
      <c r="AD541" s="25"/>
      <c r="AE541" s="25"/>
      <c r="AF541" s="25"/>
      <c r="AG541" s="25"/>
      <c r="AH541" s="25"/>
      <c r="AI541" s="25"/>
      <c r="AJ541" s="25"/>
      <c r="AK541" s="25"/>
      <c r="AL541" s="25"/>
      <c r="AM541" s="670"/>
      <c r="AN541" s="670"/>
      <c r="AO541" s="670"/>
      <c r="AP541" s="670"/>
      <c r="AQ541" s="670"/>
      <c r="AR541" s="670"/>
      <c r="AS541" s="670"/>
      <c r="AT541" s="670"/>
      <c r="AU541" s="670"/>
      <c r="AV541" s="670"/>
      <c r="AW541" s="670"/>
      <c r="AX541" s="670"/>
      <c r="AY541" s="670"/>
      <c r="BB541" s="58"/>
      <c r="BC541" s="58"/>
      <c r="BD541" s="58"/>
      <c r="BE541" s="58"/>
      <c r="BF541" s="58"/>
      <c r="BG541" s="58"/>
      <c r="BH541" s="58" t="s">
        <v>113</v>
      </c>
      <c r="BI541" s="58" t="str">
        <f>N645</f>
        <v>Yes</v>
      </c>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1:110" ht="12.95" customHeight="1">
      <c r="A542" s="1930" t="s">
        <v>552</v>
      </c>
      <c r="B542" s="1930"/>
      <c r="C542" s="1930"/>
      <c r="D542" s="1930"/>
      <c r="E542" s="1930"/>
      <c r="F542" s="1930"/>
      <c r="G542" s="1930"/>
      <c r="H542" s="1930"/>
      <c r="I542" s="1930"/>
      <c r="J542" s="1930"/>
      <c r="K542" s="1930"/>
      <c r="L542" s="1930"/>
      <c r="M542" s="1930"/>
      <c r="N542" s="1930"/>
      <c r="O542" s="1930"/>
      <c r="P542" s="1930"/>
      <c r="Q542" s="1930"/>
      <c r="R542" s="1930"/>
      <c r="S542" s="1930"/>
      <c r="T542" s="1930"/>
      <c r="U542" s="1930"/>
      <c r="V542" s="1930"/>
      <c r="W542" s="1930"/>
      <c r="X542" s="1930"/>
      <c r="Y542" s="1930"/>
      <c r="Z542" s="1930"/>
      <c r="AA542" s="1930"/>
      <c r="AB542" s="1930"/>
      <c r="AC542" s="1930"/>
      <c r="AD542" s="1930"/>
      <c r="AE542" s="1930"/>
      <c r="AF542" s="1930"/>
      <c r="AG542" s="1930"/>
      <c r="AH542" s="1930"/>
      <c r="AI542" s="1930"/>
      <c r="AJ542" s="1930"/>
      <c r="AK542" s="1930"/>
      <c r="AL542" s="1930"/>
      <c r="AM542" s="1930"/>
      <c r="AN542" s="1930"/>
      <c r="AO542" s="1930"/>
      <c r="AP542" s="1930"/>
      <c r="AQ542" s="1930"/>
      <c r="AR542" s="1930"/>
      <c r="AS542" s="1930"/>
      <c r="AT542" s="1414"/>
      <c r="AU542" s="1414"/>
      <c r="AV542" s="1414"/>
      <c r="AW542" s="1414"/>
      <c r="AX542" s="1414"/>
      <c r="AY542" s="1414"/>
      <c r="BB542" s="58"/>
      <c r="BC542" s="58"/>
      <c r="BD542" s="58"/>
      <c r="BE542" s="58"/>
      <c r="BF542" s="58"/>
      <c r="BG542" s="58"/>
      <c r="BH542" s="58" t="s">
        <v>114</v>
      </c>
      <c r="BI542" s="58" t="str">
        <f>AG645</f>
        <v>Yes</v>
      </c>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1:110" ht="12.95" customHeight="1">
      <c r="A543" s="1930"/>
      <c r="B543" s="1930"/>
      <c r="C543" s="1930"/>
      <c r="D543" s="1930"/>
      <c r="E543" s="1930"/>
      <c r="F543" s="1930"/>
      <c r="G543" s="1930"/>
      <c r="H543" s="1930"/>
      <c r="I543" s="1930"/>
      <c r="J543" s="1930"/>
      <c r="K543" s="1930"/>
      <c r="L543" s="1930"/>
      <c r="M543" s="1930"/>
      <c r="N543" s="1930"/>
      <c r="O543" s="1930"/>
      <c r="P543" s="1930"/>
      <c r="Q543" s="1930"/>
      <c r="R543" s="1930"/>
      <c r="S543" s="1930"/>
      <c r="T543" s="1930"/>
      <c r="U543" s="1930"/>
      <c r="V543" s="1930"/>
      <c r="W543" s="1930"/>
      <c r="X543" s="1930"/>
      <c r="Y543" s="1930"/>
      <c r="Z543" s="1930"/>
      <c r="AA543" s="1930"/>
      <c r="AB543" s="1930"/>
      <c r="AC543" s="1930"/>
      <c r="AD543" s="1930"/>
      <c r="AE543" s="1930"/>
      <c r="AF543" s="1930"/>
      <c r="AG543" s="1930"/>
      <c r="AH543" s="1930"/>
      <c r="AI543" s="1930"/>
      <c r="AJ543" s="1930"/>
      <c r="AK543" s="1930"/>
      <c r="AL543" s="1930"/>
      <c r="AM543" s="1930"/>
      <c r="AN543" s="1930"/>
      <c r="AO543" s="1930"/>
      <c r="AP543" s="1930"/>
      <c r="AQ543" s="1930"/>
      <c r="AR543" s="1930"/>
      <c r="AS543" s="1930"/>
      <c r="AT543" s="1414"/>
      <c r="AU543" s="1414"/>
      <c r="AV543" s="1414"/>
      <c r="AW543" s="1414"/>
      <c r="AX543" s="1414"/>
      <c r="AY543" s="1414"/>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1:110" ht="12.95" customHeight="1">
      <c r="A544" s="25"/>
      <c r="B544" s="25"/>
      <c r="C544" s="25"/>
      <c r="D544" s="25"/>
      <c r="E544" s="25"/>
      <c r="F544" s="25"/>
      <c r="G544" s="3"/>
      <c r="H544" s="25"/>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5" customHeight="1">
      <c r="A545" s="50" t="s">
        <v>320</v>
      </c>
      <c r="B545" s="50"/>
      <c r="C545" s="50" t="s">
        <v>461</v>
      </c>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5" customHeight="1">
      <c r="A546" s="50"/>
      <c r="B546" s="50"/>
      <c r="C546" s="50"/>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5" customHeight="1">
      <c r="A547" s="50"/>
      <c r="B547" s="50"/>
      <c r="C547" s="50"/>
      <c r="D547" s="49" t="s">
        <v>2518</v>
      </c>
      <c r="AC547" s="1847"/>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5" customHeight="1">
      <c r="B548" s="893"/>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38.25" customHeight="1">
      <c r="B549" s="2096" t="s">
        <v>2520</v>
      </c>
      <c r="C549" s="2097"/>
      <c r="D549" s="2097"/>
      <c r="E549" s="2097"/>
      <c r="F549" s="2097"/>
      <c r="G549" s="2097"/>
      <c r="H549" s="2097"/>
      <c r="I549" s="2097"/>
      <c r="J549" s="2097"/>
      <c r="K549" s="2097"/>
      <c r="L549" s="2098"/>
      <c r="M549" s="2240" t="s">
        <v>2521</v>
      </c>
      <c r="N549" s="2240"/>
      <c r="O549" s="2240"/>
      <c r="P549" s="2240"/>
      <c r="Q549" s="2096" t="s">
        <v>2547</v>
      </c>
      <c r="R549" s="2097"/>
      <c r="S549" s="2098"/>
      <c r="T549" s="2096" t="s">
        <v>2548</v>
      </c>
      <c r="U549" s="2097"/>
      <c r="V549" s="2098"/>
      <c r="W549" s="2096" t="s">
        <v>462</v>
      </c>
      <c r="X549" s="2097"/>
      <c r="Y549" s="2098"/>
      <c r="Z549" s="2096" t="s">
        <v>2108</v>
      </c>
      <c r="AA549" s="2097"/>
      <c r="AB549" s="2097"/>
      <c r="AC549" s="2097"/>
      <c r="AD549" s="2097"/>
      <c r="AE549" s="2096" t="s">
        <v>1929</v>
      </c>
      <c r="AF549" s="2097"/>
      <c r="AG549" s="2097"/>
      <c r="AH549" s="2098"/>
      <c r="AI549" s="2096" t="s">
        <v>1930</v>
      </c>
      <c r="AJ549" s="2097"/>
      <c r="AK549" s="2097"/>
      <c r="AL549" s="2098"/>
      <c r="AM549" s="2096" t="s">
        <v>463</v>
      </c>
      <c r="AN549" s="2097"/>
      <c r="AO549" s="2097"/>
      <c r="AP549" s="2097"/>
      <c r="AQ549" s="2097"/>
      <c r="AR549" s="2097"/>
      <c r="AS549" s="2098"/>
      <c r="BB549" s="58"/>
      <c r="BC549" s="58"/>
      <c r="BD549" s="58"/>
      <c r="BE549" s="58"/>
      <c r="BF549" s="58"/>
      <c r="BG549" s="58"/>
      <c r="BH549" s="58" t="s">
        <v>120</v>
      </c>
      <c r="BI549" s="58" t="str">
        <f>N653</f>
        <v>Yes</v>
      </c>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ustomHeight="1">
      <c r="B550" s="83" t="s">
        <v>113</v>
      </c>
      <c r="C550" s="2241" t="s">
        <v>2721</v>
      </c>
      <c r="D550" s="2241"/>
      <c r="E550" s="2241"/>
      <c r="F550" s="2241"/>
      <c r="G550" s="2241"/>
      <c r="H550" s="2241"/>
      <c r="I550" s="2241"/>
      <c r="J550" s="2241"/>
      <c r="K550" s="2241"/>
      <c r="L550" s="2241"/>
      <c r="M550" s="2241" t="s">
        <v>2537</v>
      </c>
      <c r="N550" s="2241"/>
      <c r="O550" s="2241"/>
      <c r="P550" s="2241"/>
      <c r="Q550" s="2152">
        <v>30</v>
      </c>
      <c r="R550" s="2152"/>
      <c r="S550" s="2153"/>
      <c r="T550" s="2151"/>
      <c r="U550" s="2152"/>
      <c r="V550" s="2153"/>
      <c r="W550" s="2173">
        <v>5.8500000000000003E-2</v>
      </c>
      <c r="X550" s="2174"/>
      <c r="Y550" s="2175"/>
      <c r="Z550" s="2194" t="s">
        <v>2727</v>
      </c>
      <c r="AA550" s="2194"/>
      <c r="AB550" s="2194"/>
      <c r="AC550" s="2194"/>
      <c r="AD550" s="2194"/>
      <c r="AE550" s="2108">
        <v>1</v>
      </c>
      <c r="AF550" s="2109"/>
      <c r="AG550" s="2109"/>
      <c r="AH550" s="2110"/>
      <c r="AI550" s="2183"/>
      <c r="AJ550" s="2184"/>
      <c r="AK550" s="2184"/>
      <c r="AL550" s="2185"/>
      <c r="AM550" s="2070">
        <v>22287091</v>
      </c>
      <c r="AN550" s="2071"/>
      <c r="AO550" s="2071"/>
      <c r="AP550" s="2071"/>
      <c r="AQ550" s="2071"/>
      <c r="AR550" s="2071"/>
      <c r="AS550" s="2072"/>
      <c r="AT550" s="1846"/>
      <c r="BB550" s="58"/>
      <c r="BC550" s="58"/>
      <c r="BD550" s="58"/>
      <c r="BE550" s="58"/>
      <c r="BF550" s="58"/>
      <c r="BG550" s="58"/>
      <c r="BH550" s="58" t="s">
        <v>590</v>
      </c>
      <c r="BI550" s="58" t="str">
        <f>AG653</f>
        <v>No</v>
      </c>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5" customHeight="1">
      <c r="B551" s="84" t="s">
        <v>114</v>
      </c>
      <c r="C551" s="2242" t="s">
        <v>2722</v>
      </c>
      <c r="D551" s="2242"/>
      <c r="E551" s="2242"/>
      <c r="F551" s="2242"/>
      <c r="G551" s="2242"/>
      <c r="H551" s="2242"/>
      <c r="I551" s="2242"/>
      <c r="J551" s="2242"/>
      <c r="K551" s="2242"/>
      <c r="L551" s="2242"/>
      <c r="M551" s="2241" t="s">
        <v>2536</v>
      </c>
      <c r="N551" s="2241"/>
      <c r="O551" s="2241"/>
      <c r="P551" s="2241"/>
      <c r="Q551" s="2151">
        <v>30</v>
      </c>
      <c r="R551" s="2152"/>
      <c r="S551" s="2153"/>
      <c r="T551" s="2151"/>
      <c r="U551" s="2152"/>
      <c r="V551" s="2153"/>
      <c r="W551" s="2173">
        <v>4.4999999999999998E-2</v>
      </c>
      <c r="X551" s="2174"/>
      <c r="Y551" s="2175"/>
      <c r="Z551" s="2194" t="s">
        <v>2727</v>
      </c>
      <c r="AA551" s="2194"/>
      <c r="AB551" s="2194"/>
      <c r="AC551" s="2194"/>
      <c r="AD551" s="2194"/>
      <c r="AE551" s="2108">
        <v>2</v>
      </c>
      <c r="AF551" s="2109"/>
      <c r="AG551" s="2109"/>
      <c r="AH551" s="2110"/>
      <c r="AI551" s="2183"/>
      <c r="AJ551" s="2184"/>
      <c r="AK551" s="2184"/>
      <c r="AL551" s="2185"/>
      <c r="AM551" s="2070">
        <v>11345296</v>
      </c>
      <c r="AN551" s="2071"/>
      <c r="AO551" s="2071"/>
      <c r="AP551" s="2071"/>
      <c r="AQ551" s="2071"/>
      <c r="AR551" s="2071"/>
      <c r="AS551" s="2072"/>
      <c r="AT551" s="1846" t="str">
        <f>IF(AND(NOT(C550=""),C551="",NOT(C552="")),"!","")</f>
        <v/>
      </c>
      <c r="AU551" s="1845"/>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5" customHeight="1">
      <c r="B552" s="84" t="s">
        <v>120</v>
      </c>
      <c r="C552" s="2242" t="s">
        <v>2615</v>
      </c>
      <c r="D552" s="2242"/>
      <c r="E552" s="2242"/>
      <c r="F552" s="2242"/>
      <c r="G552" s="2242"/>
      <c r="H552" s="2242"/>
      <c r="I552" s="2242"/>
      <c r="J552" s="2242"/>
      <c r="K552" s="2242"/>
      <c r="L552" s="2242"/>
      <c r="M552" s="2241" t="s">
        <v>2533</v>
      </c>
      <c r="N552" s="2241"/>
      <c r="O552" s="2241"/>
      <c r="P552" s="2241"/>
      <c r="Q552" s="2151">
        <v>30</v>
      </c>
      <c r="R552" s="2152"/>
      <c r="S552" s="2153"/>
      <c r="T552" s="2151"/>
      <c r="U552" s="2152"/>
      <c r="V552" s="2153"/>
      <c r="W552" s="2173">
        <v>0.03</v>
      </c>
      <c r="X552" s="2174"/>
      <c r="Y552" s="2175"/>
      <c r="Z552" s="2194" t="s">
        <v>2728</v>
      </c>
      <c r="AA552" s="2194"/>
      <c r="AB552" s="2194"/>
      <c r="AC552" s="2194"/>
      <c r="AD552" s="2194"/>
      <c r="AE552" s="2108">
        <v>3</v>
      </c>
      <c r="AF552" s="2109"/>
      <c r="AG552" s="2109"/>
      <c r="AH552" s="2110"/>
      <c r="AI552" s="2183"/>
      <c r="AJ552" s="2184"/>
      <c r="AK552" s="2184"/>
      <c r="AL552" s="2185"/>
      <c r="AM552" s="2070">
        <v>4004300</v>
      </c>
      <c r="AN552" s="2071"/>
      <c r="AO552" s="2071"/>
      <c r="AP552" s="2071"/>
      <c r="AQ552" s="2071"/>
      <c r="AR552" s="2071"/>
      <c r="AS552" s="2072"/>
      <c r="AT552" s="1846" t="str">
        <f>IF(AND(NOT(C551=""),C552="",NOT(C553="")),"!","")</f>
        <v/>
      </c>
      <c r="AU552" s="1845"/>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5" customHeight="1">
      <c r="B553" s="84" t="s">
        <v>590</v>
      </c>
      <c r="C553" s="2242" t="s">
        <v>2724</v>
      </c>
      <c r="D553" s="2242"/>
      <c r="E553" s="2242"/>
      <c r="F553" s="2242"/>
      <c r="G553" s="2242"/>
      <c r="H553" s="2242"/>
      <c r="I553" s="2242"/>
      <c r="J553" s="2242"/>
      <c r="K553" s="2242"/>
      <c r="L553" s="2242"/>
      <c r="M553" s="2241" t="s">
        <v>2528</v>
      </c>
      <c r="N553" s="2241"/>
      <c r="O553" s="2241"/>
      <c r="P553" s="2241"/>
      <c r="Q553" s="2151"/>
      <c r="R553" s="2152"/>
      <c r="S553" s="2153"/>
      <c r="T553" s="2151"/>
      <c r="U553" s="2152"/>
      <c r="V553" s="2153"/>
      <c r="W553" s="2173"/>
      <c r="X553" s="2174"/>
      <c r="Y553" s="2175"/>
      <c r="Z553" s="2194" t="s">
        <v>600</v>
      </c>
      <c r="AA553" s="2194"/>
      <c r="AB553" s="2194"/>
      <c r="AC553" s="2194"/>
      <c r="AD553" s="2194"/>
      <c r="AE553" s="2108"/>
      <c r="AF553" s="2109"/>
      <c r="AG553" s="2109"/>
      <c r="AH553" s="2110"/>
      <c r="AI553" s="2183"/>
      <c r="AJ553" s="2184"/>
      <c r="AK553" s="2184"/>
      <c r="AL553" s="2185"/>
      <c r="AM553" s="2070">
        <v>3915795</v>
      </c>
      <c r="AN553" s="2071"/>
      <c r="AO553" s="2071"/>
      <c r="AP553" s="2071"/>
      <c r="AQ553" s="2071"/>
      <c r="AR553" s="2071"/>
      <c r="AS553" s="2072"/>
      <c r="AT553" s="1846" t="str">
        <f>IF(AND(NOT(C552=""),C553="",NOT(C554="")),"!","")</f>
        <v/>
      </c>
      <c r="AU553" s="1845"/>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5" customHeight="1">
      <c r="B554" s="84" t="s">
        <v>787</v>
      </c>
      <c r="C554" s="2242" t="s">
        <v>2744</v>
      </c>
      <c r="D554" s="2242"/>
      <c r="E554" s="2242"/>
      <c r="F554" s="2242"/>
      <c r="G554" s="2242"/>
      <c r="H554" s="2242"/>
      <c r="I554" s="2242"/>
      <c r="J554" s="2242"/>
      <c r="K554" s="2242"/>
      <c r="L554" s="2242"/>
      <c r="M554" s="2241" t="s">
        <v>2533</v>
      </c>
      <c r="N554" s="2241"/>
      <c r="O554" s="2241"/>
      <c r="P554" s="2241"/>
      <c r="Q554" s="2151">
        <v>30</v>
      </c>
      <c r="R554" s="2152"/>
      <c r="S554" s="2153"/>
      <c r="T554" s="2151"/>
      <c r="U554" s="2152"/>
      <c r="V554" s="2153"/>
      <c r="W554" s="2173">
        <v>0.03</v>
      </c>
      <c r="X554" s="2174"/>
      <c r="Y554" s="2175"/>
      <c r="Z554" s="2194" t="s">
        <v>2728</v>
      </c>
      <c r="AA554" s="2194"/>
      <c r="AB554" s="2194"/>
      <c r="AC554" s="2194"/>
      <c r="AD554" s="2194"/>
      <c r="AE554" s="2108">
        <v>4</v>
      </c>
      <c r="AF554" s="2109"/>
      <c r="AG554" s="2109"/>
      <c r="AH554" s="2110"/>
      <c r="AI554" s="2183"/>
      <c r="AJ554" s="2184"/>
      <c r="AK554" s="2184"/>
      <c r="AL554" s="2185"/>
      <c r="AM554" s="2070">
        <v>1035000</v>
      </c>
      <c r="AN554" s="2071"/>
      <c r="AO554" s="2071"/>
      <c r="AP554" s="2071"/>
      <c r="AQ554" s="2071"/>
      <c r="AR554" s="2071"/>
      <c r="AS554" s="2072"/>
      <c r="AT554" s="1846" t="str">
        <f t="shared" ref="AT554:AT561" si="1">IF(AND(NOT(C553=""),C554="",NOT(C555="")),"!","")</f>
        <v/>
      </c>
      <c r="AU554" s="1845"/>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5" customHeight="1">
      <c r="B555" s="84" t="s">
        <v>593</v>
      </c>
      <c r="C555" s="2242" t="s">
        <v>2726</v>
      </c>
      <c r="D555" s="2242"/>
      <c r="E555" s="2242"/>
      <c r="F555" s="2242"/>
      <c r="G555" s="2242"/>
      <c r="H555" s="2242"/>
      <c r="I555" s="2242"/>
      <c r="J555" s="2242"/>
      <c r="K555" s="2242"/>
      <c r="L555" s="2242"/>
      <c r="M555" s="2241" t="s">
        <v>2523</v>
      </c>
      <c r="N555" s="2241"/>
      <c r="O555" s="2241"/>
      <c r="P555" s="2241"/>
      <c r="Q555" s="2151"/>
      <c r="R555" s="2152"/>
      <c r="S555" s="2153"/>
      <c r="T555" s="2151"/>
      <c r="U555" s="2152"/>
      <c r="V555" s="2153"/>
      <c r="W555" s="2173"/>
      <c r="X555" s="2174"/>
      <c r="Y555" s="2175"/>
      <c r="Z555" s="2194" t="s">
        <v>600</v>
      </c>
      <c r="AA555" s="2194"/>
      <c r="AB555" s="2194"/>
      <c r="AC555" s="2194"/>
      <c r="AD555" s="2194"/>
      <c r="AE555" s="2108"/>
      <c r="AF555" s="2109"/>
      <c r="AG555" s="2109"/>
      <c r="AH555" s="2110"/>
      <c r="AI555" s="2183"/>
      <c r="AJ555" s="2184"/>
      <c r="AK555" s="2184"/>
      <c r="AL555" s="2185"/>
      <c r="AM555" s="2070">
        <v>1291392</v>
      </c>
      <c r="AN555" s="2071"/>
      <c r="AO555" s="2071"/>
      <c r="AP555" s="2071"/>
      <c r="AQ555" s="2071"/>
      <c r="AR555" s="2071"/>
      <c r="AS555" s="2072"/>
      <c r="AT555" s="1846" t="str">
        <f t="shared" si="1"/>
        <v/>
      </c>
      <c r="AU555" s="1845"/>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95" customHeight="1">
      <c r="B556" s="84" t="s">
        <v>464</v>
      </c>
      <c r="C556" s="2242" t="s">
        <v>2794</v>
      </c>
      <c r="D556" s="2242"/>
      <c r="E556" s="2242"/>
      <c r="F556" s="2242"/>
      <c r="G556" s="2242"/>
      <c r="H556" s="2242"/>
      <c r="I556" s="2242"/>
      <c r="J556" s="2242"/>
      <c r="K556" s="2242"/>
      <c r="L556" s="2242"/>
      <c r="M556" s="2241" t="s">
        <v>2527</v>
      </c>
      <c r="N556" s="2241"/>
      <c r="O556" s="2241"/>
      <c r="P556" s="2241"/>
      <c r="Q556" s="2151"/>
      <c r="R556" s="2152"/>
      <c r="S556" s="2153"/>
      <c r="T556" s="2151"/>
      <c r="U556" s="2152"/>
      <c r="V556" s="2153"/>
      <c r="W556" s="2173"/>
      <c r="X556" s="2174"/>
      <c r="Y556" s="2175"/>
      <c r="Z556" s="2194" t="s">
        <v>600</v>
      </c>
      <c r="AA556" s="2194"/>
      <c r="AB556" s="2194"/>
      <c r="AC556" s="2194"/>
      <c r="AD556" s="2194"/>
      <c r="AE556" s="2108"/>
      <c r="AF556" s="2109"/>
      <c r="AG556" s="2109"/>
      <c r="AH556" s="2110"/>
      <c r="AI556" s="2183"/>
      <c r="AJ556" s="2184"/>
      <c r="AK556" s="2184"/>
      <c r="AL556" s="2185"/>
      <c r="AM556" s="2070">
        <v>377014</v>
      </c>
      <c r="AN556" s="2071"/>
      <c r="AO556" s="2071"/>
      <c r="AP556" s="2071"/>
      <c r="AQ556" s="2071"/>
      <c r="AR556" s="2071"/>
      <c r="AS556" s="2072"/>
      <c r="AT556" s="1846" t="str">
        <f t="shared" si="1"/>
        <v/>
      </c>
      <c r="AU556" s="1845"/>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95" customHeight="1">
      <c r="B557" s="84" t="s">
        <v>465</v>
      </c>
      <c r="C557" s="2242"/>
      <c r="D557" s="2242"/>
      <c r="E557" s="2242"/>
      <c r="F557" s="2242"/>
      <c r="G557" s="2242"/>
      <c r="H557" s="2242"/>
      <c r="I557" s="2242"/>
      <c r="J557" s="2242"/>
      <c r="K557" s="2242"/>
      <c r="L557" s="2242"/>
      <c r="M557" s="2241" t="s">
        <v>1326</v>
      </c>
      <c r="N557" s="2241"/>
      <c r="O557" s="2241"/>
      <c r="P557" s="2241"/>
      <c r="Q557" s="2151"/>
      <c r="R557" s="2152"/>
      <c r="S557" s="2153"/>
      <c r="T557" s="2151"/>
      <c r="U557" s="2152"/>
      <c r="V557" s="2153"/>
      <c r="W557" s="2173"/>
      <c r="X557" s="2174"/>
      <c r="Y557" s="2175"/>
      <c r="Z557" s="2194" t="s">
        <v>1326</v>
      </c>
      <c r="AA557" s="2194"/>
      <c r="AB557" s="2194"/>
      <c r="AC557" s="2194"/>
      <c r="AD557" s="2194"/>
      <c r="AE557" s="2108"/>
      <c r="AF557" s="2109"/>
      <c r="AG557" s="2109"/>
      <c r="AH557" s="2110"/>
      <c r="AI557" s="2183"/>
      <c r="AJ557" s="2184"/>
      <c r="AK557" s="2184"/>
      <c r="AL557" s="2185"/>
      <c r="AM557" s="2070"/>
      <c r="AN557" s="2071"/>
      <c r="AO557" s="2071"/>
      <c r="AP557" s="2071"/>
      <c r="AQ557" s="2071"/>
      <c r="AR557" s="2071"/>
      <c r="AS557" s="2072"/>
      <c r="AT557" s="1846" t="str">
        <f t="shared" si="1"/>
        <v/>
      </c>
      <c r="AU557" s="1845"/>
      <c r="BB557" s="58"/>
      <c r="BC557" s="58"/>
      <c r="BD557" s="58"/>
      <c r="BE557" s="58"/>
      <c r="BF557" s="58"/>
      <c r="BG557" s="58"/>
      <c r="BH557" s="58" t="s">
        <v>787</v>
      </c>
      <c r="BI557" s="58" t="str">
        <f>N661</f>
        <v>Yes</v>
      </c>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5" customHeight="1">
      <c r="B558" s="84" t="s">
        <v>470</v>
      </c>
      <c r="C558" s="2242"/>
      <c r="D558" s="2242"/>
      <c r="E558" s="2242"/>
      <c r="F558" s="2242"/>
      <c r="G558" s="2242"/>
      <c r="H558" s="2242"/>
      <c r="I558" s="2242"/>
      <c r="J558" s="2242"/>
      <c r="K558" s="2242"/>
      <c r="L558" s="2242"/>
      <c r="M558" s="2241" t="s">
        <v>1326</v>
      </c>
      <c r="N558" s="2241"/>
      <c r="O558" s="2241"/>
      <c r="P558" s="2241"/>
      <c r="Q558" s="2151"/>
      <c r="R558" s="2152"/>
      <c r="S558" s="2153"/>
      <c r="T558" s="2151"/>
      <c r="U558" s="2152"/>
      <c r="V558" s="2153"/>
      <c r="W558" s="2173"/>
      <c r="X558" s="2174"/>
      <c r="Y558" s="2175"/>
      <c r="Z558" s="2194" t="s">
        <v>1326</v>
      </c>
      <c r="AA558" s="2194"/>
      <c r="AB558" s="2194"/>
      <c r="AC558" s="2194"/>
      <c r="AD558" s="2194"/>
      <c r="AE558" s="2108"/>
      <c r="AF558" s="2109"/>
      <c r="AG558" s="2109"/>
      <c r="AH558" s="2110"/>
      <c r="AI558" s="2183"/>
      <c r="AJ558" s="2184"/>
      <c r="AK558" s="2184"/>
      <c r="AL558" s="2185"/>
      <c r="AM558" s="2070"/>
      <c r="AN558" s="2071"/>
      <c r="AO558" s="2071"/>
      <c r="AP558" s="2071"/>
      <c r="AQ558" s="2071"/>
      <c r="AR558" s="2071"/>
      <c r="AS558" s="2072"/>
      <c r="AT558" s="1846" t="str">
        <f t="shared" si="1"/>
        <v/>
      </c>
      <c r="AU558" s="1845"/>
      <c r="BB558" s="58"/>
      <c r="BC558" s="58"/>
      <c r="BD558" s="58"/>
      <c r="BE558" s="58"/>
      <c r="BF558" s="58"/>
      <c r="BG558" s="58"/>
      <c r="BH558" s="58" t="s">
        <v>593</v>
      </c>
      <c r="BI558" s="58" t="str">
        <f>AG661</f>
        <v>Yes</v>
      </c>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5" customHeight="1">
      <c r="B559" s="84" t="s">
        <v>655</v>
      </c>
      <c r="C559" s="2242"/>
      <c r="D559" s="2242"/>
      <c r="E559" s="2242"/>
      <c r="F559" s="2242"/>
      <c r="G559" s="2242"/>
      <c r="H559" s="2242"/>
      <c r="I559" s="2242"/>
      <c r="J559" s="2242"/>
      <c r="K559" s="2242"/>
      <c r="L559" s="2242"/>
      <c r="M559" s="2241" t="s">
        <v>1326</v>
      </c>
      <c r="N559" s="2241"/>
      <c r="O559" s="2241"/>
      <c r="P559" s="2241"/>
      <c r="Q559" s="2151"/>
      <c r="R559" s="2152"/>
      <c r="S559" s="2153"/>
      <c r="T559" s="2151"/>
      <c r="U559" s="2152"/>
      <c r="V559" s="2153"/>
      <c r="W559" s="2173"/>
      <c r="X559" s="2174"/>
      <c r="Y559" s="2175"/>
      <c r="Z559" s="2194" t="s">
        <v>1326</v>
      </c>
      <c r="AA559" s="2194"/>
      <c r="AB559" s="2194"/>
      <c r="AC559" s="2194"/>
      <c r="AD559" s="2194"/>
      <c r="AE559" s="2108"/>
      <c r="AF559" s="2109"/>
      <c r="AG559" s="2109"/>
      <c r="AH559" s="2110"/>
      <c r="AI559" s="2183"/>
      <c r="AJ559" s="2184"/>
      <c r="AK559" s="2184"/>
      <c r="AL559" s="2185"/>
      <c r="AM559" s="2070"/>
      <c r="AN559" s="2071"/>
      <c r="AO559" s="2071"/>
      <c r="AP559" s="2071"/>
      <c r="AQ559" s="2071"/>
      <c r="AR559" s="2071"/>
      <c r="AS559" s="2072"/>
      <c r="AT559" s="1846" t="str">
        <f t="shared" si="1"/>
        <v/>
      </c>
      <c r="AU559" s="1845"/>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5" customHeight="1">
      <c r="B560" s="84" t="s">
        <v>363</v>
      </c>
      <c r="C560" s="2242"/>
      <c r="D560" s="2242"/>
      <c r="E560" s="2242"/>
      <c r="F560" s="2242"/>
      <c r="G560" s="2242"/>
      <c r="H560" s="2242"/>
      <c r="I560" s="2242"/>
      <c r="J560" s="2242"/>
      <c r="K560" s="2242"/>
      <c r="L560" s="2242"/>
      <c r="M560" s="2241" t="s">
        <v>1326</v>
      </c>
      <c r="N560" s="2241"/>
      <c r="O560" s="2241"/>
      <c r="P560" s="2241"/>
      <c r="Q560" s="2151"/>
      <c r="R560" s="2152"/>
      <c r="S560" s="2153"/>
      <c r="T560" s="2151"/>
      <c r="U560" s="2152"/>
      <c r="V560" s="2153"/>
      <c r="W560" s="2173"/>
      <c r="X560" s="2174"/>
      <c r="Y560" s="2175"/>
      <c r="Z560" s="2194" t="s">
        <v>1326</v>
      </c>
      <c r="AA560" s="2194"/>
      <c r="AB560" s="2194"/>
      <c r="AC560" s="2194"/>
      <c r="AD560" s="2194"/>
      <c r="AE560" s="2108"/>
      <c r="AF560" s="2109"/>
      <c r="AG560" s="2109"/>
      <c r="AH560" s="2110"/>
      <c r="AI560" s="2183"/>
      <c r="AJ560" s="2184"/>
      <c r="AK560" s="2184"/>
      <c r="AL560" s="2185"/>
      <c r="AM560" s="2070"/>
      <c r="AN560" s="2071"/>
      <c r="AO560" s="2071"/>
      <c r="AP560" s="2071"/>
      <c r="AQ560" s="2071"/>
      <c r="AR560" s="2071"/>
      <c r="AS560" s="2072"/>
      <c r="AT560" s="1846" t="str">
        <f t="shared" si="1"/>
        <v/>
      </c>
      <c r="AU560" s="1845"/>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5" customHeight="1">
      <c r="B561" s="84" t="s">
        <v>364</v>
      </c>
      <c r="C561" s="2242"/>
      <c r="D561" s="2242"/>
      <c r="E561" s="2242"/>
      <c r="F561" s="2242"/>
      <c r="G561" s="2242"/>
      <c r="H561" s="2242"/>
      <c r="I561" s="2242"/>
      <c r="J561" s="2242"/>
      <c r="K561" s="2242"/>
      <c r="L561" s="2242"/>
      <c r="M561" s="2241" t="s">
        <v>1326</v>
      </c>
      <c r="N561" s="2241"/>
      <c r="O561" s="2241"/>
      <c r="P561" s="2241"/>
      <c r="Q561" s="2151"/>
      <c r="R561" s="2152"/>
      <c r="S561" s="2153"/>
      <c r="T561" s="2151"/>
      <c r="U561" s="2152"/>
      <c r="V561" s="2153"/>
      <c r="W561" s="2173"/>
      <c r="X561" s="2174"/>
      <c r="Y561" s="2175"/>
      <c r="Z561" s="2194" t="s">
        <v>1326</v>
      </c>
      <c r="AA561" s="2194"/>
      <c r="AB561" s="2194"/>
      <c r="AC561" s="2194"/>
      <c r="AD561" s="2194"/>
      <c r="AE561" s="2108"/>
      <c r="AF561" s="2109"/>
      <c r="AG561" s="2109"/>
      <c r="AH561" s="2110"/>
      <c r="AI561" s="2183"/>
      <c r="AJ561" s="2184"/>
      <c r="AK561" s="2184"/>
      <c r="AL561" s="2185"/>
      <c r="AM561" s="2070"/>
      <c r="AN561" s="2071"/>
      <c r="AO561" s="2071"/>
      <c r="AP561" s="2071"/>
      <c r="AQ561" s="2071"/>
      <c r="AR561" s="2071"/>
      <c r="AS561" s="2072"/>
      <c r="AT561" s="1846" t="str">
        <f t="shared" si="1"/>
        <v/>
      </c>
      <c r="AU561" s="1845"/>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5" customHeight="1">
      <c r="B562" s="2305" t="s">
        <v>128</v>
      </c>
      <c r="C562" s="2306"/>
      <c r="D562" s="2306"/>
      <c r="E562" s="2306"/>
      <c r="F562" s="2306"/>
      <c r="G562" s="2306"/>
      <c r="H562" s="2306"/>
      <c r="I562" s="2306"/>
      <c r="J562" s="2306"/>
      <c r="K562" s="2306"/>
      <c r="L562" s="2306"/>
      <c r="M562" s="2306"/>
      <c r="N562" s="2306"/>
      <c r="O562" s="2306"/>
      <c r="P562" s="2306"/>
      <c r="Q562" s="2306"/>
      <c r="R562" s="2306"/>
      <c r="S562" s="2306"/>
      <c r="T562" s="2306"/>
      <c r="U562" s="2307"/>
      <c r="V562" s="2306"/>
      <c r="W562" s="2306"/>
      <c r="X562" s="2306"/>
      <c r="Y562" s="2306"/>
      <c r="Z562" s="2306"/>
      <c r="AA562" s="2306"/>
      <c r="AB562" s="2306"/>
      <c r="AC562" s="2306"/>
      <c r="AD562" s="2306"/>
      <c r="AE562" s="2306"/>
      <c r="AF562" s="2306"/>
      <c r="AG562" s="2306"/>
      <c r="AH562" s="2306"/>
      <c r="AI562" s="2306"/>
      <c r="AJ562" s="2306"/>
      <c r="AK562" s="2306"/>
      <c r="AL562" s="2308"/>
      <c r="AM562" s="2243">
        <f>SUM(AM550:AS561)</f>
        <v>44255888</v>
      </c>
      <c r="AN562" s="2244"/>
      <c r="AO562" s="2244"/>
      <c r="AP562" s="2244"/>
      <c r="AQ562" s="2244"/>
      <c r="AR562" s="2244"/>
      <c r="AS562" s="224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12.95" customHeight="1">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187"/>
      <c r="AF563" s="187"/>
      <c r="AG563" s="187"/>
      <c r="AH563" s="187"/>
      <c r="AI563" s="187"/>
      <c r="AJ563" s="187"/>
      <c r="AK563" s="187"/>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5" customHeight="1">
      <c r="A564" s="87" t="s">
        <v>113</v>
      </c>
      <c r="B564" s="12" t="s">
        <v>472</v>
      </c>
      <c r="G564" s="2238" t="str">
        <f>C550</f>
        <v>Chase - Construction Loan</v>
      </c>
      <c r="H564" s="2238"/>
      <c r="I564" s="2238"/>
      <c r="J564" s="2238"/>
      <c r="K564" s="2238"/>
      <c r="L564" s="2238"/>
      <c r="M564" s="2238"/>
      <c r="N564" s="2238"/>
      <c r="O564" s="2238"/>
      <c r="P564" s="2238"/>
      <c r="Q564" s="2238"/>
      <c r="R564" s="2238"/>
      <c r="S564" s="14"/>
      <c r="T564" s="87" t="s">
        <v>114</v>
      </c>
      <c r="U564" s="12" t="s">
        <v>472</v>
      </c>
      <c r="Z564" s="2238" t="str">
        <f>C551</f>
        <v>Chase Taxable Tail Construction Loan</v>
      </c>
      <c r="AA564" s="2238"/>
      <c r="AB564" s="2238"/>
      <c r="AC564" s="2238"/>
      <c r="AD564" s="2238"/>
      <c r="AE564" s="2238"/>
      <c r="AF564" s="2238"/>
      <c r="AG564" s="2238"/>
      <c r="AH564" s="2238"/>
      <c r="AI564" s="2238"/>
      <c r="AJ564" s="2238"/>
      <c r="AK564" s="2238"/>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95" customHeight="1">
      <c r="A565" s="35"/>
      <c r="B565" s="12" t="s">
        <v>86</v>
      </c>
      <c r="G565" s="2113" t="s">
        <v>2729</v>
      </c>
      <c r="H565" s="2113"/>
      <c r="I565" s="2113"/>
      <c r="J565" s="2113"/>
      <c r="K565" s="2113"/>
      <c r="L565" s="2113"/>
      <c r="M565" s="2113"/>
      <c r="N565" s="2113"/>
      <c r="O565" s="2113"/>
      <c r="P565" s="2113"/>
      <c r="Q565" s="2113"/>
      <c r="R565" s="2113"/>
      <c r="S565" s="14"/>
      <c r="T565" s="35"/>
      <c r="U565" s="12" t="s">
        <v>86</v>
      </c>
      <c r="Z565" s="2113" t="str">
        <f>G565</f>
        <v>300 S. Grand Ave, Suite 300</v>
      </c>
      <c r="AA565" s="2113"/>
      <c r="AB565" s="2113"/>
      <c r="AC565" s="2113"/>
      <c r="AD565" s="2113"/>
      <c r="AE565" s="2113"/>
      <c r="AF565" s="2113"/>
      <c r="AG565" s="2113"/>
      <c r="AH565" s="2113"/>
      <c r="AI565" s="2113"/>
      <c r="AJ565" s="2113"/>
      <c r="AK565" s="2113"/>
      <c r="BB565" s="58"/>
      <c r="BC565" s="58"/>
      <c r="BD565" s="58"/>
      <c r="BE565" s="58"/>
      <c r="BF565" s="58"/>
      <c r="BG565" s="58"/>
      <c r="BH565" s="58" t="s">
        <v>464</v>
      </c>
      <c r="BI565" s="58" t="str">
        <f>N669</f>
        <v>No</v>
      </c>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5" customHeight="1">
      <c r="A566" s="35"/>
      <c r="B566" s="12" t="s">
        <v>589</v>
      </c>
      <c r="G566" s="2113" t="s">
        <v>503</v>
      </c>
      <c r="H566" s="2113"/>
      <c r="I566" s="2113"/>
      <c r="J566" s="2113"/>
      <c r="K566" s="2113"/>
      <c r="L566" s="2113"/>
      <c r="M566" s="2113"/>
      <c r="N566" s="2113"/>
      <c r="O566" s="2113"/>
      <c r="P566" s="2113"/>
      <c r="Q566" s="2113"/>
      <c r="R566" s="2113"/>
      <c r="S566" s="88"/>
      <c r="T566" s="35"/>
      <c r="U566" s="12" t="s">
        <v>589</v>
      </c>
      <c r="Z566" s="2091" t="str">
        <f>G566</f>
        <v>Los Angeles</v>
      </c>
      <c r="AA566" s="2091"/>
      <c r="AB566" s="2091"/>
      <c r="AC566" s="2091"/>
      <c r="AD566" s="2091"/>
      <c r="AE566" s="2091"/>
      <c r="AF566" s="2091"/>
      <c r="AG566" s="2091"/>
      <c r="AH566" s="2091"/>
      <c r="AI566" s="2091"/>
      <c r="AJ566" s="2091"/>
      <c r="AK566" s="2091"/>
      <c r="BB566" s="58"/>
      <c r="BC566" s="58"/>
      <c r="BD566" s="58"/>
      <c r="BE566" s="58"/>
      <c r="BF566" s="58"/>
      <c r="BG566" s="58"/>
      <c r="BH566" s="58" t="s">
        <v>465</v>
      </c>
      <c r="BI566" s="58" t="str">
        <f>AG669</f>
        <v>No</v>
      </c>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5" customHeight="1">
      <c r="A567" s="35"/>
      <c r="B567" s="12" t="s">
        <v>17</v>
      </c>
      <c r="G567" s="2113" t="s">
        <v>2730</v>
      </c>
      <c r="H567" s="2113"/>
      <c r="I567" s="2113"/>
      <c r="J567" s="2113"/>
      <c r="K567" s="2113"/>
      <c r="L567" s="2113"/>
      <c r="M567" s="2113"/>
      <c r="N567" s="2113"/>
      <c r="O567" s="2113"/>
      <c r="P567" s="2113"/>
      <c r="Q567" s="2113"/>
      <c r="R567" s="2113"/>
      <c r="S567" s="14"/>
      <c r="T567" s="35"/>
      <c r="U567" s="12" t="s">
        <v>17</v>
      </c>
      <c r="Z567" s="2091" t="str">
        <f>G567</f>
        <v>Eri Kameyama</v>
      </c>
      <c r="AA567" s="2091"/>
      <c r="AB567" s="2091"/>
      <c r="AC567" s="2091"/>
      <c r="AD567" s="2091"/>
      <c r="AE567" s="2091"/>
      <c r="AF567" s="2091"/>
      <c r="AG567" s="2091"/>
      <c r="AH567" s="2091"/>
      <c r="AI567" s="2091"/>
      <c r="AJ567" s="2091"/>
      <c r="AK567" s="209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5" customHeight="1">
      <c r="A568" s="35"/>
      <c r="B568" s="12" t="s">
        <v>317</v>
      </c>
      <c r="G568" s="2239" t="s">
        <v>2731</v>
      </c>
      <c r="H568" s="2159"/>
      <c r="I568" s="2159"/>
      <c r="J568" s="2159"/>
      <c r="K568" s="2159"/>
      <c r="L568" s="2159"/>
      <c r="O568" s="137" t="s">
        <v>207</v>
      </c>
      <c r="P568" s="2167"/>
      <c r="Q568" s="2167"/>
      <c r="R568" s="2167"/>
      <c r="S568" s="16"/>
      <c r="T568" s="35"/>
      <c r="U568" s="12" t="s">
        <v>317</v>
      </c>
      <c r="Z568" s="2159" t="str">
        <f>G568</f>
        <v>213-621-8310</v>
      </c>
      <c r="AA568" s="2159"/>
      <c r="AB568" s="2159"/>
      <c r="AC568" s="2159"/>
      <c r="AD568" s="2159"/>
      <c r="AE568" s="2159"/>
      <c r="AH568" s="137" t="s">
        <v>207</v>
      </c>
      <c r="AI568" s="2167"/>
      <c r="AJ568" s="2167"/>
      <c r="AK568" s="216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5" customHeight="1">
      <c r="A569" s="35"/>
      <c r="B569" s="12" t="s">
        <v>18</v>
      </c>
      <c r="H569" s="2113" t="s">
        <v>2732</v>
      </c>
      <c r="I569" s="2113"/>
      <c r="J569" s="2113"/>
      <c r="K569" s="2113"/>
      <c r="L569" s="2113"/>
      <c r="M569" s="2113"/>
      <c r="N569" s="2113"/>
      <c r="O569" s="2113"/>
      <c r="P569" s="2113"/>
      <c r="Q569" s="2113"/>
      <c r="R569" s="2113"/>
      <c r="S569" s="14"/>
      <c r="T569" s="35"/>
      <c r="U569" s="12" t="s">
        <v>18</v>
      </c>
      <c r="AA569" s="2113" t="s">
        <v>2734</v>
      </c>
      <c r="AB569" s="2113"/>
      <c r="AC569" s="2113"/>
      <c r="AD569" s="2113"/>
      <c r="AE569" s="2113"/>
      <c r="AF569" s="2113"/>
      <c r="AG569" s="2113"/>
      <c r="AH569" s="2113"/>
      <c r="AI569" s="2113"/>
      <c r="AJ569" s="2113"/>
      <c r="AK569" s="211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5" customHeight="1">
      <c r="A570" s="35"/>
      <c r="B570" s="500" t="s">
        <v>1327</v>
      </c>
      <c r="C570" s="708"/>
      <c r="D570" s="708"/>
      <c r="E570" s="708"/>
      <c r="F570" s="708"/>
      <c r="G570" s="708"/>
      <c r="H570" s="14"/>
      <c r="I570" s="14"/>
      <c r="J570" s="14"/>
      <c r="K570" s="14"/>
      <c r="L570" s="14"/>
      <c r="M570" s="2247" t="s">
        <v>2733</v>
      </c>
      <c r="N570" s="2247"/>
      <c r="O570" s="2247"/>
      <c r="P570" s="2247"/>
      <c r="Q570" s="2247"/>
      <c r="R570" s="2247"/>
      <c r="S570" s="14"/>
      <c r="T570" s="35"/>
      <c r="U570" s="500" t="s">
        <v>1327</v>
      </c>
      <c r="V570" s="708"/>
      <c r="W570" s="708"/>
      <c r="X570" s="708"/>
      <c r="Y570" s="708"/>
      <c r="Z570" s="708"/>
      <c r="AA570" s="14"/>
      <c r="AB570" s="14"/>
      <c r="AC570" s="14"/>
      <c r="AD570" s="14"/>
      <c r="AE570" s="14"/>
      <c r="AF570" s="2247" t="s">
        <v>600</v>
      </c>
      <c r="AG570" s="2247"/>
      <c r="AH570" s="2247"/>
      <c r="AI570" s="2247"/>
      <c r="AJ570" s="2247"/>
      <c r="AK570" s="2247"/>
      <c r="AL570" s="7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5" customHeight="1">
      <c r="A571" s="35"/>
      <c r="B571" s="12" t="s">
        <v>20</v>
      </c>
      <c r="N571" s="2095" t="s">
        <v>554</v>
      </c>
      <c r="O571" s="2095"/>
      <c r="T571" s="35"/>
      <c r="U571" s="12" t="s">
        <v>20</v>
      </c>
      <c r="AG571" s="2095" t="s">
        <v>554</v>
      </c>
      <c r="AH571" s="2095"/>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5" customHeight="1">
      <c r="A572" s="35"/>
      <c r="T572" s="35"/>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95" customHeight="1">
      <c r="A573" s="87" t="s">
        <v>120</v>
      </c>
      <c r="B573" s="12" t="s">
        <v>472</v>
      </c>
      <c r="G573" s="2238" t="str">
        <f>C552</f>
        <v>City of Palm Springs</v>
      </c>
      <c r="H573" s="2238"/>
      <c r="I573" s="2238"/>
      <c r="J573" s="2238"/>
      <c r="K573" s="2238"/>
      <c r="L573" s="2238"/>
      <c r="M573" s="2238"/>
      <c r="N573" s="2238"/>
      <c r="O573" s="2238"/>
      <c r="P573" s="2238"/>
      <c r="Q573" s="2238"/>
      <c r="R573" s="2238"/>
      <c r="T573" s="87" t="s">
        <v>590</v>
      </c>
      <c r="U573" s="12" t="s">
        <v>472</v>
      </c>
      <c r="Z573" s="2238" t="str">
        <f>C553</f>
        <v>Enterprise Tax Credit Equity</v>
      </c>
      <c r="AA573" s="2238"/>
      <c r="AB573" s="2238"/>
      <c r="AC573" s="2238"/>
      <c r="AD573" s="2238"/>
      <c r="AE573" s="2238"/>
      <c r="AF573" s="2238"/>
      <c r="AG573" s="2238"/>
      <c r="AH573" s="2238"/>
      <c r="AI573" s="2238"/>
      <c r="AJ573" s="2238"/>
      <c r="AK573" s="223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5" customHeight="1">
      <c r="A574" s="35"/>
      <c r="B574" s="12" t="s">
        <v>86</v>
      </c>
      <c r="G574" s="1911" t="s">
        <v>2735</v>
      </c>
      <c r="H574" s="1911"/>
      <c r="I574" s="1911"/>
      <c r="J574" s="1911"/>
      <c r="K574" s="1911"/>
      <c r="L574" s="1911"/>
      <c r="M574" s="1911"/>
      <c r="N574" s="1911"/>
      <c r="O574" s="1911"/>
      <c r="P574" s="1911"/>
      <c r="Q574" s="1911"/>
      <c r="R574" s="1911"/>
      <c r="T574" s="35"/>
      <c r="U574" s="12" t="s">
        <v>86</v>
      </c>
      <c r="Z574" s="1911" t="s">
        <v>2667</v>
      </c>
      <c r="AA574" s="1911"/>
      <c r="AB574" s="1911"/>
      <c r="AC574" s="1911"/>
      <c r="AD574" s="1911"/>
      <c r="AE574" s="1911"/>
      <c r="AF574" s="1911"/>
      <c r="AG574" s="1911"/>
      <c r="AH574" s="1911"/>
      <c r="AI574" s="1911"/>
      <c r="AJ574" s="1911"/>
      <c r="AK574" s="191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5" customHeight="1">
      <c r="A575" s="35"/>
      <c r="B575" s="12" t="s">
        <v>589</v>
      </c>
      <c r="G575" s="1909" t="s">
        <v>2618</v>
      </c>
      <c r="H575" s="1909"/>
      <c r="I575" s="1909"/>
      <c r="J575" s="1909"/>
      <c r="K575" s="1909"/>
      <c r="L575" s="1909"/>
      <c r="M575" s="1909"/>
      <c r="N575" s="1909"/>
      <c r="O575" s="1909"/>
      <c r="P575" s="1909"/>
      <c r="Q575" s="1909"/>
      <c r="R575" s="1909"/>
      <c r="T575" s="35"/>
      <c r="U575" s="12" t="s">
        <v>589</v>
      </c>
      <c r="Z575" s="1909" t="s">
        <v>2668</v>
      </c>
      <c r="AA575" s="1909"/>
      <c r="AB575" s="1909"/>
      <c r="AC575" s="1909"/>
      <c r="AD575" s="1909"/>
      <c r="AE575" s="1909"/>
      <c r="AF575" s="1909"/>
      <c r="AG575" s="1909"/>
      <c r="AH575" s="1909"/>
      <c r="AI575" s="1909"/>
      <c r="AJ575" s="1909"/>
      <c r="AK575" s="190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5" customHeight="1">
      <c r="A576" s="35"/>
      <c r="B576" s="12" t="s">
        <v>17</v>
      </c>
      <c r="G576" s="1909" t="s">
        <v>2704</v>
      </c>
      <c r="H576" s="1909"/>
      <c r="I576" s="1909"/>
      <c r="J576" s="1909"/>
      <c r="K576" s="1909"/>
      <c r="L576" s="1909"/>
      <c r="M576" s="1909"/>
      <c r="N576" s="1909"/>
      <c r="O576" s="1909"/>
      <c r="P576" s="1909"/>
      <c r="Q576" s="1909"/>
      <c r="R576" s="1909"/>
      <c r="T576" s="35"/>
      <c r="U576" s="12" t="s">
        <v>17</v>
      </c>
      <c r="Z576" s="1909" t="s">
        <v>2738</v>
      </c>
      <c r="AA576" s="1909"/>
      <c r="AB576" s="1909"/>
      <c r="AC576" s="1909"/>
      <c r="AD576" s="1909"/>
      <c r="AE576" s="1909"/>
      <c r="AF576" s="1909"/>
      <c r="AG576" s="1909"/>
      <c r="AH576" s="1909"/>
      <c r="AI576" s="1909"/>
      <c r="AJ576" s="1909"/>
      <c r="AK576" s="190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5" customHeight="1">
      <c r="A577" s="35"/>
      <c r="B577" s="12" t="s">
        <v>317</v>
      </c>
      <c r="G577" s="2239" t="s">
        <v>2736</v>
      </c>
      <c r="H577" s="2159"/>
      <c r="I577" s="2159"/>
      <c r="J577" s="2159"/>
      <c r="K577" s="2159"/>
      <c r="L577" s="2159"/>
      <c r="O577" s="137" t="s">
        <v>207</v>
      </c>
      <c r="P577" s="2167"/>
      <c r="Q577" s="2167"/>
      <c r="R577" s="2167"/>
      <c r="T577" s="35"/>
      <c r="U577" s="12" t="s">
        <v>317</v>
      </c>
      <c r="Z577" s="2239" t="s">
        <v>2739</v>
      </c>
      <c r="AA577" s="2159"/>
      <c r="AB577" s="2159"/>
      <c r="AC577" s="2159"/>
      <c r="AD577" s="2159"/>
      <c r="AE577" s="2159"/>
      <c r="AH577" s="137" t="s">
        <v>207</v>
      </c>
      <c r="AI577" s="2167"/>
      <c r="AJ577" s="2167"/>
      <c r="AK577" s="216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5" customHeight="1">
      <c r="A578" s="35"/>
      <c r="B578" s="12" t="s">
        <v>18</v>
      </c>
      <c r="H578" s="2113" t="s">
        <v>2737</v>
      </c>
      <c r="I578" s="2113"/>
      <c r="J578" s="2113"/>
      <c r="K578" s="2113"/>
      <c r="L578" s="2113"/>
      <c r="M578" s="2113"/>
      <c r="N578" s="2113"/>
      <c r="O578" s="2113"/>
      <c r="P578" s="2113"/>
      <c r="Q578" s="2113"/>
      <c r="R578" s="2113"/>
      <c r="T578" s="35"/>
      <c r="U578" s="12" t="s">
        <v>18</v>
      </c>
      <c r="AA578" s="2113" t="s">
        <v>2740</v>
      </c>
      <c r="AB578" s="2113"/>
      <c r="AC578" s="2113"/>
      <c r="AD578" s="2113"/>
      <c r="AE578" s="2113"/>
      <c r="AF578" s="2113"/>
      <c r="AG578" s="2113"/>
      <c r="AH578" s="2113"/>
      <c r="AI578" s="2113"/>
      <c r="AJ578" s="2113"/>
      <c r="AK578" s="211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5" customHeight="1">
      <c r="A579" s="35"/>
      <c r="B579" s="12" t="s">
        <v>20</v>
      </c>
      <c r="N579" s="2095" t="s">
        <v>554</v>
      </c>
      <c r="O579" s="2095"/>
      <c r="T579" s="35"/>
      <c r="U579" s="12" t="s">
        <v>20</v>
      </c>
      <c r="AG579" s="2095" t="s">
        <v>554</v>
      </c>
      <c r="AH579" s="2095"/>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5" customHeight="1">
      <c r="A580" s="35"/>
      <c r="T580" s="35"/>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95" customHeight="1">
      <c r="A581" s="87" t="s">
        <v>787</v>
      </c>
      <c r="B581" s="12" t="s">
        <v>472</v>
      </c>
      <c r="G581" s="2238" t="str">
        <f>C554</f>
        <v>FHLBSF AHP</v>
      </c>
      <c r="H581" s="2238"/>
      <c r="I581" s="2238"/>
      <c r="J581" s="2238"/>
      <c r="K581" s="2238"/>
      <c r="L581" s="2238"/>
      <c r="M581" s="2238"/>
      <c r="N581" s="2238"/>
      <c r="O581" s="2238"/>
      <c r="P581" s="2238"/>
      <c r="Q581" s="2238"/>
      <c r="R581" s="2238"/>
      <c r="T581" s="87" t="s">
        <v>593</v>
      </c>
      <c r="U581" s="12" t="s">
        <v>472</v>
      </c>
      <c r="Z581" s="2238" t="str">
        <f>C555</f>
        <v>Deferred Costs</v>
      </c>
      <c r="AA581" s="2238"/>
      <c r="AB581" s="2238"/>
      <c r="AC581" s="2238"/>
      <c r="AD581" s="2238"/>
      <c r="AE581" s="2238"/>
      <c r="AF581" s="2238"/>
      <c r="AG581" s="2238"/>
      <c r="AH581" s="2238"/>
      <c r="AI581" s="2238"/>
      <c r="AJ581" s="2238"/>
      <c r="AK581" s="223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95" customHeight="1">
      <c r="A582" s="35"/>
      <c r="B582" s="12" t="s">
        <v>86</v>
      </c>
      <c r="G582" s="2429" t="s">
        <v>2741</v>
      </c>
      <c r="H582" s="2429"/>
      <c r="I582" s="2429"/>
      <c r="J582" s="2429"/>
      <c r="K582" s="2429"/>
      <c r="L582" s="2429"/>
      <c r="M582" s="2429"/>
      <c r="N582" s="2429"/>
      <c r="O582" s="2429"/>
      <c r="P582" s="2429"/>
      <c r="Q582" s="2429"/>
      <c r="R582" s="2429"/>
      <c r="T582" s="35"/>
      <c r="U582" s="12" t="s">
        <v>86</v>
      </c>
      <c r="Z582" s="2113" t="s">
        <v>2626</v>
      </c>
      <c r="AA582" s="2113"/>
      <c r="AB582" s="2113"/>
      <c r="AC582" s="2113"/>
      <c r="AD582" s="2113"/>
      <c r="AE582" s="2113"/>
      <c r="AF582" s="2113"/>
      <c r="AG582" s="2113"/>
      <c r="AH582" s="2113"/>
      <c r="AI582" s="2113"/>
      <c r="AJ582" s="2113"/>
      <c r="AK582" s="211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95" customHeight="1">
      <c r="A583" s="35"/>
      <c r="B583" s="12" t="s">
        <v>589</v>
      </c>
      <c r="G583" s="2236" t="s">
        <v>742</v>
      </c>
      <c r="H583" s="2236"/>
      <c r="I583" s="2236"/>
      <c r="J583" s="2236"/>
      <c r="K583" s="2236"/>
      <c r="L583" s="2236"/>
      <c r="M583" s="2236"/>
      <c r="N583" s="2236"/>
      <c r="O583" s="2236"/>
      <c r="P583" s="2236"/>
      <c r="Q583" s="2236"/>
      <c r="R583" s="2236"/>
      <c r="T583" s="35"/>
      <c r="U583" s="12" t="s">
        <v>589</v>
      </c>
      <c r="Z583" s="2091" t="s">
        <v>2627</v>
      </c>
      <c r="AA583" s="2091"/>
      <c r="AB583" s="2091"/>
      <c r="AC583" s="2091"/>
      <c r="AD583" s="2091"/>
      <c r="AE583" s="2091"/>
      <c r="AF583" s="2091"/>
      <c r="AG583" s="2091"/>
      <c r="AH583" s="2091"/>
      <c r="AI583" s="2091"/>
      <c r="AJ583" s="2091"/>
      <c r="AK583" s="209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95" customHeight="1">
      <c r="A584" s="35"/>
      <c r="B584" s="12" t="s">
        <v>17</v>
      </c>
      <c r="G584" s="2236" t="s">
        <v>2742</v>
      </c>
      <c r="H584" s="2236"/>
      <c r="I584" s="2236"/>
      <c r="J584" s="2236"/>
      <c r="K584" s="2236"/>
      <c r="L584" s="2236"/>
      <c r="M584" s="2236"/>
      <c r="N584" s="2236"/>
      <c r="O584" s="2236"/>
      <c r="P584" s="2236"/>
      <c r="Q584" s="2236"/>
      <c r="R584" s="2236"/>
      <c r="T584" s="35"/>
      <c r="U584" s="12" t="s">
        <v>17</v>
      </c>
      <c r="Z584" s="2091" t="s">
        <v>2629</v>
      </c>
      <c r="AA584" s="2091"/>
      <c r="AB584" s="2091"/>
      <c r="AC584" s="2091"/>
      <c r="AD584" s="2091"/>
      <c r="AE584" s="2091"/>
      <c r="AF584" s="2091"/>
      <c r="AG584" s="2091"/>
      <c r="AH584" s="2091"/>
      <c r="AI584" s="2091"/>
      <c r="AJ584" s="2091"/>
      <c r="AK584" s="209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95" customHeight="1">
      <c r="A585" s="35"/>
      <c r="B585" s="12" t="s">
        <v>317</v>
      </c>
      <c r="G585" s="2239" t="s">
        <v>2743</v>
      </c>
      <c r="H585" s="2159"/>
      <c r="I585" s="2159"/>
      <c r="J585" s="2159"/>
      <c r="K585" s="2159"/>
      <c r="L585" s="2159"/>
      <c r="O585" s="137" t="s">
        <v>207</v>
      </c>
      <c r="P585" s="2167"/>
      <c r="Q585" s="2167"/>
      <c r="R585" s="2167"/>
      <c r="T585" s="35"/>
      <c r="U585" s="12" t="s">
        <v>317</v>
      </c>
      <c r="Z585" s="2239" t="s">
        <v>2630</v>
      </c>
      <c r="AA585" s="2159"/>
      <c r="AB585" s="2159"/>
      <c r="AC585" s="2159"/>
      <c r="AD585" s="2159"/>
      <c r="AE585" s="2159"/>
      <c r="AH585" s="137" t="s">
        <v>207</v>
      </c>
      <c r="AI585" s="2167">
        <v>127</v>
      </c>
      <c r="AJ585" s="2167"/>
      <c r="AK585" s="216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95" customHeight="1">
      <c r="A586" s="35"/>
      <c r="B586" s="12" t="s">
        <v>18</v>
      </c>
      <c r="H586" s="2113" t="s">
        <v>2725</v>
      </c>
      <c r="I586" s="2113"/>
      <c r="J586" s="2113"/>
      <c r="K586" s="2113"/>
      <c r="L586" s="2113"/>
      <c r="M586" s="2113"/>
      <c r="N586" s="2113"/>
      <c r="O586" s="2113"/>
      <c r="P586" s="2113"/>
      <c r="Q586" s="2113"/>
      <c r="R586" s="2113"/>
      <c r="T586" s="35"/>
      <c r="U586" s="12" t="s">
        <v>18</v>
      </c>
      <c r="AA586" s="2113" t="s">
        <v>2726</v>
      </c>
      <c r="AB586" s="2113"/>
      <c r="AC586" s="2113"/>
      <c r="AD586" s="2113"/>
      <c r="AE586" s="2113"/>
      <c r="AF586" s="2113"/>
      <c r="AG586" s="2113"/>
      <c r="AH586" s="2113"/>
      <c r="AI586" s="2113"/>
      <c r="AJ586" s="2113"/>
      <c r="AK586" s="2113"/>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95" customHeight="1">
      <c r="A587" s="35"/>
      <c r="B587" s="12" t="s">
        <v>20</v>
      </c>
      <c r="N587" s="2095" t="s">
        <v>678</v>
      </c>
      <c r="O587" s="2095"/>
      <c r="T587" s="35"/>
      <c r="U587" s="12" t="s">
        <v>20</v>
      </c>
      <c r="AG587" s="2095" t="s">
        <v>554</v>
      </c>
      <c r="AH587" s="2095"/>
    </row>
    <row r="588" spans="1:110" ht="12.95" customHeight="1">
      <c r="A588" s="35"/>
      <c r="T588" s="35"/>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95" customHeight="1">
      <c r="A589" s="87" t="s">
        <v>464</v>
      </c>
      <c r="B589" s="12" t="s">
        <v>472</v>
      </c>
      <c r="G589" s="2238" t="str">
        <f>C556</f>
        <v>GP Equity</v>
      </c>
      <c r="H589" s="2238"/>
      <c r="I589" s="2238"/>
      <c r="J589" s="2238"/>
      <c r="K589" s="2238"/>
      <c r="L589" s="2238"/>
      <c r="M589" s="2238"/>
      <c r="N589" s="2238"/>
      <c r="O589" s="2238"/>
      <c r="P589" s="2238"/>
      <c r="Q589" s="2238"/>
      <c r="R589" s="2238"/>
      <c r="T589" s="87" t="s">
        <v>465</v>
      </c>
      <c r="U589" s="12" t="s">
        <v>472</v>
      </c>
      <c r="Z589" s="2238">
        <f>C557</f>
        <v>0</v>
      </c>
      <c r="AA589" s="2238"/>
      <c r="AB589" s="2238"/>
      <c r="AC589" s="2238"/>
      <c r="AD589" s="2238"/>
      <c r="AE589" s="2238"/>
      <c r="AF589" s="2238"/>
      <c r="AG589" s="2238"/>
      <c r="AH589" s="2238"/>
      <c r="AI589" s="2238"/>
      <c r="AJ589" s="2238"/>
      <c r="AK589" s="2238"/>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95" customHeight="1">
      <c r="A590" s="35"/>
      <c r="B590" s="12" t="s">
        <v>86</v>
      </c>
      <c r="G590" s="1911" t="s">
        <v>2626</v>
      </c>
      <c r="H590" s="1911"/>
      <c r="I590" s="1911"/>
      <c r="J590" s="1911"/>
      <c r="K590" s="1911"/>
      <c r="L590" s="1911"/>
      <c r="M590" s="1911"/>
      <c r="N590" s="1911"/>
      <c r="O590" s="1911"/>
      <c r="P590" s="1911"/>
      <c r="Q590" s="1911"/>
      <c r="R590" s="1911"/>
      <c r="T590" s="35"/>
      <c r="U590" s="12" t="s">
        <v>86</v>
      </c>
      <c r="Z590" s="2113"/>
      <c r="AA590" s="2113"/>
      <c r="AB590" s="2113"/>
      <c r="AC590" s="2113"/>
      <c r="AD590" s="2113"/>
      <c r="AE590" s="2113"/>
      <c r="AF590" s="2113"/>
      <c r="AG590" s="2113"/>
      <c r="AH590" s="2113"/>
      <c r="AI590" s="2113"/>
      <c r="AJ590" s="2113"/>
      <c r="AK590" s="2113"/>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95" customHeight="1">
      <c r="A591" s="35"/>
      <c r="B591" s="12" t="s">
        <v>589</v>
      </c>
      <c r="G591" s="1911" t="s">
        <v>2627</v>
      </c>
      <c r="H591" s="1911"/>
      <c r="I591" s="1911"/>
      <c r="J591" s="1911"/>
      <c r="K591" s="1911"/>
      <c r="L591" s="1911"/>
      <c r="M591" s="1911"/>
      <c r="N591" s="1911"/>
      <c r="O591" s="1911"/>
      <c r="P591" s="1911"/>
      <c r="Q591" s="1911"/>
      <c r="R591" s="1911"/>
      <c r="T591" s="35"/>
      <c r="U591" s="12" t="s">
        <v>589</v>
      </c>
      <c r="Z591" s="2091"/>
      <c r="AA591" s="2091"/>
      <c r="AB591" s="2091"/>
      <c r="AC591" s="2091"/>
      <c r="AD591" s="2091"/>
      <c r="AE591" s="2091"/>
      <c r="AF591" s="2091"/>
      <c r="AG591" s="2091"/>
      <c r="AH591" s="2091"/>
      <c r="AI591" s="2091"/>
      <c r="AJ591" s="2091"/>
      <c r="AK591" s="2091"/>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95" customHeight="1">
      <c r="A592" s="35"/>
      <c r="B592" s="12" t="s">
        <v>17</v>
      </c>
      <c r="G592" s="1911" t="s">
        <v>2629</v>
      </c>
      <c r="H592" s="1911"/>
      <c r="I592" s="1911"/>
      <c r="J592" s="1911"/>
      <c r="K592" s="1911"/>
      <c r="L592" s="1911"/>
      <c r="M592" s="1911"/>
      <c r="N592" s="1911"/>
      <c r="O592" s="1911"/>
      <c r="P592" s="1911"/>
      <c r="Q592" s="1911"/>
      <c r="R592" s="1911"/>
      <c r="T592" s="35"/>
      <c r="U592" s="12" t="s">
        <v>17</v>
      </c>
      <c r="Z592" s="2091"/>
      <c r="AA592" s="2091"/>
      <c r="AB592" s="2091"/>
      <c r="AC592" s="2091"/>
      <c r="AD592" s="2091"/>
      <c r="AE592" s="2091"/>
      <c r="AF592" s="2091"/>
      <c r="AG592" s="2091"/>
      <c r="AH592" s="2091"/>
      <c r="AI592" s="2091"/>
      <c r="AJ592" s="2091"/>
      <c r="AK592" s="2091"/>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s="7" customFormat="1" ht="12.95" customHeight="1">
      <c r="A593" s="35"/>
      <c r="B593" s="12" t="s">
        <v>317</v>
      </c>
      <c r="C593" s="12"/>
      <c r="D593" s="12"/>
      <c r="E593" s="12"/>
      <c r="F593" s="12"/>
      <c r="G593" s="2239" t="s">
        <v>2630</v>
      </c>
      <c r="H593" s="2159"/>
      <c r="I593" s="2159"/>
      <c r="J593" s="2159"/>
      <c r="K593" s="2159"/>
      <c r="L593" s="2159"/>
      <c r="M593" s="12"/>
      <c r="N593" s="12"/>
      <c r="O593" s="137" t="s">
        <v>207</v>
      </c>
      <c r="P593" s="2167">
        <v>127</v>
      </c>
      <c r="Q593" s="2167"/>
      <c r="R593" s="2167"/>
      <c r="S593" s="12"/>
      <c r="T593" s="35"/>
      <c r="U593" s="12" t="s">
        <v>317</v>
      </c>
      <c r="V593" s="12"/>
      <c r="W593" s="12"/>
      <c r="X593" s="12"/>
      <c r="Y593" s="12"/>
      <c r="Z593" s="2159"/>
      <c r="AA593" s="2159"/>
      <c r="AB593" s="2159"/>
      <c r="AC593" s="2159"/>
      <c r="AD593" s="2159"/>
      <c r="AE593" s="2159"/>
      <c r="AF593" s="12"/>
      <c r="AG593" s="12"/>
      <c r="AH593" s="137" t="s">
        <v>207</v>
      </c>
      <c r="AI593" s="2167"/>
      <c r="AJ593" s="2167"/>
      <c r="AK593" s="2167"/>
      <c r="AL593" s="12"/>
      <c r="AM593" s="39"/>
      <c r="AN593" s="39"/>
      <c r="AO593" s="39"/>
      <c r="AP593" s="39"/>
      <c r="AQ593" s="39"/>
      <c r="AR593" s="39"/>
      <c r="AS593" s="39"/>
      <c r="AT593" s="39"/>
      <c r="AU593" s="39"/>
      <c r="AV593" s="39"/>
      <c r="AW593" s="39"/>
      <c r="AX593" s="39"/>
      <c r="AY593" s="39"/>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s="7" customFormat="1" ht="12.95" customHeight="1">
      <c r="A594" s="35"/>
      <c r="B594" s="12" t="s">
        <v>18</v>
      </c>
      <c r="C594" s="12"/>
      <c r="D594" s="12"/>
      <c r="E594" s="12"/>
      <c r="F594" s="12"/>
      <c r="G594" s="12"/>
      <c r="H594" s="2113" t="s">
        <v>2794</v>
      </c>
      <c r="I594" s="2113"/>
      <c r="J594" s="2113"/>
      <c r="K594" s="2113"/>
      <c r="L594" s="2113"/>
      <c r="M594" s="2113"/>
      <c r="N594" s="2113"/>
      <c r="O594" s="2113"/>
      <c r="P594" s="2113"/>
      <c r="Q594" s="2113"/>
      <c r="R594" s="2113"/>
      <c r="S594" s="12"/>
      <c r="T594" s="35"/>
      <c r="U594" s="12" t="s">
        <v>18</v>
      </c>
      <c r="V594" s="12"/>
      <c r="W594" s="12"/>
      <c r="X594" s="12"/>
      <c r="Y594" s="12"/>
      <c r="Z594" s="12"/>
      <c r="AA594" s="2113"/>
      <c r="AB594" s="2113"/>
      <c r="AC594" s="2113"/>
      <c r="AD594" s="2113"/>
      <c r="AE594" s="2113"/>
      <c r="AF594" s="2113"/>
      <c r="AG594" s="2113"/>
      <c r="AH594" s="2113"/>
      <c r="AI594" s="2113"/>
      <c r="AJ594" s="2113"/>
      <c r="AK594" s="2113"/>
      <c r="AL594" s="12"/>
      <c r="AM594" s="39"/>
      <c r="AN594" s="39"/>
      <c r="AO594" s="39"/>
      <c r="AP594" s="39"/>
      <c r="AQ594" s="39"/>
      <c r="AR594" s="39"/>
      <c r="AS594" s="39"/>
      <c r="AT594" s="39"/>
      <c r="AU594" s="39"/>
      <c r="AV594" s="39"/>
      <c r="AW594" s="39"/>
      <c r="AX594" s="39"/>
      <c r="AY594" s="39"/>
      <c r="AZ594" s="58"/>
      <c r="BA594" s="58"/>
      <c r="BB594" s="58"/>
      <c r="BC594" s="58"/>
      <c r="BD594" s="58"/>
      <c r="BE594" s="58"/>
      <c r="BF594" s="58"/>
      <c r="BG594" s="58"/>
      <c r="BH594" s="58"/>
      <c r="BI594" s="58"/>
      <c r="BJ594" s="58"/>
      <c r="BK594" s="58"/>
      <c r="BL594" s="58"/>
      <c r="BM594" s="58"/>
      <c r="BN594" s="58" t="s">
        <v>103</v>
      </c>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t="s">
        <v>361</v>
      </c>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X594" s="58" t="s">
        <v>2099</v>
      </c>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row>
    <row r="595" spans="1:157" s="7" customFormat="1" ht="12.95" customHeight="1">
      <c r="A595" s="35"/>
      <c r="B595" s="12" t="s">
        <v>20</v>
      </c>
      <c r="C595" s="12"/>
      <c r="D595" s="12"/>
      <c r="E595" s="12"/>
      <c r="F595" s="12"/>
      <c r="G595" s="12"/>
      <c r="H595" s="12"/>
      <c r="I595" s="12"/>
      <c r="J595" s="12"/>
      <c r="K595" s="12"/>
      <c r="L595" s="12"/>
      <c r="M595" s="12"/>
      <c r="N595" s="2095" t="s">
        <v>554</v>
      </c>
      <c r="O595" s="2095"/>
      <c r="P595" s="12"/>
      <c r="Q595" s="12"/>
      <c r="R595" s="12"/>
      <c r="S595" s="12"/>
      <c r="T595" s="35"/>
      <c r="U595" s="12" t="s">
        <v>20</v>
      </c>
      <c r="V595" s="12"/>
      <c r="W595" s="12"/>
      <c r="X595" s="12"/>
      <c r="Y595" s="12"/>
      <c r="Z595" s="12"/>
      <c r="AA595" s="12"/>
      <c r="AB595" s="12"/>
      <c r="AC595" s="12"/>
      <c r="AD595" s="12"/>
      <c r="AE595" s="12"/>
      <c r="AF595" s="12"/>
      <c r="AG595" s="2095" t="s">
        <v>678</v>
      </c>
      <c r="AH595" s="2095"/>
      <c r="AI595" s="12"/>
      <c r="AJ595" s="12"/>
      <c r="AK595" s="12"/>
      <c r="AL595" s="12"/>
      <c r="AM595" s="39"/>
      <c r="AN595" s="39"/>
      <c r="AO595" s="39"/>
      <c r="AP595" s="39"/>
      <c r="AQ595" s="39"/>
      <c r="AR595" s="39"/>
      <c r="AS595" s="39"/>
      <c r="AT595" s="39"/>
      <c r="AU595" s="39"/>
      <c r="AV595" s="39"/>
      <c r="AW595" s="39"/>
      <c r="AX595" s="39"/>
      <c r="AY595" s="39"/>
      <c r="BA595" s="7" t="s">
        <v>325</v>
      </c>
      <c r="BB595" s="58"/>
      <c r="BC595" s="58"/>
      <c r="BD595" s="58"/>
      <c r="BE595" s="185" t="s">
        <v>483</v>
      </c>
      <c r="BF595" s="186"/>
      <c r="BG595" s="2230"/>
      <c r="BH595" s="2231"/>
      <c r="BI595" s="185" t="s">
        <v>484</v>
      </c>
      <c r="BJ595" s="186"/>
      <c r="BK595" s="2230"/>
      <c r="BL595" s="2231"/>
      <c r="BM595" s="58"/>
      <c r="BN595" s="2447" t="s">
        <v>642</v>
      </c>
      <c r="BO595" s="2448"/>
      <c r="BP595" s="2448"/>
      <c r="BQ595" s="2448"/>
      <c r="BR595" s="2449"/>
      <c r="BS595" s="2237" t="s">
        <v>326</v>
      </c>
      <c r="BT595" s="2237"/>
      <c r="BU595" s="2237"/>
      <c r="BV595" s="2237"/>
      <c r="BW595" s="2237"/>
      <c r="BX595" s="2237" t="s">
        <v>164</v>
      </c>
      <c r="BY595" s="2237"/>
      <c r="BZ595" s="2237"/>
      <c r="CA595" s="2237"/>
      <c r="CB595" s="2237"/>
      <c r="CC595" s="2237" t="s">
        <v>165</v>
      </c>
      <c r="CD595" s="2237"/>
      <c r="CE595" s="2237"/>
      <c r="CF595" s="2237"/>
      <c r="CG595" s="2237"/>
      <c r="CH595" s="2237" t="s">
        <v>469</v>
      </c>
      <c r="CI595" s="2237"/>
      <c r="CJ595" s="2237"/>
      <c r="CK595" s="2237"/>
      <c r="CL595" s="2237"/>
      <c r="CM595" s="2237" t="s">
        <v>30</v>
      </c>
      <c r="CN595" s="2237"/>
      <c r="CO595" s="2237"/>
      <c r="CP595" s="2237"/>
      <c r="CQ595" s="2237"/>
      <c r="CR595" s="1637"/>
      <c r="CS595" s="2237" t="s">
        <v>642</v>
      </c>
      <c r="CT595" s="2237"/>
      <c r="CU595" s="2237"/>
      <c r="CV595" s="2237"/>
      <c r="CW595" s="2237"/>
      <c r="CX595" s="2237" t="s">
        <v>326</v>
      </c>
      <c r="CY595" s="2237"/>
      <c r="CZ595" s="2237"/>
      <c r="DA595" s="2237"/>
      <c r="DB595" s="2237"/>
      <c r="DC595" s="2237" t="s">
        <v>164</v>
      </c>
      <c r="DD595" s="2237"/>
      <c r="DE595" s="2237"/>
      <c r="DF595" s="2237"/>
      <c r="DG595" s="2237"/>
      <c r="DH595" s="2237" t="s">
        <v>165</v>
      </c>
      <c r="DI595" s="2237"/>
      <c r="DJ595" s="2237"/>
      <c r="DK595" s="2237"/>
      <c r="DL595" s="2237"/>
      <c r="DM595" s="2237" t="s">
        <v>469</v>
      </c>
      <c r="DN595" s="2237"/>
      <c r="DO595" s="2237"/>
      <c r="DP595" s="2237"/>
      <c r="DQ595" s="2237"/>
      <c r="DR595" s="2237" t="s">
        <v>30</v>
      </c>
      <c r="DS595" s="2237"/>
      <c r="DT595" s="2237"/>
      <c r="DU595" s="2237"/>
      <c r="DV595" s="2237"/>
      <c r="DX595" s="2237" t="s">
        <v>642</v>
      </c>
      <c r="DY595" s="2237"/>
      <c r="DZ595" s="2237"/>
      <c r="EA595" s="2237"/>
      <c r="EB595" s="2237"/>
      <c r="EC595" s="2237" t="s">
        <v>326</v>
      </c>
      <c r="ED595" s="2237"/>
      <c r="EE595" s="2237"/>
      <c r="EF595" s="2237"/>
      <c r="EG595" s="2237"/>
      <c r="EH595" s="2237" t="s">
        <v>164</v>
      </c>
      <c r="EI595" s="2237"/>
      <c r="EJ595" s="2237"/>
      <c r="EK595" s="2237"/>
      <c r="EL595" s="2237"/>
      <c r="EM595" s="2237" t="s">
        <v>165</v>
      </c>
      <c r="EN595" s="2237"/>
      <c r="EO595" s="2237"/>
      <c r="EP595" s="2237"/>
      <c r="EQ595" s="2237"/>
      <c r="ER595" s="2237" t="s">
        <v>469</v>
      </c>
      <c r="ES595" s="2237"/>
      <c r="ET595" s="2237"/>
      <c r="EU595" s="2237"/>
      <c r="EV595" s="2237"/>
      <c r="EW595" s="2237" t="s">
        <v>30</v>
      </c>
      <c r="EX595" s="2237"/>
      <c r="EY595" s="2237"/>
      <c r="EZ595" s="2237"/>
      <c r="FA595" s="2237"/>
    </row>
    <row r="596" spans="1:157" s="7" customFormat="1" ht="12.95" customHeight="1">
      <c r="A596" s="35"/>
      <c r="B596" s="12"/>
      <c r="C596" s="12"/>
      <c r="D596" s="12"/>
      <c r="E596" s="12"/>
      <c r="F596" s="12"/>
      <c r="G596" s="12"/>
      <c r="H596" s="12"/>
      <c r="I596" s="12"/>
      <c r="J596" s="12"/>
      <c r="K596" s="12"/>
      <c r="L596" s="12"/>
      <c r="M596" s="12"/>
      <c r="N596" s="12"/>
      <c r="O596" s="12"/>
      <c r="P596" s="12"/>
      <c r="Q596" s="12"/>
      <c r="R596" s="12"/>
      <c r="S596" s="12"/>
      <c r="T596" s="35"/>
      <c r="U596" s="12"/>
      <c r="V596" s="12"/>
      <c r="W596" s="12"/>
      <c r="X596" s="12"/>
      <c r="Y596" s="12"/>
      <c r="Z596" s="12"/>
      <c r="AA596" s="12"/>
      <c r="AB596" s="12"/>
      <c r="AC596" s="12"/>
      <c r="AD596" s="12"/>
      <c r="AE596" s="12"/>
      <c r="AF596" s="12"/>
      <c r="AG596" s="12"/>
      <c r="AH596" s="12"/>
      <c r="AI596" s="12"/>
      <c r="AJ596" s="12"/>
      <c r="AK596" s="12"/>
      <c r="AL596" s="12"/>
      <c r="AM596" s="39"/>
      <c r="AN596" s="39"/>
      <c r="AO596" s="39"/>
      <c r="AP596" s="39"/>
      <c r="AQ596" s="39"/>
      <c r="AR596" s="39"/>
      <c r="AS596" s="39"/>
      <c r="AT596" s="39"/>
      <c r="AU596" s="39"/>
      <c r="AV596" s="39"/>
      <c r="AW596" s="39"/>
      <c r="AX596" s="39"/>
      <c r="AY596" s="39"/>
      <c r="BA596" s="7" t="s">
        <v>326</v>
      </c>
      <c r="BB596" s="58"/>
      <c r="BC596" s="58"/>
      <c r="BD596" s="58"/>
      <c r="BE596" s="2136">
        <f t="shared" ref="BE596:BE620" si="2">IF(AND(AC714&lt;=0.5,AC714&gt;=0.36),1,0)</f>
        <v>0</v>
      </c>
      <c r="BF596" s="2137"/>
      <c r="BG596" s="2230">
        <f t="shared" ref="BG596:BG620" si="3">IF(BE596=1,G714,0)</f>
        <v>0</v>
      </c>
      <c r="BH596" s="2231"/>
      <c r="BI596" s="2136">
        <f t="shared" ref="BI596:BI620" si="4">IF(AND(AC714&lt;=0.35,AC714&gt;0),1,0)</f>
        <v>1</v>
      </c>
      <c r="BJ596" s="2137"/>
      <c r="BK596" s="2230">
        <f t="shared" ref="BK596:BK620" si="5">IF(BI596=1,G714,0)</f>
        <v>25</v>
      </c>
      <c r="BL596" s="2231"/>
      <c r="BM596" s="58"/>
      <c r="BN596" s="2227">
        <f t="shared" ref="BN596:BN620" si="6">IF(B714="SRO/Studio",G714,0)</f>
        <v>0</v>
      </c>
      <c r="BO596" s="2228"/>
      <c r="BP596" s="2228"/>
      <c r="BQ596" s="2228"/>
      <c r="BR596" s="2229"/>
      <c r="BS596" s="2114">
        <f t="shared" ref="BS596:BS620" si="7">IF(B714="1 Bedroom",G714,0)</f>
        <v>25</v>
      </c>
      <c r="BT596" s="2114"/>
      <c r="BU596" s="2114"/>
      <c r="BV596" s="2114"/>
      <c r="BW596" s="2114"/>
      <c r="BX596" s="2114">
        <f t="shared" ref="BX596:BX620" si="8">IF(B714="2 Bedrooms",G714,0)</f>
        <v>0</v>
      </c>
      <c r="BY596" s="2114"/>
      <c r="BZ596" s="2114"/>
      <c r="CA596" s="2114"/>
      <c r="CB596" s="2114"/>
      <c r="CC596" s="2114">
        <f t="shared" ref="CC596:CC620" si="9">IF(B714="3 Bedrooms",G714,0)</f>
        <v>0</v>
      </c>
      <c r="CD596" s="2114"/>
      <c r="CE596" s="2114"/>
      <c r="CF596" s="2114"/>
      <c r="CG596" s="2114"/>
      <c r="CH596" s="2114">
        <f t="shared" ref="CH596:CH620" si="10">IF(B714="4 Bedrooms",G714,0)</f>
        <v>0</v>
      </c>
      <c r="CI596" s="2114"/>
      <c r="CJ596" s="2114"/>
      <c r="CK596" s="2114"/>
      <c r="CL596" s="2114"/>
      <c r="CM596" s="2114">
        <f t="shared" ref="CM596:CM620" si="11">IF(B714="5 Bedrooms",G714,0)</f>
        <v>0</v>
      </c>
      <c r="CN596" s="2114"/>
      <c r="CO596" s="2114"/>
      <c r="CP596" s="2114"/>
      <c r="CQ596" s="2114"/>
      <c r="CR596" s="264"/>
      <c r="CS596" s="2435">
        <f t="shared" ref="CS596:CS620" si="12">IF(AND(B714="SRO/Studio",AC714&lt;=0.3),G714,0)</f>
        <v>0</v>
      </c>
      <c r="CT596" s="2435"/>
      <c r="CU596" s="2435"/>
      <c r="CV596" s="2435"/>
      <c r="CW596" s="2435"/>
      <c r="CX596" s="2435">
        <f t="shared" ref="CX596:CX620" si="13">IF(AND(B714="1 Bedroom",AC714&lt;=0.3),G714,0)</f>
        <v>25</v>
      </c>
      <c r="CY596" s="2435"/>
      <c r="CZ596" s="2435"/>
      <c r="DA596" s="2435"/>
      <c r="DB596" s="2435"/>
      <c r="DC596" s="2435">
        <f t="shared" ref="DC596:DC620" si="14">IF(AND(B714="2 Bedrooms",AC714&lt;=0.3),G714,0)</f>
        <v>0</v>
      </c>
      <c r="DD596" s="2435"/>
      <c r="DE596" s="2435"/>
      <c r="DF596" s="2435"/>
      <c r="DG596" s="2435"/>
      <c r="DH596" s="2435">
        <f t="shared" ref="DH596:DH620" si="15">IF(AND(B714="3 Bedrooms",AC714&lt;=0.3),G714,0)</f>
        <v>0</v>
      </c>
      <c r="DI596" s="2435"/>
      <c r="DJ596" s="2435"/>
      <c r="DK596" s="2435"/>
      <c r="DL596" s="2435"/>
      <c r="DM596" s="2435">
        <f t="shared" ref="DM596:DM620" si="16">IF(AND(B714="4 Bedrooms",AC714&lt;=0.3),G714,0)</f>
        <v>0</v>
      </c>
      <c r="DN596" s="2435"/>
      <c r="DO596" s="2435"/>
      <c r="DP596" s="2435"/>
      <c r="DQ596" s="2435"/>
      <c r="DR596" s="2435">
        <f t="shared" ref="DR596:DR620" si="17">IF(AND(B714="5 Bedrooms",AC714&lt;=0.3),G714,0)</f>
        <v>0</v>
      </c>
      <c r="DS596" s="2435"/>
      <c r="DT596" s="2435"/>
      <c r="DU596" s="2435"/>
      <c r="DV596" s="2435"/>
      <c r="DX596" s="2136" t="str">
        <f t="shared" ref="DX596:DX620" si="18">IF(BN596&gt;0,O714," ")</f>
        <v xml:space="preserve"> </v>
      </c>
      <c r="DY596" s="2605"/>
      <c r="DZ596" s="2605"/>
      <c r="EA596" s="2605"/>
      <c r="EB596" s="2137"/>
      <c r="EC596" s="2136">
        <f t="shared" ref="EC596:EC620" si="19">IF(BS596&gt;0,O714," ")</f>
        <v>271</v>
      </c>
      <c r="ED596" s="2605"/>
      <c r="EE596" s="2605"/>
      <c r="EF596" s="2605"/>
      <c r="EG596" s="2137"/>
      <c r="EH596" s="2136" t="str">
        <f t="shared" ref="EH596:EH620" si="20">IF(BX596&gt;0,O714," ")</f>
        <v xml:space="preserve"> </v>
      </c>
      <c r="EI596" s="2605"/>
      <c r="EJ596" s="2605"/>
      <c r="EK596" s="2605"/>
      <c r="EL596" s="2137"/>
      <c r="EM596" s="2136" t="str">
        <f t="shared" ref="EM596:EM620" si="21">IF(CC596&gt;0,O714," ")</f>
        <v xml:space="preserve"> </v>
      </c>
      <c r="EN596" s="2605"/>
      <c r="EO596" s="2605"/>
      <c r="EP596" s="2605"/>
      <c r="EQ596" s="2137"/>
      <c r="ER596" s="2136" t="str">
        <f t="shared" ref="ER596:ER620" si="22">IF(CH596&gt;0,O714," ")</f>
        <v xml:space="preserve"> </v>
      </c>
      <c r="ES596" s="2605"/>
      <c r="ET596" s="2605"/>
      <c r="EU596" s="2605"/>
      <c r="EV596" s="2137"/>
      <c r="EW596" s="2136" t="str">
        <f t="shared" ref="EW596:EW620" si="23">IF(CM596&gt;0,O714," ")</f>
        <v xml:space="preserve"> </v>
      </c>
      <c r="EX596" s="2605"/>
      <c r="EY596" s="2605"/>
      <c r="EZ596" s="2605"/>
      <c r="FA596" s="2137"/>
    </row>
    <row r="597" spans="1:157" s="7" customFormat="1" ht="12.95" customHeight="1">
      <c r="A597" s="87" t="s">
        <v>470</v>
      </c>
      <c r="B597" s="12" t="s">
        <v>472</v>
      </c>
      <c r="C597" s="12"/>
      <c r="D597" s="12"/>
      <c r="E597" s="12"/>
      <c r="F597" s="12"/>
      <c r="G597" s="2238">
        <f>C558</f>
        <v>0</v>
      </c>
      <c r="H597" s="2238"/>
      <c r="I597" s="2238"/>
      <c r="J597" s="2238"/>
      <c r="K597" s="2238"/>
      <c r="L597" s="2238"/>
      <c r="M597" s="2238"/>
      <c r="N597" s="2238"/>
      <c r="O597" s="2238"/>
      <c r="P597" s="2238"/>
      <c r="Q597" s="2238"/>
      <c r="R597" s="2238"/>
      <c r="S597" s="12"/>
      <c r="T597" s="87" t="s">
        <v>655</v>
      </c>
      <c r="U597" s="12" t="s">
        <v>472</v>
      </c>
      <c r="V597" s="12"/>
      <c r="W597" s="12"/>
      <c r="X597" s="12"/>
      <c r="Y597" s="12"/>
      <c r="Z597" s="2238">
        <f>C559</f>
        <v>0</v>
      </c>
      <c r="AA597" s="2238"/>
      <c r="AB597" s="2238"/>
      <c r="AC597" s="2238"/>
      <c r="AD597" s="2238"/>
      <c r="AE597" s="2238"/>
      <c r="AF597" s="2238"/>
      <c r="AG597" s="2238"/>
      <c r="AH597" s="2238"/>
      <c r="AI597" s="2238"/>
      <c r="AJ597" s="2238"/>
      <c r="AK597" s="2238"/>
      <c r="AL597" s="12"/>
      <c r="AM597" s="39"/>
      <c r="AN597" s="39"/>
      <c r="AO597" s="39"/>
      <c r="AP597" s="39"/>
      <c r="AQ597" s="39"/>
      <c r="AR597" s="39"/>
      <c r="AS597" s="39"/>
      <c r="AT597" s="39"/>
      <c r="AU597" s="39"/>
      <c r="AV597" s="39"/>
      <c r="AW597" s="39"/>
      <c r="AX597" s="39"/>
      <c r="AY597" s="39"/>
      <c r="BA597" s="7" t="s">
        <v>164</v>
      </c>
      <c r="BB597" s="58"/>
      <c r="BC597" s="58"/>
      <c r="BD597" s="58"/>
      <c r="BE597" s="2136">
        <f t="shared" si="2"/>
        <v>0</v>
      </c>
      <c r="BF597" s="2137"/>
      <c r="BG597" s="2230">
        <f t="shared" si="3"/>
        <v>0</v>
      </c>
      <c r="BH597" s="2231"/>
      <c r="BI597" s="2136">
        <f t="shared" si="4"/>
        <v>1</v>
      </c>
      <c r="BJ597" s="2137"/>
      <c r="BK597" s="2230">
        <f t="shared" si="5"/>
        <v>7</v>
      </c>
      <c r="BL597" s="2231"/>
      <c r="BM597" s="58"/>
      <c r="BN597" s="2227">
        <f t="shared" si="6"/>
        <v>0</v>
      </c>
      <c r="BO597" s="2228"/>
      <c r="BP597" s="2228"/>
      <c r="BQ597" s="2228"/>
      <c r="BR597" s="2229"/>
      <c r="BS597" s="2114">
        <f t="shared" si="7"/>
        <v>7</v>
      </c>
      <c r="BT597" s="2114"/>
      <c r="BU597" s="2114"/>
      <c r="BV597" s="2114"/>
      <c r="BW597" s="2114"/>
      <c r="BX597" s="2114">
        <f t="shared" si="8"/>
        <v>0</v>
      </c>
      <c r="BY597" s="2114"/>
      <c r="BZ597" s="2114"/>
      <c r="CA597" s="2114"/>
      <c r="CB597" s="2114"/>
      <c r="CC597" s="2114">
        <f t="shared" si="9"/>
        <v>0</v>
      </c>
      <c r="CD597" s="2114"/>
      <c r="CE597" s="2114"/>
      <c r="CF597" s="2114"/>
      <c r="CG597" s="2114"/>
      <c r="CH597" s="2114">
        <f t="shared" si="10"/>
        <v>0</v>
      </c>
      <c r="CI597" s="2114"/>
      <c r="CJ597" s="2114"/>
      <c r="CK597" s="2114"/>
      <c r="CL597" s="2114"/>
      <c r="CM597" s="2114">
        <f t="shared" si="11"/>
        <v>0</v>
      </c>
      <c r="CN597" s="2114"/>
      <c r="CO597" s="2114"/>
      <c r="CP597" s="2114"/>
      <c r="CQ597" s="2114"/>
      <c r="CR597" s="264"/>
      <c r="CS597" s="2435">
        <f t="shared" si="12"/>
        <v>0</v>
      </c>
      <c r="CT597" s="2435"/>
      <c r="CU597" s="2435"/>
      <c r="CV597" s="2435"/>
      <c r="CW597" s="2435"/>
      <c r="CX597" s="2435">
        <f t="shared" si="13"/>
        <v>7</v>
      </c>
      <c r="CY597" s="2435"/>
      <c r="CZ597" s="2435"/>
      <c r="DA597" s="2435"/>
      <c r="DB597" s="2435"/>
      <c r="DC597" s="2435">
        <f t="shared" si="14"/>
        <v>0</v>
      </c>
      <c r="DD597" s="2435"/>
      <c r="DE597" s="2435"/>
      <c r="DF597" s="2435"/>
      <c r="DG597" s="2435"/>
      <c r="DH597" s="2435">
        <f t="shared" si="15"/>
        <v>0</v>
      </c>
      <c r="DI597" s="2435"/>
      <c r="DJ597" s="2435"/>
      <c r="DK597" s="2435"/>
      <c r="DL597" s="2435"/>
      <c r="DM597" s="2435">
        <f t="shared" si="16"/>
        <v>0</v>
      </c>
      <c r="DN597" s="2435"/>
      <c r="DO597" s="2435"/>
      <c r="DP597" s="2435"/>
      <c r="DQ597" s="2435"/>
      <c r="DR597" s="2435">
        <f t="shared" si="17"/>
        <v>0</v>
      </c>
      <c r="DS597" s="2435"/>
      <c r="DT597" s="2435"/>
      <c r="DU597" s="2435"/>
      <c r="DV597" s="2435"/>
      <c r="DX597" s="2136" t="str">
        <f t="shared" si="18"/>
        <v xml:space="preserve"> </v>
      </c>
      <c r="DY597" s="2605"/>
      <c r="DZ597" s="2605"/>
      <c r="EA597" s="2605"/>
      <c r="EB597" s="2137"/>
      <c r="EC597" s="2136">
        <f t="shared" si="19"/>
        <v>436</v>
      </c>
      <c r="ED597" s="2605"/>
      <c r="EE597" s="2605"/>
      <c r="EF597" s="2605"/>
      <c r="EG597" s="2137"/>
      <c r="EH597" s="2136" t="str">
        <f t="shared" si="20"/>
        <v xml:space="preserve"> </v>
      </c>
      <c r="EI597" s="2605"/>
      <c r="EJ597" s="2605"/>
      <c r="EK597" s="2605"/>
      <c r="EL597" s="2137"/>
      <c r="EM597" s="2136" t="str">
        <f t="shared" si="21"/>
        <v xml:space="preserve"> </v>
      </c>
      <c r="EN597" s="2605"/>
      <c r="EO597" s="2605"/>
      <c r="EP597" s="2605"/>
      <c r="EQ597" s="2137"/>
      <c r="ER597" s="2136" t="str">
        <f t="shared" si="22"/>
        <v xml:space="preserve"> </v>
      </c>
      <c r="ES597" s="2605"/>
      <c r="ET597" s="2605"/>
      <c r="EU597" s="2605"/>
      <c r="EV597" s="2137"/>
      <c r="EW597" s="2136" t="str">
        <f t="shared" si="23"/>
        <v xml:space="preserve"> </v>
      </c>
      <c r="EX597" s="2605"/>
      <c r="EY597" s="2605"/>
      <c r="EZ597" s="2605"/>
      <c r="FA597" s="2137"/>
    </row>
    <row r="598" spans="1:157" ht="12.95" customHeight="1">
      <c r="A598" s="35"/>
      <c r="B598" s="12" t="s">
        <v>86</v>
      </c>
      <c r="G598" s="2113"/>
      <c r="H598" s="2113"/>
      <c r="I598" s="2113"/>
      <c r="J598" s="2113"/>
      <c r="K598" s="2113"/>
      <c r="L598" s="2113"/>
      <c r="M598" s="2113"/>
      <c r="N598" s="2113"/>
      <c r="O598" s="2113"/>
      <c r="P598" s="2113"/>
      <c r="Q598" s="2113"/>
      <c r="R598" s="2113"/>
      <c r="T598" s="35"/>
      <c r="U598" s="12" t="s">
        <v>86</v>
      </c>
      <c r="Z598" s="2113"/>
      <c r="AA598" s="2113"/>
      <c r="AB598" s="2113"/>
      <c r="AC598" s="2113"/>
      <c r="AD598" s="2113"/>
      <c r="AE598" s="2113"/>
      <c r="AF598" s="2113"/>
      <c r="AG598" s="2113"/>
      <c r="AH598" s="2113"/>
      <c r="AI598" s="2113"/>
      <c r="AJ598" s="2113"/>
      <c r="AK598" s="2113"/>
      <c r="BA598" s="7" t="s">
        <v>165</v>
      </c>
      <c r="BB598" s="58"/>
      <c r="BC598" s="58"/>
      <c r="BD598" s="58"/>
      <c r="BE598" s="2136">
        <f t="shared" si="2"/>
        <v>1</v>
      </c>
      <c r="BF598" s="2137"/>
      <c r="BG598" s="2230">
        <f t="shared" si="3"/>
        <v>3</v>
      </c>
      <c r="BH598" s="2231"/>
      <c r="BI598" s="2136">
        <f t="shared" si="4"/>
        <v>0</v>
      </c>
      <c r="BJ598" s="2137"/>
      <c r="BK598" s="2230">
        <f t="shared" si="5"/>
        <v>0</v>
      </c>
      <c r="BL598" s="2231"/>
      <c r="BM598" s="58"/>
      <c r="BN598" s="2227">
        <f t="shared" si="6"/>
        <v>0</v>
      </c>
      <c r="BO598" s="2228"/>
      <c r="BP598" s="2228"/>
      <c r="BQ598" s="2228"/>
      <c r="BR598" s="2229"/>
      <c r="BS598" s="2114">
        <f t="shared" si="7"/>
        <v>3</v>
      </c>
      <c r="BT598" s="2114"/>
      <c r="BU598" s="2114"/>
      <c r="BV598" s="2114"/>
      <c r="BW598" s="2114"/>
      <c r="BX598" s="2114">
        <f t="shared" si="8"/>
        <v>0</v>
      </c>
      <c r="BY598" s="2114"/>
      <c r="BZ598" s="2114"/>
      <c r="CA598" s="2114"/>
      <c r="CB598" s="2114"/>
      <c r="CC598" s="2114">
        <f t="shared" si="9"/>
        <v>0</v>
      </c>
      <c r="CD598" s="2114"/>
      <c r="CE598" s="2114"/>
      <c r="CF598" s="2114"/>
      <c r="CG598" s="2114"/>
      <c r="CH598" s="2114">
        <f t="shared" si="10"/>
        <v>0</v>
      </c>
      <c r="CI598" s="2114"/>
      <c r="CJ598" s="2114"/>
      <c r="CK598" s="2114"/>
      <c r="CL598" s="2114"/>
      <c r="CM598" s="2114">
        <f t="shared" si="11"/>
        <v>0</v>
      </c>
      <c r="CN598" s="2114"/>
      <c r="CO598" s="2114"/>
      <c r="CP598" s="2114"/>
      <c r="CQ598" s="2114"/>
      <c r="CR598" s="264"/>
      <c r="CS598" s="2435">
        <f t="shared" si="12"/>
        <v>0</v>
      </c>
      <c r="CT598" s="2435"/>
      <c r="CU598" s="2435"/>
      <c r="CV598" s="2435"/>
      <c r="CW598" s="2435"/>
      <c r="CX598" s="2435">
        <f t="shared" si="13"/>
        <v>0</v>
      </c>
      <c r="CY598" s="2435"/>
      <c r="CZ598" s="2435"/>
      <c r="DA598" s="2435"/>
      <c r="DB598" s="2435"/>
      <c r="DC598" s="2435">
        <f t="shared" si="14"/>
        <v>0</v>
      </c>
      <c r="DD598" s="2435"/>
      <c r="DE598" s="2435"/>
      <c r="DF598" s="2435"/>
      <c r="DG598" s="2435"/>
      <c r="DH598" s="2435">
        <f t="shared" si="15"/>
        <v>0</v>
      </c>
      <c r="DI598" s="2435"/>
      <c r="DJ598" s="2435"/>
      <c r="DK598" s="2435"/>
      <c r="DL598" s="2435"/>
      <c r="DM598" s="2435">
        <f t="shared" si="16"/>
        <v>0</v>
      </c>
      <c r="DN598" s="2435"/>
      <c r="DO598" s="2435"/>
      <c r="DP598" s="2435"/>
      <c r="DQ598" s="2435"/>
      <c r="DR598" s="2435">
        <f t="shared" si="17"/>
        <v>0</v>
      </c>
      <c r="DS598" s="2435"/>
      <c r="DT598" s="2435"/>
      <c r="DU598" s="2435"/>
      <c r="DV598" s="2435"/>
      <c r="DX598" s="2136" t="str">
        <f t="shared" si="18"/>
        <v xml:space="preserve"> </v>
      </c>
      <c r="DY598" s="2605"/>
      <c r="DZ598" s="2605"/>
      <c r="EA598" s="2605"/>
      <c r="EB598" s="2137"/>
      <c r="EC598" s="2136">
        <f t="shared" si="19"/>
        <v>766</v>
      </c>
      <c r="ED598" s="2605"/>
      <c r="EE598" s="2605"/>
      <c r="EF598" s="2605"/>
      <c r="EG598" s="2137"/>
      <c r="EH598" s="2136" t="str">
        <f t="shared" si="20"/>
        <v xml:space="preserve"> </v>
      </c>
      <c r="EI598" s="2605"/>
      <c r="EJ598" s="2605"/>
      <c r="EK598" s="2605"/>
      <c r="EL598" s="2137"/>
      <c r="EM598" s="2136" t="str">
        <f t="shared" si="21"/>
        <v xml:space="preserve"> </v>
      </c>
      <c r="EN598" s="2605"/>
      <c r="EO598" s="2605"/>
      <c r="EP598" s="2605"/>
      <c r="EQ598" s="2137"/>
      <c r="ER598" s="2136" t="str">
        <f t="shared" si="22"/>
        <v xml:space="preserve"> </v>
      </c>
      <c r="ES598" s="2605"/>
      <c r="ET598" s="2605"/>
      <c r="EU598" s="2605"/>
      <c r="EV598" s="2137"/>
      <c r="EW598" s="2136" t="str">
        <f t="shared" si="23"/>
        <v xml:space="preserve"> </v>
      </c>
      <c r="EX598" s="2605"/>
      <c r="EY598" s="2605"/>
      <c r="EZ598" s="2605"/>
      <c r="FA598" s="2137"/>
    </row>
    <row r="599" spans="1:157" ht="12.95" customHeight="1">
      <c r="A599" s="35"/>
      <c r="B599" s="12" t="s">
        <v>589</v>
      </c>
      <c r="G599" s="2113"/>
      <c r="H599" s="2113"/>
      <c r="I599" s="2113"/>
      <c r="J599" s="2113"/>
      <c r="K599" s="2113"/>
      <c r="L599" s="2113"/>
      <c r="M599" s="2113"/>
      <c r="N599" s="2113"/>
      <c r="O599" s="2113"/>
      <c r="P599" s="2113"/>
      <c r="Q599" s="2113"/>
      <c r="R599" s="2113"/>
      <c r="T599" s="35"/>
      <c r="U599" s="12" t="s">
        <v>589</v>
      </c>
      <c r="Z599" s="2091"/>
      <c r="AA599" s="2091"/>
      <c r="AB599" s="2091"/>
      <c r="AC599" s="2091"/>
      <c r="AD599" s="2091"/>
      <c r="AE599" s="2091"/>
      <c r="AF599" s="2091"/>
      <c r="AG599" s="2091"/>
      <c r="AH599" s="2091"/>
      <c r="AI599" s="2091"/>
      <c r="AJ599" s="2091"/>
      <c r="AK599" s="2091"/>
      <c r="BA599" s="7" t="s">
        <v>166</v>
      </c>
      <c r="BB599" s="58"/>
      <c r="BC599" s="58"/>
      <c r="BD599" s="58"/>
      <c r="BE599" s="2136">
        <f t="shared" si="2"/>
        <v>0</v>
      </c>
      <c r="BF599" s="2137"/>
      <c r="BG599" s="2230">
        <f t="shared" si="3"/>
        <v>0</v>
      </c>
      <c r="BH599" s="2231"/>
      <c r="BI599" s="2136">
        <f t="shared" si="4"/>
        <v>0</v>
      </c>
      <c r="BJ599" s="2137"/>
      <c r="BK599" s="2230">
        <f t="shared" si="5"/>
        <v>0</v>
      </c>
      <c r="BL599" s="2231"/>
      <c r="BM599" s="58"/>
      <c r="BN599" s="2227">
        <f t="shared" si="6"/>
        <v>0</v>
      </c>
      <c r="BO599" s="2228"/>
      <c r="BP599" s="2228"/>
      <c r="BQ599" s="2228"/>
      <c r="BR599" s="2229"/>
      <c r="BS599" s="2114">
        <f t="shared" si="7"/>
        <v>12</v>
      </c>
      <c r="BT599" s="2114"/>
      <c r="BU599" s="2114"/>
      <c r="BV599" s="2114"/>
      <c r="BW599" s="2114"/>
      <c r="BX599" s="2114">
        <f t="shared" si="8"/>
        <v>0</v>
      </c>
      <c r="BY599" s="2114"/>
      <c r="BZ599" s="2114"/>
      <c r="CA599" s="2114"/>
      <c r="CB599" s="2114"/>
      <c r="CC599" s="2114">
        <f t="shared" si="9"/>
        <v>0</v>
      </c>
      <c r="CD599" s="2114"/>
      <c r="CE599" s="2114"/>
      <c r="CF599" s="2114"/>
      <c r="CG599" s="2114"/>
      <c r="CH599" s="2114">
        <f t="shared" si="10"/>
        <v>0</v>
      </c>
      <c r="CI599" s="2114"/>
      <c r="CJ599" s="2114"/>
      <c r="CK599" s="2114"/>
      <c r="CL599" s="2114"/>
      <c r="CM599" s="2114">
        <f t="shared" si="11"/>
        <v>0</v>
      </c>
      <c r="CN599" s="2114"/>
      <c r="CO599" s="2114"/>
      <c r="CP599" s="2114"/>
      <c r="CQ599" s="2114"/>
      <c r="CR599" s="264"/>
      <c r="CS599" s="2435">
        <f t="shared" si="12"/>
        <v>0</v>
      </c>
      <c r="CT599" s="2435"/>
      <c r="CU599" s="2435"/>
      <c r="CV599" s="2435"/>
      <c r="CW599" s="2435"/>
      <c r="CX599" s="2435">
        <f t="shared" si="13"/>
        <v>0</v>
      </c>
      <c r="CY599" s="2435"/>
      <c r="CZ599" s="2435"/>
      <c r="DA599" s="2435"/>
      <c r="DB599" s="2435"/>
      <c r="DC599" s="2435">
        <f t="shared" si="14"/>
        <v>0</v>
      </c>
      <c r="DD599" s="2435"/>
      <c r="DE599" s="2435"/>
      <c r="DF599" s="2435"/>
      <c r="DG599" s="2435"/>
      <c r="DH599" s="2435">
        <f t="shared" si="15"/>
        <v>0</v>
      </c>
      <c r="DI599" s="2435"/>
      <c r="DJ599" s="2435"/>
      <c r="DK599" s="2435"/>
      <c r="DL599" s="2435"/>
      <c r="DM599" s="2435">
        <f t="shared" si="16"/>
        <v>0</v>
      </c>
      <c r="DN599" s="2435"/>
      <c r="DO599" s="2435"/>
      <c r="DP599" s="2435"/>
      <c r="DQ599" s="2435"/>
      <c r="DR599" s="2435">
        <f t="shared" si="17"/>
        <v>0</v>
      </c>
      <c r="DS599" s="2435"/>
      <c r="DT599" s="2435"/>
      <c r="DU599" s="2435"/>
      <c r="DV599" s="2435"/>
      <c r="DX599" s="2136" t="str">
        <f t="shared" si="18"/>
        <v xml:space="preserve"> </v>
      </c>
      <c r="DY599" s="2605"/>
      <c r="DZ599" s="2605"/>
      <c r="EA599" s="2605"/>
      <c r="EB599" s="2137"/>
      <c r="EC599" s="2136">
        <f t="shared" si="19"/>
        <v>931</v>
      </c>
      <c r="ED599" s="2605"/>
      <c r="EE599" s="2605"/>
      <c r="EF599" s="2605"/>
      <c r="EG599" s="2137"/>
      <c r="EH599" s="2136" t="str">
        <f t="shared" si="20"/>
        <v xml:space="preserve"> </v>
      </c>
      <c r="EI599" s="2605"/>
      <c r="EJ599" s="2605"/>
      <c r="EK599" s="2605"/>
      <c r="EL599" s="2137"/>
      <c r="EM599" s="2136" t="str">
        <f t="shared" si="21"/>
        <v xml:space="preserve"> </v>
      </c>
      <c r="EN599" s="2605"/>
      <c r="EO599" s="2605"/>
      <c r="EP599" s="2605"/>
      <c r="EQ599" s="2137"/>
      <c r="ER599" s="2136" t="str">
        <f t="shared" si="22"/>
        <v xml:space="preserve"> </v>
      </c>
      <c r="ES599" s="2605"/>
      <c r="ET599" s="2605"/>
      <c r="EU599" s="2605"/>
      <c r="EV599" s="2137"/>
      <c r="EW599" s="2136" t="str">
        <f t="shared" si="23"/>
        <v xml:space="preserve"> </v>
      </c>
      <c r="EX599" s="2605"/>
      <c r="EY599" s="2605"/>
      <c r="EZ599" s="2605"/>
      <c r="FA599" s="2137"/>
    </row>
    <row r="600" spans="1:157" ht="12.95" customHeight="1">
      <c r="A600" s="35"/>
      <c r="B600" s="12" t="s">
        <v>17</v>
      </c>
      <c r="G600" s="2113"/>
      <c r="H600" s="2113"/>
      <c r="I600" s="2113"/>
      <c r="J600" s="2113"/>
      <c r="K600" s="2113"/>
      <c r="L600" s="2113"/>
      <c r="M600" s="2113"/>
      <c r="N600" s="2113"/>
      <c r="O600" s="2113"/>
      <c r="P600" s="2113"/>
      <c r="Q600" s="2113"/>
      <c r="R600" s="2113"/>
      <c r="T600" s="35"/>
      <c r="U600" s="12" t="s">
        <v>17</v>
      </c>
      <c r="Z600" s="2091"/>
      <c r="AA600" s="2091"/>
      <c r="AB600" s="2091"/>
      <c r="AC600" s="2091"/>
      <c r="AD600" s="2091"/>
      <c r="AE600" s="2091"/>
      <c r="AF600" s="2091"/>
      <c r="AG600" s="2091"/>
      <c r="AH600" s="2091"/>
      <c r="AI600" s="2091"/>
      <c r="AJ600" s="2091"/>
      <c r="AK600" s="2091"/>
      <c r="BA600" s="7" t="s">
        <v>30</v>
      </c>
      <c r="BB600" s="58"/>
      <c r="BC600" s="58"/>
      <c r="BD600" s="58"/>
      <c r="BE600" s="2136">
        <f t="shared" si="2"/>
        <v>0</v>
      </c>
      <c r="BF600" s="2137"/>
      <c r="BG600" s="2230">
        <f t="shared" si="3"/>
        <v>0</v>
      </c>
      <c r="BH600" s="2231"/>
      <c r="BI600" s="2136">
        <f t="shared" si="4"/>
        <v>0</v>
      </c>
      <c r="BJ600" s="2137"/>
      <c r="BK600" s="2230">
        <f t="shared" si="5"/>
        <v>0</v>
      </c>
      <c r="BL600" s="2231"/>
      <c r="BM600" s="58"/>
      <c r="BN600" s="2227">
        <f t="shared" si="6"/>
        <v>0</v>
      </c>
      <c r="BO600" s="2228"/>
      <c r="BP600" s="2228"/>
      <c r="BQ600" s="2228"/>
      <c r="BR600" s="2229"/>
      <c r="BS600" s="2114">
        <f t="shared" si="7"/>
        <v>22</v>
      </c>
      <c r="BT600" s="2114"/>
      <c r="BU600" s="2114"/>
      <c r="BV600" s="2114"/>
      <c r="BW600" s="2114"/>
      <c r="BX600" s="2114">
        <f t="shared" si="8"/>
        <v>0</v>
      </c>
      <c r="BY600" s="2114"/>
      <c r="BZ600" s="2114"/>
      <c r="CA600" s="2114"/>
      <c r="CB600" s="2114"/>
      <c r="CC600" s="2114">
        <f t="shared" si="9"/>
        <v>0</v>
      </c>
      <c r="CD600" s="2114"/>
      <c r="CE600" s="2114"/>
      <c r="CF600" s="2114"/>
      <c r="CG600" s="2114"/>
      <c r="CH600" s="2114">
        <f t="shared" si="10"/>
        <v>0</v>
      </c>
      <c r="CI600" s="2114"/>
      <c r="CJ600" s="2114"/>
      <c r="CK600" s="2114"/>
      <c r="CL600" s="2114"/>
      <c r="CM600" s="2114">
        <f t="shared" si="11"/>
        <v>0</v>
      </c>
      <c r="CN600" s="2114"/>
      <c r="CO600" s="2114"/>
      <c r="CP600" s="2114"/>
      <c r="CQ600" s="2114"/>
      <c r="CR600" s="264"/>
      <c r="CS600" s="2435">
        <f t="shared" si="12"/>
        <v>0</v>
      </c>
      <c r="CT600" s="2435"/>
      <c r="CU600" s="2435"/>
      <c r="CV600" s="2435"/>
      <c r="CW600" s="2435"/>
      <c r="CX600" s="2435">
        <f t="shared" si="13"/>
        <v>0</v>
      </c>
      <c r="CY600" s="2435"/>
      <c r="CZ600" s="2435"/>
      <c r="DA600" s="2435"/>
      <c r="DB600" s="2435"/>
      <c r="DC600" s="2435">
        <f t="shared" si="14"/>
        <v>0</v>
      </c>
      <c r="DD600" s="2435"/>
      <c r="DE600" s="2435"/>
      <c r="DF600" s="2435"/>
      <c r="DG600" s="2435"/>
      <c r="DH600" s="2435">
        <f t="shared" si="15"/>
        <v>0</v>
      </c>
      <c r="DI600" s="2435"/>
      <c r="DJ600" s="2435"/>
      <c r="DK600" s="2435"/>
      <c r="DL600" s="2435"/>
      <c r="DM600" s="2435">
        <f t="shared" si="16"/>
        <v>0</v>
      </c>
      <c r="DN600" s="2435"/>
      <c r="DO600" s="2435"/>
      <c r="DP600" s="2435"/>
      <c r="DQ600" s="2435"/>
      <c r="DR600" s="2435">
        <f t="shared" si="17"/>
        <v>0</v>
      </c>
      <c r="DS600" s="2435"/>
      <c r="DT600" s="2435"/>
      <c r="DU600" s="2435"/>
      <c r="DV600" s="2435"/>
      <c r="DX600" s="2136" t="str">
        <f t="shared" si="18"/>
        <v xml:space="preserve"> </v>
      </c>
      <c r="DY600" s="2605"/>
      <c r="DZ600" s="2605"/>
      <c r="EA600" s="2605"/>
      <c r="EB600" s="2137"/>
      <c r="EC600" s="2136">
        <f t="shared" si="19"/>
        <v>1261</v>
      </c>
      <c r="ED600" s="2605"/>
      <c r="EE600" s="2605"/>
      <c r="EF600" s="2605"/>
      <c r="EG600" s="2137"/>
      <c r="EH600" s="2136" t="str">
        <f t="shared" si="20"/>
        <v xml:space="preserve"> </v>
      </c>
      <c r="EI600" s="2605"/>
      <c r="EJ600" s="2605"/>
      <c r="EK600" s="2605"/>
      <c r="EL600" s="2137"/>
      <c r="EM600" s="2136" t="str">
        <f t="shared" si="21"/>
        <v xml:space="preserve"> </v>
      </c>
      <c r="EN600" s="2605"/>
      <c r="EO600" s="2605"/>
      <c r="EP600" s="2605"/>
      <c r="EQ600" s="2137"/>
      <c r="ER600" s="2136" t="str">
        <f t="shared" si="22"/>
        <v xml:space="preserve"> </v>
      </c>
      <c r="ES600" s="2605"/>
      <c r="ET600" s="2605"/>
      <c r="EU600" s="2605"/>
      <c r="EV600" s="2137"/>
      <c r="EW600" s="2136" t="str">
        <f t="shared" si="23"/>
        <v xml:space="preserve"> </v>
      </c>
      <c r="EX600" s="2605"/>
      <c r="EY600" s="2605"/>
      <c r="EZ600" s="2605"/>
      <c r="FA600" s="2137"/>
    </row>
    <row r="601" spans="1:157" ht="12.95" customHeight="1">
      <c r="A601" s="35"/>
      <c r="B601" s="12" t="s">
        <v>317</v>
      </c>
      <c r="G601" s="2159"/>
      <c r="H601" s="2159"/>
      <c r="I601" s="2159"/>
      <c r="J601" s="2159"/>
      <c r="K601" s="2159"/>
      <c r="L601" s="2159"/>
      <c r="O601" s="137" t="s">
        <v>207</v>
      </c>
      <c r="P601" s="2167"/>
      <c r="Q601" s="2167"/>
      <c r="R601" s="2167"/>
      <c r="T601" s="35"/>
      <c r="U601" s="12" t="s">
        <v>317</v>
      </c>
      <c r="Z601" s="2159"/>
      <c r="AA601" s="2159"/>
      <c r="AB601" s="2159"/>
      <c r="AC601" s="2159"/>
      <c r="AD601" s="2159"/>
      <c r="AE601" s="2159"/>
      <c r="AH601" s="137" t="s">
        <v>207</v>
      </c>
      <c r="AI601" s="2167"/>
      <c r="AJ601" s="2167"/>
      <c r="AK601" s="2167"/>
      <c r="AZ601" s="58"/>
      <c r="BA601" s="58"/>
      <c r="BB601" s="58"/>
      <c r="BC601" s="58"/>
      <c r="BD601" s="58"/>
      <c r="BE601" s="2136">
        <f t="shared" si="2"/>
        <v>0</v>
      </c>
      <c r="BF601" s="2137"/>
      <c r="BG601" s="2230">
        <f t="shared" si="3"/>
        <v>0</v>
      </c>
      <c r="BH601" s="2231"/>
      <c r="BI601" s="2136">
        <f t="shared" si="4"/>
        <v>0</v>
      </c>
      <c r="BJ601" s="2137"/>
      <c r="BK601" s="2230">
        <f t="shared" si="5"/>
        <v>0</v>
      </c>
      <c r="BL601" s="2231"/>
      <c r="BM601" s="58"/>
      <c r="BN601" s="2227">
        <f t="shared" si="6"/>
        <v>0</v>
      </c>
      <c r="BO601" s="2228"/>
      <c r="BP601" s="2228"/>
      <c r="BQ601" s="2228"/>
      <c r="BR601" s="2229"/>
      <c r="BS601" s="2114">
        <f t="shared" si="7"/>
        <v>0</v>
      </c>
      <c r="BT601" s="2114"/>
      <c r="BU601" s="2114"/>
      <c r="BV601" s="2114"/>
      <c r="BW601" s="2114"/>
      <c r="BX601" s="2114">
        <f t="shared" si="8"/>
        <v>0</v>
      </c>
      <c r="BY601" s="2114"/>
      <c r="BZ601" s="2114"/>
      <c r="CA601" s="2114"/>
      <c r="CB601" s="2114"/>
      <c r="CC601" s="2114">
        <f t="shared" si="9"/>
        <v>0</v>
      </c>
      <c r="CD601" s="2114"/>
      <c r="CE601" s="2114"/>
      <c r="CF601" s="2114"/>
      <c r="CG601" s="2114"/>
      <c r="CH601" s="2114">
        <f t="shared" si="10"/>
        <v>0</v>
      </c>
      <c r="CI601" s="2114"/>
      <c r="CJ601" s="2114"/>
      <c r="CK601" s="2114"/>
      <c r="CL601" s="2114"/>
      <c r="CM601" s="2114">
        <f t="shared" si="11"/>
        <v>0</v>
      </c>
      <c r="CN601" s="2114"/>
      <c r="CO601" s="2114"/>
      <c r="CP601" s="2114"/>
      <c r="CQ601" s="2114"/>
      <c r="CR601" s="264"/>
      <c r="CS601" s="2435">
        <f t="shared" si="12"/>
        <v>0</v>
      </c>
      <c r="CT601" s="2435"/>
      <c r="CU601" s="2435"/>
      <c r="CV601" s="2435"/>
      <c r="CW601" s="2435"/>
      <c r="CX601" s="2435">
        <f t="shared" si="13"/>
        <v>0</v>
      </c>
      <c r="CY601" s="2435"/>
      <c r="CZ601" s="2435"/>
      <c r="DA601" s="2435"/>
      <c r="DB601" s="2435"/>
      <c r="DC601" s="2435">
        <f t="shared" si="14"/>
        <v>0</v>
      </c>
      <c r="DD601" s="2435"/>
      <c r="DE601" s="2435"/>
      <c r="DF601" s="2435"/>
      <c r="DG601" s="2435"/>
      <c r="DH601" s="2435">
        <f t="shared" si="15"/>
        <v>0</v>
      </c>
      <c r="DI601" s="2435"/>
      <c r="DJ601" s="2435"/>
      <c r="DK601" s="2435"/>
      <c r="DL601" s="2435"/>
      <c r="DM601" s="2435">
        <f t="shared" si="16"/>
        <v>0</v>
      </c>
      <c r="DN601" s="2435"/>
      <c r="DO601" s="2435"/>
      <c r="DP601" s="2435"/>
      <c r="DQ601" s="2435"/>
      <c r="DR601" s="2435">
        <f t="shared" si="17"/>
        <v>0</v>
      </c>
      <c r="DS601" s="2435"/>
      <c r="DT601" s="2435"/>
      <c r="DU601" s="2435"/>
      <c r="DV601" s="2435"/>
      <c r="DX601" s="2136" t="str">
        <f t="shared" si="18"/>
        <v xml:space="preserve"> </v>
      </c>
      <c r="DY601" s="2605"/>
      <c r="DZ601" s="2605"/>
      <c r="EA601" s="2605"/>
      <c r="EB601" s="2137"/>
      <c r="EC601" s="2136" t="str">
        <f t="shared" si="19"/>
        <v xml:space="preserve"> </v>
      </c>
      <c r="ED601" s="2605"/>
      <c r="EE601" s="2605"/>
      <c r="EF601" s="2605"/>
      <c r="EG601" s="2137"/>
      <c r="EH601" s="2136" t="str">
        <f t="shared" si="20"/>
        <v xml:space="preserve"> </v>
      </c>
      <c r="EI601" s="2605"/>
      <c r="EJ601" s="2605"/>
      <c r="EK601" s="2605"/>
      <c r="EL601" s="2137"/>
      <c r="EM601" s="2136" t="str">
        <f t="shared" si="21"/>
        <v xml:space="preserve"> </v>
      </c>
      <c r="EN601" s="2605"/>
      <c r="EO601" s="2605"/>
      <c r="EP601" s="2605"/>
      <c r="EQ601" s="2137"/>
      <c r="ER601" s="2136" t="str">
        <f t="shared" si="22"/>
        <v xml:space="preserve"> </v>
      </c>
      <c r="ES601" s="2605"/>
      <c r="ET601" s="2605"/>
      <c r="EU601" s="2605"/>
      <c r="EV601" s="2137"/>
      <c r="EW601" s="2136" t="str">
        <f t="shared" si="23"/>
        <v xml:space="preserve"> </v>
      </c>
      <c r="EX601" s="2605"/>
      <c r="EY601" s="2605"/>
      <c r="EZ601" s="2605"/>
      <c r="FA601" s="2137"/>
    </row>
    <row r="602" spans="1:157" ht="12.95" customHeight="1">
      <c r="A602" s="35"/>
      <c r="B602" s="12" t="s">
        <v>18</v>
      </c>
      <c r="H602" s="2113"/>
      <c r="I602" s="2113"/>
      <c r="J602" s="2113"/>
      <c r="K602" s="2113"/>
      <c r="L602" s="2113"/>
      <c r="M602" s="2113"/>
      <c r="N602" s="2113"/>
      <c r="O602" s="2113"/>
      <c r="P602" s="2113"/>
      <c r="Q602" s="2113"/>
      <c r="R602" s="2113"/>
      <c r="T602" s="35"/>
      <c r="U602" s="12" t="s">
        <v>18</v>
      </c>
      <c r="AA602" s="2113"/>
      <c r="AB602" s="2113"/>
      <c r="AC602" s="2113"/>
      <c r="AD602" s="2113"/>
      <c r="AE602" s="2113"/>
      <c r="AF602" s="2113"/>
      <c r="AG602" s="2113"/>
      <c r="AH602" s="2113"/>
      <c r="AI602" s="2113"/>
      <c r="AJ602" s="2113"/>
      <c r="AK602" s="2113"/>
      <c r="AZ602" s="58"/>
      <c r="BA602" s="58"/>
      <c r="BB602" s="58"/>
      <c r="BC602" s="58"/>
      <c r="BD602" s="58"/>
      <c r="BE602" s="2136">
        <f t="shared" si="2"/>
        <v>0</v>
      </c>
      <c r="BF602" s="2137"/>
      <c r="BG602" s="2230">
        <f t="shared" si="3"/>
        <v>0</v>
      </c>
      <c r="BH602" s="2231"/>
      <c r="BI602" s="2136">
        <f t="shared" si="4"/>
        <v>0</v>
      </c>
      <c r="BJ602" s="2137"/>
      <c r="BK602" s="2230">
        <f t="shared" si="5"/>
        <v>0</v>
      </c>
      <c r="BL602" s="2231"/>
      <c r="BM602" s="58"/>
      <c r="BN602" s="2227">
        <f t="shared" si="6"/>
        <v>0</v>
      </c>
      <c r="BO602" s="2228"/>
      <c r="BP602" s="2228"/>
      <c r="BQ602" s="2228"/>
      <c r="BR602" s="2229"/>
      <c r="BS602" s="2114">
        <f t="shared" si="7"/>
        <v>0</v>
      </c>
      <c r="BT602" s="2114"/>
      <c r="BU602" s="2114"/>
      <c r="BV602" s="2114"/>
      <c r="BW602" s="2114"/>
      <c r="BX602" s="2114">
        <f t="shared" si="8"/>
        <v>0</v>
      </c>
      <c r="BY602" s="2114"/>
      <c r="BZ602" s="2114"/>
      <c r="CA602" s="2114"/>
      <c r="CB602" s="2114"/>
      <c r="CC602" s="2114">
        <f t="shared" si="9"/>
        <v>0</v>
      </c>
      <c r="CD602" s="2114"/>
      <c r="CE602" s="2114"/>
      <c r="CF602" s="2114"/>
      <c r="CG602" s="2114"/>
      <c r="CH602" s="2114">
        <f t="shared" si="10"/>
        <v>0</v>
      </c>
      <c r="CI602" s="2114"/>
      <c r="CJ602" s="2114"/>
      <c r="CK602" s="2114"/>
      <c r="CL602" s="2114"/>
      <c r="CM602" s="2114">
        <f t="shared" si="11"/>
        <v>0</v>
      </c>
      <c r="CN602" s="2114"/>
      <c r="CO602" s="2114"/>
      <c r="CP602" s="2114"/>
      <c r="CQ602" s="2114"/>
      <c r="CR602" s="264"/>
      <c r="CS602" s="2435">
        <f t="shared" si="12"/>
        <v>0</v>
      </c>
      <c r="CT602" s="2435"/>
      <c r="CU602" s="2435"/>
      <c r="CV602" s="2435"/>
      <c r="CW602" s="2435"/>
      <c r="CX602" s="2435">
        <f t="shared" si="13"/>
        <v>0</v>
      </c>
      <c r="CY602" s="2435"/>
      <c r="CZ602" s="2435"/>
      <c r="DA602" s="2435"/>
      <c r="DB602" s="2435"/>
      <c r="DC602" s="2435">
        <f t="shared" si="14"/>
        <v>0</v>
      </c>
      <c r="DD602" s="2435"/>
      <c r="DE602" s="2435"/>
      <c r="DF602" s="2435"/>
      <c r="DG602" s="2435"/>
      <c r="DH602" s="2435">
        <f t="shared" si="15"/>
        <v>0</v>
      </c>
      <c r="DI602" s="2435"/>
      <c r="DJ602" s="2435"/>
      <c r="DK602" s="2435"/>
      <c r="DL602" s="2435"/>
      <c r="DM602" s="2435">
        <f t="shared" si="16"/>
        <v>0</v>
      </c>
      <c r="DN602" s="2435"/>
      <c r="DO602" s="2435"/>
      <c r="DP602" s="2435"/>
      <c r="DQ602" s="2435"/>
      <c r="DR602" s="2435">
        <f t="shared" si="17"/>
        <v>0</v>
      </c>
      <c r="DS602" s="2435"/>
      <c r="DT602" s="2435"/>
      <c r="DU602" s="2435"/>
      <c r="DV602" s="2435"/>
      <c r="DX602" s="2136" t="str">
        <f t="shared" si="18"/>
        <v xml:space="preserve"> </v>
      </c>
      <c r="DY602" s="2605"/>
      <c r="DZ602" s="2605"/>
      <c r="EA602" s="2605"/>
      <c r="EB602" s="2137"/>
      <c r="EC602" s="2136" t="str">
        <f t="shared" si="19"/>
        <v xml:space="preserve"> </v>
      </c>
      <c r="ED602" s="2605"/>
      <c r="EE602" s="2605"/>
      <c r="EF602" s="2605"/>
      <c r="EG602" s="2137"/>
      <c r="EH602" s="2136" t="str">
        <f t="shared" si="20"/>
        <v xml:space="preserve"> </v>
      </c>
      <c r="EI602" s="2605"/>
      <c r="EJ602" s="2605"/>
      <c r="EK602" s="2605"/>
      <c r="EL602" s="2137"/>
      <c r="EM602" s="2136" t="str">
        <f t="shared" si="21"/>
        <v xml:space="preserve"> </v>
      </c>
      <c r="EN602" s="2605"/>
      <c r="EO602" s="2605"/>
      <c r="EP602" s="2605"/>
      <c r="EQ602" s="2137"/>
      <c r="ER602" s="2136" t="str">
        <f t="shared" si="22"/>
        <v xml:space="preserve"> </v>
      </c>
      <c r="ES602" s="2605"/>
      <c r="ET602" s="2605"/>
      <c r="EU602" s="2605"/>
      <c r="EV602" s="2137"/>
      <c r="EW602" s="2136" t="str">
        <f t="shared" si="23"/>
        <v xml:space="preserve"> </v>
      </c>
      <c r="EX602" s="2605"/>
      <c r="EY602" s="2605"/>
      <c r="EZ602" s="2605"/>
      <c r="FA602" s="2137"/>
    </row>
    <row r="603" spans="1:157" ht="12.95" customHeight="1">
      <c r="A603" s="35"/>
      <c r="B603" s="12" t="s">
        <v>20</v>
      </c>
      <c r="N603" s="2095" t="s">
        <v>678</v>
      </c>
      <c r="O603" s="2095"/>
      <c r="T603" s="35"/>
      <c r="U603" s="12" t="s">
        <v>20</v>
      </c>
      <c r="AG603" s="2095" t="s">
        <v>678</v>
      </c>
      <c r="AH603" s="2095"/>
      <c r="AZ603" s="58"/>
      <c r="BA603" s="58"/>
      <c r="BB603" s="58"/>
      <c r="BC603" s="58"/>
      <c r="BD603" s="58"/>
      <c r="BE603" s="2136">
        <f t="shared" si="2"/>
        <v>0</v>
      </c>
      <c r="BF603" s="2137"/>
      <c r="BG603" s="2230">
        <f t="shared" si="3"/>
        <v>0</v>
      </c>
      <c r="BH603" s="2231"/>
      <c r="BI603" s="2136">
        <f t="shared" si="4"/>
        <v>0</v>
      </c>
      <c r="BJ603" s="2137"/>
      <c r="BK603" s="2230">
        <f t="shared" si="5"/>
        <v>0</v>
      </c>
      <c r="BL603" s="2231"/>
      <c r="BM603" s="58"/>
      <c r="BN603" s="2227">
        <f t="shared" si="6"/>
        <v>0</v>
      </c>
      <c r="BO603" s="2228"/>
      <c r="BP603" s="2228"/>
      <c r="BQ603" s="2228"/>
      <c r="BR603" s="2229"/>
      <c r="BS603" s="2114">
        <f t="shared" si="7"/>
        <v>0</v>
      </c>
      <c r="BT603" s="2114"/>
      <c r="BU603" s="2114"/>
      <c r="BV603" s="2114"/>
      <c r="BW603" s="2114"/>
      <c r="BX603" s="2114">
        <f t="shared" si="8"/>
        <v>0</v>
      </c>
      <c r="BY603" s="2114"/>
      <c r="BZ603" s="2114"/>
      <c r="CA603" s="2114"/>
      <c r="CB603" s="2114"/>
      <c r="CC603" s="2114">
        <f t="shared" si="9"/>
        <v>0</v>
      </c>
      <c r="CD603" s="2114"/>
      <c r="CE603" s="2114"/>
      <c r="CF603" s="2114"/>
      <c r="CG603" s="2114"/>
      <c r="CH603" s="2114">
        <f t="shared" si="10"/>
        <v>0</v>
      </c>
      <c r="CI603" s="2114"/>
      <c r="CJ603" s="2114"/>
      <c r="CK603" s="2114"/>
      <c r="CL603" s="2114"/>
      <c r="CM603" s="2114">
        <f t="shared" si="11"/>
        <v>0</v>
      </c>
      <c r="CN603" s="2114"/>
      <c r="CO603" s="2114"/>
      <c r="CP603" s="2114"/>
      <c r="CQ603" s="2114"/>
      <c r="CR603" s="264"/>
      <c r="CS603" s="2435">
        <f t="shared" si="12"/>
        <v>0</v>
      </c>
      <c r="CT603" s="2435"/>
      <c r="CU603" s="2435"/>
      <c r="CV603" s="2435"/>
      <c r="CW603" s="2435"/>
      <c r="CX603" s="2435">
        <f t="shared" si="13"/>
        <v>0</v>
      </c>
      <c r="CY603" s="2435"/>
      <c r="CZ603" s="2435"/>
      <c r="DA603" s="2435"/>
      <c r="DB603" s="2435"/>
      <c r="DC603" s="2435">
        <f t="shared" si="14"/>
        <v>0</v>
      </c>
      <c r="DD603" s="2435"/>
      <c r="DE603" s="2435"/>
      <c r="DF603" s="2435"/>
      <c r="DG603" s="2435"/>
      <c r="DH603" s="2435">
        <f t="shared" si="15"/>
        <v>0</v>
      </c>
      <c r="DI603" s="2435"/>
      <c r="DJ603" s="2435"/>
      <c r="DK603" s="2435"/>
      <c r="DL603" s="2435"/>
      <c r="DM603" s="2435">
        <f t="shared" si="16"/>
        <v>0</v>
      </c>
      <c r="DN603" s="2435"/>
      <c r="DO603" s="2435"/>
      <c r="DP603" s="2435"/>
      <c r="DQ603" s="2435"/>
      <c r="DR603" s="2435">
        <f t="shared" si="17"/>
        <v>0</v>
      </c>
      <c r="DS603" s="2435"/>
      <c r="DT603" s="2435"/>
      <c r="DU603" s="2435"/>
      <c r="DV603" s="2435"/>
      <c r="DX603" s="2136" t="str">
        <f t="shared" si="18"/>
        <v xml:space="preserve"> </v>
      </c>
      <c r="DY603" s="2605"/>
      <c r="DZ603" s="2605"/>
      <c r="EA603" s="2605"/>
      <c r="EB603" s="2137"/>
      <c r="EC603" s="2136" t="str">
        <f t="shared" si="19"/>
        <v xml:space="preserve"> </v>
      </c>
      <c r="ED603" s="2605"/>
      <c r="EE603" s="2605"/>
      <c r="EF603" s="2605"/>
      <c r="EG603" s="2137"/>
      <c r="EH603" s="2136" t="str">
        <f t="shared" si="20"/>
        <v xml:space="preserve"> </v>
      </c>
      <c r="EI603" s="2605"/>
      <c r="EJ603" s="2605"/>
      <c r="EK603" s="2605"/>
      <c r="EL603" s="2137"/>
      <c r="EM603" s="2136" t="str">
        <f t="shared" si="21"/>
        <v xml:space="preserve"> </v>
      </c>
      <c r="EN603" s="2605"/>
      <c r="EO603" s="2605"/>
      <c r="EP603" s="2605"/>
      <c r="EQ603" s="2137"/>
      <c r="ER603" s="2136" t="str">
        <f t="shared" si="22"/>
        <v xml:space="preserve"> </v>
      </c>
      <c r="ES603" s="2605"/>
      <c r="ET603" s="2605"/>
      <c r="EU603" s="2605"/>
      <c r="EV603" s="2137"/>
      <c r="EW603" s="2136" t="str">
        <f t="shared" si="23"/>
        <v xml:space="preserve"> </v>
      </c>
      <c r="EX603" s="2605"/>
      <c r="EY603" s="2605"/>
      <c r="EZ603" s="2605"/>
      <c r="FA603" s="2137"/>
    </row>
    <row r="604" spans="1:157" s="7" customFormat="1" ht="12.95" customHeight="1">
      <c r="A604" s="35"/>
      <c r="B604" s="12"/>
      <c r="C604" s="12"/>
      <c r="D604" s="12"/>
      <c r="E604" s="12"/>
      <c r="F604" s="12"/>
      <c r="G604" s="12"/>
      <c r="H604" s="12"/>
      <c r="I604" s="12"/>
      <c r="J604" s="12"/>
      <c r="K604" s="12"/>
      <c r="L604" s="12"/>
      <c r="M604" s="12"/>
      <c r="N604" s="12"/>
      <c r="O604" s="12"/>
      <c r="P604" s="12"/>
      <c r="Q604" s="12"/>
      <c r="R604" s="12"/>
      <c r="S604" s="12"/>
      <c r="T604" s="35"/>
      <c r="U604" s="12"/>
      <c r="V604" s="12"/>
      <c r="W604" s="12"/>
      <c r="X604" s="12"/>
      <c r="Y604" s="12"/>
      <c r="Z604" s="12"/>
      <c r="AA604" s="12"/>
      <c r="AB604" s="12"/>
      <c r="AC604" s="12"/>
      <c r="AD604" s="12"/>
      <c r="AE604" s="12"/>
      <c r="AF604" s="12"/>
      <c r="AG604" s="12"/>
      <c r="AH604" s="12"/>
      <c r="AI604" s="12"/>
      <c r="AJ604" s="12"/>
      <c r="AK604" s="12"/>
      <c r="AL604" s="12"/>
      <c r="AM604" s="39"/>
      <c r="AN604" s="39"/>
      <c r="AO604" s="39"/>
      <c r="AP604" s="39"/>
      <c r="AQ604" s="39"/>
      <c r="AR604" s="39"/>
      <c r="AS604" s="39"/>
      <c r="AT604" s="39"/>
      <c r="AU604" s="39"/>
      <c r="AV604" s="39"/>
      <c r="AW604" s="39"/>
      <c r="AX604" s="39"/>
      <c r="AY604" s="39"/>
      <c r="AZ604" s="58"/>
      <c r="BA604" s="58"/>
      <c r="BB604" s="58"/>
      <c r="BC604" s="58"/>
      <c r="BD604" s="58"/>
      <c r="BE604" s="2136">
        <f t="shared" si="2"/>
        <v>0</v>
      </c>
      <c r="BF604" s="2137"/>
      <c r="BG604" s="2230">
        <f t="shared" si="3"/>
        <v>0</v>
      </c>
      <c r="BH604" s="2231"/>
      <c r="BI604" s="2136">
        <f t="shared" si="4"/>
        <v>0</v>
      </c>
      <c r="BJ604" s="2137"/>
      <c r="BK604" s="2230">
        <f t="shared" si="5"/>
        <v>0</v>
      </c>
      <c r="BL604" s="2231"/>
      <c r="BM604" s="58"/>
      <c r="BN604" s="2227">
        <f t="shared" si="6"/>
        <v>0</v>
      </c>
      <c r="BO604" s="2228"/>
      <c r="BP604" s="2228"/>
      <c r="BQ604" s="2228"/>
      <c r="BR604" s="2229"/>
      <c r="BS604" s="2114">
        <f t="shared" si="7"/>
        <v>0</v>
      </c>
      <c r="BT604" s="2114"/>
      <c r="BU604" s="2114"/>
      <c r="BV604" s="2114"/>
      <c r="BW604" s="2114"/>
      <c r="BX604" s="2114">
        <f t="shared" si="8"/>
        <v>0</v>
      </c>
      <c r="BY604" s="2114"/>
      <c r="BZ604" s="2114"/>
      <c r="CA604" s="2114"/>
      <c r="CB604" s="2114"/>
      <c r="CC604" s="2114">
        <f t="shared" si="9"/>
        <v>0</v>
      </c>
      <c r="CD604" s="2114"/>
      <c r="CE604" s="2114"/>
      <c r="CF604" s="2114"/>
      <c r="CG604" s="2114"/>
      <c r="CH604" s="2114">
        <f t="shared" si="10"/>
        <v>0</v>
      </c>
      <c r="CI604" s="2114"/>
      <c r="CJ604" s="2114"/>
      <c r="CK604" s="2114"/>
      <c r="CL604" s="2114"/>
      <c r="CM604" s="2114">
        <f t="shared" si="11"/>
        <v>0</v>
      </c>
      <c r="CN604" s="2114"/>
      <c r="CO604" s="2114"/>
      <c r="CP604" s="2114"/>
      <c r="CQ604" s="2114"/>
      <c r="CR604" s="264"/>
      <c r="CS604" s="2435">
        <f t="shared" si="12"/>
        <v>0</v>
      </c>
      <c r="CT604" s="2435"/>
      <c r="CU604" s="2435"/>
      <c r="CV604" s="2435"/>
      <c r="CW604" s="2435"/>
      <c r="CX604" s="2435">
        <f t="shared" si="13"/>
        <v>0</v>
      </c>
      <c r="CY604" s="2435"/>
      <c r="CZ604" s="2435"/>
      <c r="DA604" s="2435"/>
      <c r="DB604" s="2435"/>
      <c r="DC604" s="2435">
        <f t="shared" si="14"/>
        <v>0</v>
      </c>
      <c r="DD604" s="2435"/>
      <c r="DE604" s="2435"/>
      <c r="DF604" s="2435"/>
      <c r="DG604" s="2435"/>
      <c r="DH604" s="2435">
        <f t="shared" si="15"/>
        <v>0</v>
      </c>
      <c r="DI604" s="2435"/>
      <c r="DJ604" s="2435"/>
      <c r="DK604" s="2435"/>
      <c r="DL604" s="2435"/>
      <c r="DM604" s="2435">
        <f t="shared" si="16"/>
        <v>0</v>
      </c>
      <c r="DN604" s="2435"/>
      <c r="DO604" s="2435"/>
      <c r="DP604" s="2435"/>
      <c r="DQ604" s="2435"/>
      <c r="DR604" s="2435">
        <f t="shared" si="17"/>
        <v>0</v>
      </c>
      <c r="DS604" s="2435"/>
      <c r="DT604" s="2435"/>
      <c r="DU604" s="2435"/>
      <c r="DV604" s="2435"/>
      <c r="DX604" s="2136" t="str">
        <f t="shared" si="18"/>
        <v xml:space="preserve"> </v>
      </c>
      <c r="DY604" s="2605"/>
      <c r="DZ604" s="2605"/>
      <c r="EA604" s="2605"/>
      <c r="EB604" s="2137"/>
      <c r="EC604" s="2136" t="str">
        <f t="shared" si="19"/>
        <v xml:space="preserve"> </v>
      </c>
      <c r="ED604" s="2605"/>
      <c r="EE604" s="2605"/>
      <c r="EF604" s="2605"/>
      <c r="EG604" s="2137"/>
      <c r="EH604" s="2136" t="str">
        <f t="shared" si="20"/>
        <v xml:space="preserve"> </v>
      </c>
      <c r="EI604" s="2605"/>
      <c r="EJ604" s="2605"/>
      <c r="EK604" s="2605"/>
      <c r="EL604" s="2137"/>
      <c r="EM604" s="2136" t="str">
        <f t="shared" si="21"/>
        <v xml:space="preserve"> </v>
      </c>
      <c r="EN604" s="2605"/>
      <c r="EO604" s="2605"/>
      <c r="EP604" s="2605"/>
      <c r="EQ604" s="2137"/>
      <c r="ER604" s="2136" t="str">
        <f t="shared" si="22"/>
        <v xml:space="preserve"> </v>
      </c>
      <c r="ES604" s="2605"/>
      <c r="ET604" s="2605"/>
      <c r="EU604" s="2605"/>
      <c r="EV604" s="2137"/>
      <c r="EW604" s="2136" t="str">
        <f t="shared" si="23"/>
        <v xml:space="preserve"> </v>
      </c>
      <c r="EX604" s="2605"/>
      <c r="EY604" s="2605"/>
      <c r="EZ604" s="2605"/>
      <c r="FA604" s="2137"/>
    </row>
    <row r="605" spans="1:157" s="7" customFormat="1" ht="12.95" customHeight="1">
      <c r="A605" s="87" t="s">
        <v>363</v>
      </c>
      <c r="B605" s="12" t="s">
        <v>472</v>
      </c>
      <c r="C605" s="12"/>
      <c r="D605" s="12"/>
      <c r="E605" s="12"/>
      <c r="F605" s="12"/>
      <c r="G605" s="2238">
        <f>C560</f>
        <v>0</v>
      </c>
      <c r="H605" s="2238"/>
      <c r="I605" s="2238"/>
      <c r="J605" s="2238"/>
      <c r="K605" s="2238"/>
      <c r="L605" s="2238"/>
      <c r="M605" s="2238"/>
      <c r="N605" s="2238"/>
      <c r="O605" s="2238"/>
      <c r="P605" s="2238"/>
      <c r="Q605" s="2238"/>
      <c r="R605" s="2238"/>
      <c r="S605" s="12"/>
      <c r="T605" s="87" t="s">
        <v>364</v>
      </c>
      <c r="U605" s="12" t="s">
        <v>472</v>
      </c>
      <c r="V605" s="12"/>
      <c r="W605" s="12"/>
      <c r="X605" s="12"/>
      <c r="Y605" s="12"/>
      <c r="Z605" s="2238">
        <f>C561</f>
        <v>0</v>
      </c>
      <c r="AA605" s="2238"/>
      <c r="AB605" s="2238"/>
      <c r="AC605" s="2238"/>
      <c r="AD605" s="2238"/>
      <c r="AE605" s="2238"/>
      <c r="AF605" s="2238"/>
      <c r="AG605" s="2238"/>
      <c r="AH605" s="2238"/>
      <c r="AI605" s="2238"/>
      <c r="AJ605" s="2238"/>
      <c r="AK605" s="2238"/>
      <c r="AL605" s="12"/>
      <c r="AM605" s="39"/>
      <c r="AN605" s="39"/>
      <c r="AO605" s="39"/>
      <c r="AP605" s="39"/>
      <c r="AQ605" s="39"/>
      <c r="AR605" s="39"/>
      <c r="AS605" s="39"/>
      <c r="AT605" s="39"/>
      <c r="AU605" s="39"/>
      <c r="AV605" s="39"/>
      <c r="AW605" s="39"/>
      <c r="AX605" s="39"/>
      <c r="AY605" s="39"/>
      <c r="AZ605" s="58"/>
      <c r="BA605" s="58"/>
      <c r="BB605" s="58"/>
      <c r="BC605" s="58"/>
      <c r="BD605" s="58"/>
      <c r="BE605" s="2136">
        <f t="shared" si="2"/>
        <v>0</v>
      </c>
      <c r="BF605" s="2137"/>
      <c r="BG605" s="2230">
        <f t="shared" si="3"/>
        <v>0</v>
      </c>
      <c r="BH605" s="2231"/>
      <c r="BI605" s="2136">
        <f t="shared" si="4"/>
        <v>0</v>
      </c>
      <c r="BJ605" s="2137"/>
      <c r="BK605" s="2230">
        <f t="shared" si="5"/>
        <v>0</v>
      </c>
      <c r="BL605" s="2231"/>
      <c r="BM605" s="58"/>
      <c r="BN605" s="2227">
        <f t="shared" si="6"/>
        <v>0</v>
      </c>
      <c r="BO605" s="2228"/>
      <c r="BP605" s="2228"/>
      <c r="BQ605" s="2228"/>
      <c r="BR605" s="2229"/>
      <c r="BS605" s="2114">
        <f t="shared" si="7"/>
        <v>0</v>
      </c>
      <c r="BT605" s="2114"/>
      <c r="BU605" s="2114"/>
      <c r="BV605" s="2114"/>
      <c r="BW605" s="2114"/>
      <c r="BX605" s="2114">
        <f t="shared" si="8"/>
        <v>0</v>
      </c>
      <c r="BY605" s="2114"/>
      <c r="BZ605" s="2114"/>
      <c r="CA605" s="2114"/>
      <c r="CB605" s="2114"/>
      <c r="CC605" s="2114">
        <f t="shared" si="9"/>
        <v>0</v>
      </c>
      <c r="CD605" s="2114"/>
      <c r="CE605" s="2114"/>
      <c r="CF605" s="2114"/>
      <c r="CG605" s="2114"/>
      <c r="CH605" s="2114">
        <f t="shared" si="10"/>
        <v>0</v>
      </c>
      <c r="CI605" s="2114"/>
      <c r="CJ605" s="2114"/>
      <c r="CK605" s="2114"/>
      <c r="CL605" s="2114"/>
      <c r="CM605" s="2114">
        <f t="shared" si="11"/>
        <v>0</v>
      </c>
      <c r="CN605" s="2114"/>
      <c r="CO605" s="2114"/>
      <c r="CP605" s="2114"/>
      <c r="CQ605" s="2114"/>
      <c r="CR605" s="264"/>
      <c r="CS605" s="2435">
        <f t="shared" si="12"/>
        <v>0</v>
      </c>
      <c r="CT605" s="2435"/>
      <c r="CU605" s="2435"/>
      <c r="CV605" s="2435"/>
      <c r="CW605" s="2435"/>
      <c r="CX605" s="2435">
        <f t="shared" si="13"/>
        <v>0</v>
      </c>
      <c r="CY605" s="2435"/>
      <c r="CZ605" s="2435"/>
      <c r="DA605" s="2435"/>
      <c r="DB605" s="2435"/>
      <c r="DC605" s="2435">
        <f t="shared" si="14"/>
        <v>0</v>
      </c>
      <c r="DD605" s="2435"/>
      <c r="DE605" s="2435"/>
      <c r="DF605" s="2435"/>
      <c r="DG605" s="2435"/>
      <c r="DH605" s="2435">
        <f t="shared" si="15"/>
        <v>0</v>
      </c>
      <c r="DI605" s="2435"/>
      <c r="DJ605" s="2435"/>
      <c r="DK605" s="2435"/>
      <c r="DL605" s="2435"/>
      <c r="DM605" s="2435">
        <f t="shared" si="16"/>
        <v>0</v>
      </c>
      <c r="DN605" s="2435"/>
      <c r="DO605" s="2435"/>
      <c r="DP605" s="2435"/>
      <c r="DQ605" s="2435"/>
      <c r="DR605" s="2435">
        <f t="shared" si="17"/>
        <v>0</v>
      </c>
      <c r="DS605" s="2435"/>
      <c r="DT605" s="2435"/>
      <c r="DU605" s="2435"/>
      <c r="DV605" s="2435"/>
      <c r="DX605" s="2136" t="str">
        <f t="shared" si="18"/>
        <v xml:space="preserve"> </v>
      </c>
      <c r="DY605" s="2605"/>
      <c r="DZ605" s="2605"/>
      <c r="EA605" s="2605"/>
      <c r="EB605" s="2137"/>
      <c r="EC605" s="2136" t="str">
        <f t="shared" si="19"/>
        <v xml:space="preserve"> </v>
      </c>
      <c r="ED605" s="2605"/>
      <c r="EE605" s="2605"/>
      <c r="EF605" s="2605"/>
      <c r="EG605" s="2137"/>
      <c r="EH605" s="2136" t="str">
        <f t="shared" si="20"/>
        <v xml:space="preserve"> </v>
      </c>
      <c r="EI605" s="2605"/>
      <c r="EJ605" s="2605"/>
      <c r="EK605" s="2605"/>
      <c r="EL605" s="2137"/>
      <c r="EM605" s="2136" t="str">
        <f t="shared" si="21"/>
        <v xml:space="preserve"> </v>
      </c>
      <c r="EN605" s="2605"/>
      <c r="EO605" s="2605"/>
      <c r="EP605" s="2605"/>
      <c r="EQ605" s="2137"/>
      <c r="ER605" s="2136" t="str">
        <f t="shared" si="22"/>
        <v xml:space="preserve"> </v>
      </c>
      <c r="ES605" s="2605"/>
      <c r="ET605" s="2605"/>
      <c r="EU605" s="2605"/>
      <c r="EV605" s="2137"/>
      <c r="EW605" s="2136" t="str">
        <f t="shared" si="23"/>
        <v xml:space="preserve"> </v>
      </c>
      <c r="EX605" s="2605"/>
      <c r="EY605" s="2605"/>
      <c r="EZ605" s="2605"/>
      <c r="FA605" s="2137"/>
    </row>
    <row r="606" spans="1:157" s="7" customFormat="1" ht="12.95" customHeight="1">
      <c r="A606" s="12"/>
      <c r="B606" s="12" t="s">
        <v>86</v>
      </c>
      <c r="C606" s="12"/>
      <c r="D606" s="12"/>
      <c r="E606" s="12"/>
      <c r="F606" s="12"/>
      <c r="G606" s="2113"/>
      <c r="H606" s="2113"/>
      <c r="I606" s="2113"/>
      <c r="J606" s="2113"/>
      <c r="K606" s="2113"/>
      <c r="L606" s="2113"/>
      <c r="M606" s="2113"/>
      <c r="N606" s="2113"/>
      <c r="O606" s="2113"/>
      <c r="P606" s="2113"/>
      <c r="Q606" s="2113"/>
      <c r="R606" s="2113"/>
      <c r="S606" s="12"/>
      <c r="T606" s="12"/>
      <c r="U606" s="12" t="s">
        <v>86</v>
      </c>
      <c r="V606" s="12"/>
      <c r="W606" s="12"/>
      <c r="X606" s="12"/>
      <c r="Y606" s="12"/>
      <c r="Z606" s="2113"/>
      <c r="AA606" s="2113"/>
      <c r="AB606" s="2113"/>
      <c r="AC606" s="2113"/>
      <c r="AD606" s="2113"/>
      <c r="AE606" s="2113"/>
      <c r="AF606" s="2113"/>
      <c r="AG606" s="2113"/>
      <c r="AH606" s="2113"/>
      <c r="AI606" s="2113"/>
      <c r="AJ606" s="2113"/>
      <c r="AK606" s="2113"/>
      <c r="AL606" s="12"/>
      <c r="AM606" s="39"/>
      <c r="AN606" s="39"/>
      <c r="AO606" s="39"/>
      <c r="AP606" s="39"/>
      <c r="AQ606" s="39"/>
      <c r="AR606" s="39"/>
      <c r="AS606" s="39"/>
      <c r="AT606" s="39"/>
      <c r="AU606" s="39"/>
      <c r="AV606" s="39"/>
      <c r="AW606" s="39"/>
      <c r="AX606" s="39"/>
      <c r="AY606" s="39"/>
      <c r="AZ606" s="58"/>
      <c r="BA606" s="58"/>
      <c r="BB606" s="58"/>
      <c r="BC606" s="58"/>
      <c r="BD606" s="58"/>
      <c r="BE606" s="2136">
        <f t="shared" si="2"/>
        <v>0</v>
      </c>
      <c r="BF606" s="2137"/>
      <c r="BG606" s="2230">
        <f t="shared" si="3"/>
        <v>0</v>
      </c>
      <c r="BH606" s="2231"/>
      <c r="BI606" s="2136">
        <f t="shared" si="4"/>
        <v>0</v>
      </c>
      <c r="BJ606" s="2137"/>
      <c r="BK606" s="2230">
        <f t="shared" si="5"/>
        <v>0</v>
      </c>
      <c r="BL606" s="2231"/>
      <c r="BM606" s="58"/>
      <c r="BN606" s="2227">
        <f t="shared" si="6"/>
        <v>0</v>
      </c>
      <c r="BO606" s="2228"/>
      <c r="BP606" s="2228"/>
      <c r="BQ606" s="2228"/>
      <c r="BR606" s="2229"/>
      <c r="BS606" s="2114">
        <f t="shared" si="7"/>
        <v>0</v>
      </c>
      <c r="BT606" s="2114"/>
      <c r="BU606" s="2114"/>
      <c r="BV606" s="2114"/>
      <c r="BW606" s="2114"/>
      <c r="BX606" s="2114">
        <f t="shared" si="8"/>
        <v>0</v>
      </c>
      <c r="BY606" s="2114"/>
      <c r="BZ606" s="2114"/>
      <c r="CA606" s="2114"/>
      <c r="CB606" s="2114"/>
      <c r="CC606" s="2114">
        <f t="shared" si="9"/>
        <v>0</v>
      </c>
      <c r="CD606" s="2114"/>
      <c r="CE606" s="2114"/>
      <c r="CF606" s="2114"/>
      <c r="CG606" s="2114"/>
      <c r="CH606" s="2114">
        <f t="shared" si="10"/>
        <v>0</v>
      </c>
      <c r="CI606" s="2114"/>
      <c r="CJ606" s="2114"/>
      <c r="CK606" s="2114"/>
      <c r="CL606" s="2114"/>
      <c r="CM606" s="2114">
        <f t="shared" si="11"/>
        <v>0</v>
      </c>
      <c r="CN606" s="2114"/>
      <c r="CO606" s="2114"/>
      <c r="CP606" s="2114"/>
      <c r="CQ606" s="2114"/>
      <c r="CR606" s="264"/>
      <c r="CS606" s="2435">
        <f t="shared" si="12"/>
        <v>0</v>
      </c>
      <c r="CT606" s="2435"/>
      <c r="CU606" s="2435"/>
      <c r="CV606" s="2435"/>
      <c r="CW606" s="2435"/>
      <c r="CX606" s="2435">
        <f t="shared" si="13"/>
        <v>0</v>
      </c>
      <c r="CY606" s="2435"/>
      <c r="CZ606" s="2435"/>
      <c r="DA606" s="2435"/>
      <c r="DB606" s="2435"/>
      <c r="DC606" s="2435">
        <f t="shared" si="14"/>
        <v>0</v>
      </c>
      <c r="DD606" s="2435"/>
      <c r="DE606" s="2435"/>
      <c r="DF606" s="2435"/>
      <c r="DG606" s="2435"/>
      <c r="DH606" s="2435">
        <f t="shared" si="15"/>
        <v>0</v>
      </c>
      <c r="DI606" s="2435"/>
      <c r="DJ606" s="2435"/>
      <c r="DK606" s="2435"/>
      <c r="DL606" s="2435"/>
      <c r="DM606" s="2435">
        <f t="shared" si="16"/>
        <v>0</v>
      </c>
      <c r="DN606" s="2435"/>
      <c r="DO606" s="2435"/>
      <c r="DP606" s="2435"/>
      <c r="DQ606" s="2435"/>
      <c r="DR606" s="2435">
        <f t="shared" si="17"/>
        <v>0</v>
      </c>
      <c r="DS606" s="2435"/>
      <c r="DT606" s="2435"/>
      <c r="DU606" s="2435"/>
      <c r="DV606" s="2435"/>
      <c r="DX606" s="2136" t="str">
        <f t="shared" si="18"/>
        <v xml:space="preserve"> </v>
      </c>
      <c r="DY606" s="2605"/>
      <c r="DZ606" s="2605"/>
      <c r="EA606" s="2605"/>
      <c r="EB606" s="2137"/>
      <c r="EC606" s="2136" t="str">
        <f t="shared" si="19"/>
        <v xml:space="preserve"> </v>
      </c>
      <c r="ED606" s="2605"/>
      <c r="EE606" s="2605"/>
      <c r="EF606" s="2605"/>
      <c r="EG606" s="2137"/>
      <c r="EH606" s="2136" t="str">
        <f t="shared" si="20"/>
        <v xml:space="preserve"> </v>
      </c>
      <c r="EI606" s="2605"/>
      <c r="EJ606" s="2605"/>
      <c r="EK606" s="2605"/>
      <c r="EL606" s="2137"/>
      <c r="EM606" s="2136" t="str">
        <f t="shared" si="21"/>
        <v xml:space="preserve"> </v>
      </c>
      <c r="EN606" s="2605"/>
      <c r="EO606" s="2605"/>
      <c r="EP606" s="2605"/>
      <c r="EQ606" s="2137"/>
      <c r="ER606" s="2136" t="str">
        <f t="shared" si="22"/>
        <v xml:space="preserve"> </v>
      </c>
      <c r="ES606" s="2605"/>
      <c r="ET606" s="2605"/>
      <c r="EU606" s="2605"/>
      <c r="EV606" s="2137"/>
      <c r="EW606" s="2136" t="str">
        <f t="shared" si="23"/>
        <v xml:space="preserve"> </v>
      </c>
      <c r="EX606" s="2605"/>
      <c r="EY606" s="2605"/>
      <c r="EZ606" s="2605"/>
      <c r="FA606" s="2137"/>
    </row>
    <row r="607" spans="1:157" ht="12.95" customHeight="1">
      <c r="B607" s="12" t="s">
        <v>589</v>
      </c>
      <c r="G607" s="2113"/>
      <c r="H607" s="2113"/>
      <c r="I607" s="2113"/>
      <c r="J607" s="2113"/>
      <c r="K607" s="2113"/>
      <c r="L607" s="2113"/>
      <c r="M607" s="2113"/>
      <c r="N607" s="2113"/>
      <c r="O607" s="2113"/>
      <c r="P607" s="2113"/>
      <c r="Q607" s="2113"/>
      <c r="R607" s="2113"/>
      <c r="U607" s="12" t="s">
        <v>589</v>
      </c>
      <c r="Z607" s="2091"/>
      <c r="AA607" s="2091"/>
      <c r="AB607" s="2091"/>
      <c r="AC607" s="2091"/>
      <c r="AD607" s="2091"/>
      <c r="AE607" s="2091"/>
      <c r="AF607" s="2091"/>
      <c r="AG607" s="2091"/>
      <c r="AH607" s="2091"/>
      <c r="AI607" s="2091"/>
      <c r="AJ607" s="2091"/>
      <c r="AK607" s="2091"/>
      <c r="AZ607" s="58"/>
      <c r="BA607" s="58"/>
      <c r="BB607" s="58"/>
      <c r="BC607" s="58"/>
      <c r="BD607" s="58"/>
      <c r="BE607" s="2136">
        <f t="shared" si="2"/>
        <v>0</v>
      </c>
      <c r="BF607" s="2137"/>
      <c r="BG607" s="2230">
        <f t="shared" si="3"/>
        <v>0</v>
      </c>
      <c r="BH607" s="2231"/>
      <c r="BI607" s="2136">
        <f t="shared" si="4"/>
        <v>0</v>
      </c>
      <c r="BJ607" s="2137"/>
      <c r="BK607" s="2230">
        <f t="shared" si="5"/>
        <v>0</v>
      </c>
      <c r="BL607" s="2231"/>
      <c r="BM607" s="58"/>
      <c r="BN607" s="2227">
        <f t="shared" si="6"/>
        <v>0</v>
      </c>
      <c r="BO607" s="2228"/>
      <c r="BP607" s="2228"/>
      <c r="BQ607" s="2228"/>
      <c r="BR607" s="2229"/>
      <c r="BS607" s="2114">
        <f t="shared" si="7"/>
        <v>0</v>
      </c>
      <c r="BT607" s="2114"/>
      <c r="BU607" s="2114"/>
      <c r="BV607" s="2114"/>
      <c r="BW607" s="2114"/>
      <c r="BX607" s="2114">
        <f t="shared" si="8"/>
        <v>0</v>
      </c>
      <c r="BY607" s="2114"/>
      <c r="BZ607" s="2114"/>
      <c r="CA607" s="2114"/>
      <c r="CB607" s="2114"/>
      <c r="CC607" s="2114">
        <f t="shared" si="9"/>
        <v>0</v>
      </c>
      <c r="CD607" s="2114"/>
      <c r="CE607" s="2114"/>
      <c r="CF607" s="2114"/>
      <c r="CG607" s="2114"/>
      <c r="CH607" s="2114">
        <f t="shared" si="10"/>
        <v>0</v>
      </c>
      <c r="CI607" s="2114"/>
      <c r="CJ607" s="2114"/>
      <c r="CK607" s="2114"/>
      <c r="CL607" s="2114"/>
      <c r="CM607" s="2114">
        <f t="shared" si="11"/>
        <v>0</v>
      </c>
      <c r="CN607" s="2114"/>
      <c r="CO607" s="2114"/>
      <c r="CP607" s="2114"/>
      <c r="CQ607" s="2114"/>
      <c r="CR607" s="264"/>
      <c r="CS607" s="2435">
        <f t="shared" si="12"/>
        <v>0</v>
      </c>
      <c r="CT607" s="2435"/>
      <c r="CU607" s="2435"/>
      <c r="CV607" s="2435"/>
      <c r="CW607" s="2435"/>
      <c r="CX607" s="2435">
        <f t="shared" si="13"/>
        <v>0</v>
      </c>
      <c r="CY607" s="2435"/>
      <c r="CZ607" s="2435"/>
      <c r="DA607" s="2435"/>
      <c r="DB607" s="2435"/>
      <c r="DC607" s="2435">
        <f t="shared" si="14"/>
        <v>0</v>
      </c>
      <c r="DD607" s="2435"/>
      <c r="DE607" s="2435"/>
      <c r="DF607" s="2435"/>
      <c r="DG607" s="2435"/>
      <c r="DH607" s="2435">
        <f t="shared" si="15"/>
        <v>0</v>
      </c>
      <c r="DI607" s="2435"/>
      <c r="DJ607" s="2435"/>
      <c r="DK607" s="2435"/>
      <c r="DL607" s="2435"/>
      <c r="DM607" s="2435">
        <f t="shared" si="16"/>
        <v>0</v>
      </c>
      <c r="DN607" s="2435"/>
      <c r="DO607" s="2435"/>
      <c r="DP607" s="2435"/>
      <c r="DQ607" s="2435"/>
      <c r="DR607" s="2435">
        <f t="shared" si="17"/>
        <v>0</v>
      </c>
      <c r="DS607" s="2435"/>
      <c r="DT607" s="2435"/>
      <c r="DU607" s="2435"/>
      <c r="DV607" s="2435"/>
      <c r="DX607" s="2136" t="str">
        <f t="shared" si="18"/>
        <v xml:space="preserve"> </v>
      </c>
      <c r="DY607" s="2605"/>
      <c r="DZ607" s="2605"/>
      <c r="EA607" s="2605"/>
      <c r="EB607" s="2137"/>
      <c r="EC607" s="2136" t="str">
        <f t="shared" si="19"/>
        <v xml:space="preserve"> </v>
      </c>
      <c r="ED607" s="2605"/>
      <c r="EE607" s="2605"/>
      <c r="EF607" s="2605"/>
      <c r="EG607" s="2137"/>
      <c r="EH607" s="2136" t="str">
        <f t="shared" si="20"/>
        <v xml:space="preserve"> </v>
      </c>
      <c r="EI607" s="2605"/>
      <c r="EJ607" s="2605"/>
      <c r="EK607" s="2605"/>
      <c r="EL607" s="2137"/>
      <c r="EM607" s="2136" t="str">
        <f t="shared" si="21"/>
        <v xml:space="preserve"> </v>
      </c>
      <c r="EN607" s="2605"/>
      <c r="EO607" s="2605"/>
      <c r="EP607" s="2605"/>
      <c r="EQ607" s="2137"/>
      <c r="ER607" s="2136" t="str">
        <f t="shared" si="22"/>
        <v xml:space="preserve"> </v>
      </c>
      <c r="ES607" s="2605"/>
      <c r="ET607" s="2605"/>
      <c r="EU607" s="2605"/>
      <c r="EV607" s="2137"/>
      <c r="EW607" s="2136" t="str">
        <f t="shared" si="23"/>
        <v xml:space="preserve"> </v>
      </c>
      <c r="EX607" s="2605"/>
      <c r="EY607" s="2605"/>
      <c r="EZ607" s="2605"/>
      <c r="FA607" s="2137"/>
    </row>
    <row r="608" spans="1:157" ht="12.95" customHeight="1">
      <c r="B608" s="12" t="s">
        <v>17</v>
      </c>
      <c r="G608" s="2113"/>
      <c r="H608" s="2113"/>
      <c r="I608" s="2113"/>
      <c r="J608" s="2113"/>
      <c r="K608" s="2113"/>
      <c r="L608" s="2113"/>
      <c r="M608" s="2113"/>
      <c r="N608" s="2113"/>
      <c r="O608" s="2113"/>
      <c r="P608" s="2113"/>
      <c r="Q608" s="2113"/>
      <c r="R608" s="2113"/>
      <c r="U608" s="12" t="s">
        <v>17</v>
      </c>
      <c r="Z608" s="2091"/>
      <c r="AA608" s="2091"/>
      <c r="AB608" s="2091"/>
      <c r="AC608" s="2091"/>
      <c r="AD608" s="2091"/>
      <c r="AE608" s="2091"/>
      <c r="AF608" s="2091"/>
      <c r="AG608" s="2091"/>
      <c r="AH608" s="2091"/>
      <c r="AI608" s="2091"/>
      <c r="AJ608" s="2091"/>
      <c r="AK608" s="2091"/>
      <c r="AZ608" s="58"/>
      <c r="BA608" s="58"/>
      <c r="BB608" s="58"/>
      <c r="BC608" s="58"/>
      <c r="BD608" s="58"/>
      <c r="BE608" s="2136">
        <f t="shared" si="2"/>
        <v>0</v>
      </c>
      <c r="BF608" s="2137"/>
      <c r="BG608" s="2230">
        <f t="shared" si="3"/>
        <v>0</v>
      </c>
      <c r="BH608" s="2231"/>
      <c r="BI608" s="2136">
        <f t="shared" si="4"/>
        <v>0</v>
      </c>
      <c r="BJ608" s="2137"/>
      <c r="BK608" s="2230">
        <f t="shared" si="5"/>
        <v>0</v>
      </c>
      <c r="BL608" s="2231"/>
      <c r="BM608" s="58"/>
      <c r="BN608" s="2227">
        <f t="shared" si="6"/>
        <v>0</v>
      </c>
      <c r="BO608" s="2228"/>
      <c r="BP608" s="2228"/>
      <c r="BQ608" s="2228"/>
      <c r="BR608" s="2229"/>
      <c r="BS608" s="2114">
        <f t="shared" si="7"/>
        <v>0</v>
      </c>
      <c r="BT608" s="2114"/>
      <c r="BU608" s="2114"/>
      <c r="BV608" s="2114"/>
      <c r="BW608" s="2114"/>
      <c r="BX608" s="2114">
        <f t="shared" si="8"/>
        <v>0</v>
      </c>
      <c r="BY608" s="2114"/>
      <c r="BZ608" s="2114"/>
      <c r="CA608" s="2114"/>
      <c r="CB608" s="2114"/>
      <c r="CC608" s="2114">
        <f t="shared" si="9"/>
        <v>0</v>
      </c>
      <c r="CD608" s="2114"/>
      <c r="CE608" s="2114"/>
      <c r="CF608" s="2114"/>
      <c r="CG608" s="2114"/>
      <c r="CH608" s="2114">
        <f t="shared" si="10"/>
        <v>0</v>
      </c>
      <c r="CI608" s="2114"/>
      <c r="CJ608" s="2114"/>
      <c r="CK608" s="2114"/>
      <c r="CL608" s="2114"/>
      <c r="CM608" s="2114">
        <f t="shared" si="11"/>
        <v>0</v>
      </c>
      <c r="CN608" s="2114"/>
      <c r="CO608" s="2114"/>
      <c r="CP608" s="2114"/>
      <c r="CQ608" s="2114"/>
      <c r="CR608" s="264"/>
      <c r="CS608" s="2435">
        <f t="shared" si="12"/>
        <v>0</v>
      </c>
      <c r="CT608" s="2435"/>
      <c r="CU608" s="2435"/>
      <c r="CV608" s="2435"/>
      <c r="CW608" s="2435"/>
      <c r="CX608" s="2435">
        <f t="shared" si="13"/>
        <v>0</v>
      </c>
      <c r="CY608" s="2435"/>
      <c r="CZ608" s="2435"/>
      <c r="DA608" s="2435"/>
      <c r="DB608" s="2435"/>
      <c r="DC608" s="2435">
        <f t="shared" si="14"/>
        <v>0</v>
      </c>
      <c r="DD608" s="2435"/>
      <c r="DE608" s="2435"/>
      <c r="DF608" s="2435"/>
      <c r="DG608" s="2435"/>
      <c r="DH608" s="2435">
        <f t="shared" si="15"/>
        <v>0</v>
      </c>
      <c r="DI608" s="2435"/>
      <c r="DJ608" s="2435"/>
      <c r="DK608" s="2435"/>
      <c r="DL608" s="2435"/>
      <c r="DM608" s="2435">
        <f t="shared" si="16"/>
        <v>0</v>
      </c>
      <c r="DN608" s="2435"/>
      <c r="DO608" s="2435"/>
      <c r="DP608" s="2435"/>
      <c r="DQ608" s="2435"/>
      <c r="DR608" s="2435">
        <f t="shared" si="17"/>
        <v>0</v>
      </c>
      <c r="DS608" s="2435"/>
      <c r="DT608" s="2435"/>
      <c r="DU608" s="2435"/>
      <c r="DV608" s="2435"/>
      <c r="DX608" s="2136" t="str">
        <f t="shared" si="18"/>
        <v xml:space="preserve"> </v>
      </c>
      <c r="DY608" s="2605"/>
      <c r="DZ608" s="2605"/>
      <c r="EA608" s="2605"/>
      <c r="EB608" s="2137"/>
      <c r="EC608" s="2136" t="str">
        <f t="shared" si="19"/>
        <v xml:space="preserve"> </v>
      </c>
      <c r="ED608" s="2605"/>
      <c r="EE608" s="2605"/>
      <c r="EF608" s="2605"/>
      <c r="EG608" s="2137"/>
      <c r="EH608" s="2136" t="str">
        <f t="shared" si="20"/>
        <v xml:space="preserve"> </v>
      </c>
      <c r="EI608" s="2605"/>
      <c r="EJ608" s="2605"/>
      <c r="EK608" s="2605"/>
      <c r="EL608" s="2137"/>
      <c r="EM608" s="2136" t="str">
        <f t="shared" si="21"/>
        <v xml:space="preserve"> </v>
      </c>
      <c r="EN608" s="2605"/>
      <c r="EO608" s="2605"/>
      <c r="EP608" s="2605"/>
      <c r="EQ608" s="2137"/>
      <c r="ER608" s="2136" t="str">
        <f t="shared" si="22"/>
        <v xml:space="preserve"> </v>
      </c>
      <c r="ES608" s="2605"/>
      <c r="ET608" s="2605"/>
      <c r="EU608" s="2605"/>
      <c r="EV608" s="2137"/>
      <c r="EW608" s="2136" t="str">
        <f t="shared" si="23"/>
        <v xml:space="preserve"> </v>
      </c>
      <c r="EX608" s="2605"/>
      <c r="EY608" s="2605"/>
      <c r="EZ608" s="2605"/>
      <c r="FA608" s="2137"/>
    </row>
    <row r="609" spans="1:157" ht="12.95" customHeight="1">
      <c r="B609" s="12" t="s">
        <v>317</v>
      </c>
      <c r="G609" s="2159"/>
      <c r="H609" s="2159"/>
      <c r="I609" s="2159"/>
      <c r="J609" s="2159"/>
      <c r="K609" s="2159"/>
      <c r="L609" s="2159"/>
      <c r="O609" s="137" t="s">
        <v>207</v>
      </c>
      <c r="P609" s="2167"/>
      <c r="Q609" s="2167"/>
      <c r="R609" s="2167"/>
      <c r="U609" s="12" t="s">
        <v>317</v>
      </c>
      <c r="Z609" s="2159"/>
      <c r="AA609" s="2159"/>
      <c r="AB609" s="2159"/>
      <c r="AC609" s="2159"/>
      <c r="AD609" s="2159"/>
      <c r="AE609" s="2159"/>
      <c r="AH609" s="137" t="s">
        <v>207</v>
      </c>
      <c r="AI609" s="2167"/>
      <c r="AJ609" s="2167"/>
      <c r="AK609" s="2167"/>
      <c r="AZ609" s="58"/>
      <c r="BA609" s="58"/>
      <c r="BB609" s="58"/>
      <c r="BC609" s="58"/>
      <c r="BD609" s="58"/>
      <c r="BE609" s="2136">
        <f t="shared" si="2"/>
        <v>0</v>
      </c>
      <c r="BF609" s="2137"/>
      <c r="BG609" s="2230">
        <f t="shared" si="3"/>
        <v>0</v>
      </c>
      <c r="BH609" s="2231"/>
      <c r="BI609" s="2136">
        <f t="shared" si="4"/>
        <v>0</v>
      </c>
      <c r="BJ609" s="2137"/>
      <c r="BK609" s="2230">
        <f t="shared" si="5"/>
        <v>0</v>
      </c>
      <c r="BL609" s="2231"/>
      <c r="BM609" s="58"/>
      <c r="BN609" s="2227">
        <f t="shared" si="6"/>
        <v>0</v>
      </c>
      <c r="BO609" s="2228"/>
      <c r="BP609" s="2228"/>
      <c r="BQ609" s="2228"/>
      <c r="BR609" s="2229"/>
      <c r="BS609" s="2114">
        <f t="shared" si="7"/>
        <v>0</v>
      </c>
      <c r="BT609" s="2114"/>
      <c r="BU609" s="2114"/>
      <c r="BV609" s="2114"/>
      <c r="BW609" s="2114"/>
      <c r="BX609" s="2114">
        <f t="shared" si="8"/>
        <v>0</v>
      </c>
      <c r="BY609" s="2114"/>
      <c r="BZ609" s="2114"/>
      <c r="CA609" s="2114"/>
      <c r="CB609" s="2114"/>
      <c r="CC609" s="2114">
        <f t="shared" si="9"/>
        <v>0</v>
      </c>
      <c r="CD609" s="2114"/>
      <c r="CE609" s="2114"/>
      <c r="CF609" s="2114"/>
      <c r="CG609" s="2114"/>
      <c r="CH609" s="2114">
        <f t="shared" si="10"/>
        <v>0</v>
      </c>
      <c r="CI609" s="2114"/>
      <c r="CJ609" s="2114"/>
      <c r="CK609" s="2114"/>
      <c r="CL609" s="2114"/>
      <c r="CM609" s="2114">
        <f t="shared" si="11"/>
        <v>0</v>
      </c>
      <c r="CN609" s="2114"/>
      <c r="CO609" s="2114"/>
      <c r="CP609" s="2114"/>
      <c r="CQ609" s="2114"/>
      <c r="CR609" s="264"/>
      <c r="CS609" s="2435">
        <f t="shared" si="12"/>
        <v>0</v>
      </c>
      <c r="CT609" s="2435"/>
      <c r="CU609" s="2435"/>
      <c r="CV609" s="2435"/>
      <c r="CW609" s="2435"/>
      <c r="CX609" s="2435">
        <f t="shared" si="13"/>
        <v>0</v>
      </c>
      <c r="CY609" s="2435"/>
      <c r="CZ609" s="2435"/>
      <c r="DA609" s="2435"/>
      <c r="DB609" s="2435"/>
      <c r="DC609" s="2435">
        <f t="shared" si="14"/>
        <v>0</v>
      </c>
      <c r="DD609" s="2435"/>
      <c r="DE609" s="2435"/>
      <c r="DF609" s="2435"/>
      <c r="DG609" s="2435"/>
      <c r="DH609" s="2435">
        <f t="shared" si="15"/>
        <v>0</v>
      </c>
      <c r="DI609" s="2435"/>
      <c r="DJ609" s="2435"/>
      <c r="DK609" s="2435"/>
      <c r="DL609" s="2435"/>
      <c r="DM609" s="2435">
        <f t="shared" si="16"/>
        <v>0</v>
      </c>
      <c r="DN609" s="2435"/>
      <c r="DO609" s="2435"/>
      <c r="DP609" s="2435"/>
      <c r="DQ609" s="2435"/>
      <c r="DR609" s="2435">
        <f t="shared" si="17"/>
        <v>0</v>
      </c>
      <c r="DS609" s="2435"/>
      <c r="DT609" s="2435"/>
      <c r="DU609" s="2435"/>
      <c r="DV609" s="2435"/>
      <c r="DX609" s="2136" t="str">
        <f t="shared" si="18"/>
        <v xml:space="preserve"> </v>
      </c>
      <c r="DY609" s="2605"/>
      <c r="DZ609" s="2605"/>
      <c r="EA609" s="2605"/>
      <c r="EB609" s="2137"/>
      <c r="EC609" s="2136" t="str">
        <f t="shared" si="19"/>
        <v xml:space="preserve"> </v>
      </c>
      <c r="ED609" s="2605"/>
      <c r="EE609" s="2605"/>
      <c r="EF609" s="2605"/>
      <c r="EG609" s="2137"/>
      <c r="EH609" s="2136" t="str">
        <f t="shared" si="20"/>
        <v xml:space="preserve"> </v>
      </c>
      <c r="EI609" s="2605"/>
      <c r="EJ609" s="2605"/>
      <c r="EK609" s="2605"/>
      <c r="EL609" s="2137"/>
      <c r="EM609" s="2136" t="str">
        <f t="shared" si="21"/>
        <v xml:space="preserve"> </v>
      </c>
      <c r="EN609" s="2605"/>
      <c r="EO609" s="2605"/>
      <c r="EP609" s="2605"/>
      <c r="EQ609" s="2137"/>
      <c r="ER609" s="2136" t="str">
        <f t="shared" si="22"/>
        <v xml:space="preserve"> </v>
      </c>
      <c r="ES609" s="2605"/>
      <c r="ET609" s="2605"/>
      <c r="EU609" s="2605"/>
      <c r="EV609" s="2137"/>
      <c r="EW609" s="2136" t="str">
        <f t="shared" si="23"/>
        <v xml:space="preserve"> </v>
      </c>
      <c r="EX609" s="2605"/>
      <c r="EY609" s="2605"/>
      <c r="EZ609" s="2605"/>
      <c r="FA609" s="2137"/>
    </row>
    <row r="610" spans="1:157" ht="12.95" customHeight="1">
      <c r="B610" s="12" t="s">
        <v>18</v>
      </c>
      <c r="H610" s="2113"/>
      <c r="I610" s="2113"/>
      <c r="J610" s="2113"/>
      <c r="K610" s="2113"/>
      <c r="L610" s="2113"/>
      <c r="M610" s="2113"/>
      <c r="N610" s="2113"/>
      <c r="O610" s="2113"/>
      <c r="P610" s="2113"/>
      <c r="Q610" s="2113"/>
      <c r="R610" s="2113"/>
      <c r="U610" s="12" t="s">
        <v>18</v>
      </c>
      <c r="AA610" s="2113"/>
      <c r="AB610" s="2113"/>
      <c r="AC610" s="2113"/>
      <c r="AD610" s="2113"/>
      <c r="AE610" s="2113"/>
      <c r="AF610" s="2113"/>
      <c r="AG610" s="2113"/>
      <c r="AH610" s="2113"/>
      <c r="AI610" s="2113"/>
      <c r="AJ610" s="2113"/>
      <c r="AK610" s="2113"/>
      <c r="AZ610" s="58"/>
      <c r="BA610" s="58"/>
      <c r="BB610" s="58"/>
      <c r="BC610" s="58"/>
      <c r="BD610" s="58"/>
      <c r="BE610" s="2136">
        <f t="shared" si="2"/>
        <v>0</v>
      </c>
      <c r="BF610" s="2137"/>
      <c r="BG610" s="2230">
        <f t="shared" si="3"/>
        <v>0</v>
      </c>
      <c r="BH610" s="2231"/>
      <c r="BI610" s="2136">
        <f t="shared" si="4"/>
        <v>0</v>
      </c>
      <c r="BJ610" s="2137"/>
      <c r="BK610" s="2230">
        <f t="shared" si="5"/>
        <v>0</v>
      </c>
      <c r="BL610" s="2231"/>
      <c r="BM610" s="58"/>
      <c r="BN610" s="2227">
        <f t="shared" si="6"/>
        <v>0</v>
      </c>
      <c r="BO610" s="2228"/>
      <c r="BP610" s="2228"/>
      <c r="BQ610" s="2228"/>
      <c r="BR610" s="2229"/>
      <c r="BS610" s="2114">
        <f t="shared" si="7"/>
        <v>0</v>
      </c>
      <c r="BT610" s="2114"/>
      <c r="BU610" s="2114"/>
      <c r="BV610" s="2114"/>
      <c r="BW610" s="2114"/>
      <c r="BX610" s="2114">
        <f t="shared" si="8"/>
        <v>0</v>
      </c>
      <c r="BY610" s="2114"/>
      <c r="BZ610" s="2114"/>
      <c r="CA610" s="2114"/>
      <c r="CB610" s="2114"/>
      <c r="CC610" s="2114">
        <f t="shared" si="9"/>
        <v>0</v>
      </c>
      <c r="CD610" s="2114"/>
      <c r="CE610" s="2114"/>
      <c r="CF610" s="2114"/>
      <c r="CG610" s="2114"/>
      <c r="CH610" s="2114">
        <f t="shared" si="10"/>
        <v>0</v>
      </c>
      <c r="CI610" s="2114"/>
      <c r="CJ610" s="2114"/>
      <c r="CK610" s="2114"/>
      <c r="CL610" s="2114"/>
      <c r="CM610" s="2114">
        <f t="shared" si="11"/>
        <v>0</v>
      </c>
      <c r="CN610" s="2114"/>
      <c r="CO610" s="2114"/>
      <c r="CP610" s="2114"/>
      <c r="CQ610" s="2114"/>
      <c r="CR610" s="264"/>
      <c r="CS610" s="2435">
        <f t="shared" si="12"/>
        <v>0</v>
      </c>
      <c r="CT610" s="2435"/>
      <c r="CU610" s="2435"/>
      <c r="CV610" s="2435"/>
      <c r="CW610" s="2435"/>
      <c r="CX610" s="2435">
        <f t="shared" si="13"/>
        <v>0</v>
      </c>
      <c r="CY610" s="2435"/>
      <c r="CZ610" s="2435"/>
      <c r="DA610" s="2435"/>
      <c r="DB610" s="2435"/>
      <c r="DC610" s="2435">
        <f t="shared" si="14"/>
        <v>0</v>
      </c>
      <c r="DD610" s="2435"/>
      <c r="DE610" s="2435"/>
      <c r="DF610" s="2435"/>
      <c r="DG610" s="2435"/>
      <c r="DH610" s="2435">
        <f t="shared" si="15"/>
        <v>0</v>
      </c>
      <c r="DI610" s="2435"/>
      <c r="DJ610" s="2435"/>
      <c r="DK610" s="2435"/>
      <c r="DL610" s="2435"/>
      <c r="DM610" s="2435">
        <f t="shared" si="16"/>
        <v>0</v>
      </c>
      <c r="DN610" s="2435"/>
      <c r="DO610" s="2435"/>
      <c r="DP610" s="2435"/>
      <c r="DQ610" s="2435"/>
      <c r="DR610" s="2435">
        <f t="shared" si="17"/>
        <v>0</v>
      </c>
      <c r="DS610" s="2435"/>
      <c r="DT610" s="2435"/>
      <c r="DU610" s="2435"/>
      <c r="DV610" s="2435"/>
      <c r="DX610" s="2136" t="str">
        <f t="shared" si="18"/>
        <v xml:space="preserve"> </v>
      </c>
      <c r="DY610" s="2605"/>
      <c r="DZ610" s="2605"/>
      <c r="EA610" s="2605"/>
      <c r="EB610" s="2137"/>
      <c r="EC610" s="2136" t="str">
        <f t="shared" si="19"/>
        <v xml:space="preserve"> </v>
      </c>
      <c r="ED610" s="2605"/>
      <c r="EE610" s="2605"/>
      <c r="EF610" s="2605"/>
      <c r="EG610" s="2137"/>
      <c r="EH610" s="2136" t="str">
        <f t="shared" si="20"/>
        <v xml:space="preserve"> </v>
      </c>
      <c r="EI610" s="2605"/>
      <c r="EJ610" s="2605"/>
      <c r="EK610" s="2605"/>
      <c r="EL610" s="2137"/>
      <c r="EM610" s="2136" t="str">
        <f t="shared" si="21"/>
        <v xml:space="preserve"> </v>
      </c>
      <c r="EN610" s="2605"/>
      <c r="EO610" s="2605"/>
      <c r="EP610" s="2605"/>
      <c r="EQ610" s="2137"/>
      <c r="ER610" s="2136" t="str">
        <f t="shared" si="22"/>
        <v xml:space="preserve"> </v>
      </c>
      <c r="ES610" s="2605"/>
      <c r="ET610" s="2605"/>
      <c r="EU610" s="2605"/>
      <c r="EV610" s="2137"/>
      <c r="EW610" s="2136" t="str">
        <f t="shared" si="23"/>
        <v xml:space="preserve"> </v>
      </c>
      <c r="EX610" s="2605"/>
      <c r="EY610" s="2605"/>
      <c r="EZ610" s="2605"/>
      <c r="FA610" s="2137"/>
    </row>
    <row r="611" spans="1:157" ht="12.95" customHeight="1">
      <c r="B611" s="12" t="s">
        <v>20</v>
      </c>
      <c r="N611" s="2095" t="s">
        <v>678</v>
      </c>
      <c r="O611" s="2095"/>
      <c r="U611" s="12" t="s">
        <v>20</v>
      </c>
      <c r="AG611" s="2095" t="s">
        <v>678</v>
      </c>
      <c r="AH611" s="2095"/>
      <c r="AZ611" s="58"/>
      <c r="BA611" s="58"/>
      <c r="BB611" s="58"/>
      <c r="BC611" s="58"/>
      <c r="BD611" s="58"/>
      <c r="BE611" s="2136">
        <f t="shared" si="2"/>
        <v>0</v>
      </c>
      <c r="BF611" s="2137"/>
      <c r="BG611" s="2230">
        <f t="shared" si="3"/>
        <v>0</v>
      </c>
      <c r="BH611" s="2231"/>
      <c r="BI611" s="2136">
        <f t="shared" si="4"/>
        <v>0</v>
      </c>
      <c r="BJ611" s="2137"/>
      <c r="BK611" s="2230">
        <f t="shared" si="5"/>
        <v>0</v>
      </c>
      <c r="BL611" s="2231"/>
      <c r="BM611" s="58"/>
      <c r="BN611" s="2227">
        <f t="shared" si="6"/>
        <v>0</v>
      </c>
      <c r="BO611" s="2228"/>
      <c r="BP611" s="2228"/>
      <c r="BQ611" s="2228"/>
      <c r="BR611" s="2229"/>
      <c r="BS611" s="2114">
        <f t="shared" si="7"/>
        <v>0</v>
      </c>
      <c r="BT611" s="2114"/>
      <c r="BU611" s="2114"/>
      <c r="BV611" s="2114"/>
      <c r="BW611" s="2114"/>
      <c r="BX611" s="2114">
        <f t="shared" si="8"/>
        <v>0</v>
      </c>
      <c r="BY611" s="2114"/>
      <c r="BZ611" s="2114"/>
      <c r="CA611" s="2114"/>
      <c r="CB611" s="2114"/>
      <c r="CC611" s="2114">
        <f t="shared" si="9"/>
        <v>0</v>
      </c>
      <c r="CD611" s="2114"/>
      <c r="CE611" s="2114"/>
      <c r="CF611" s="2114"/>
      <c r="CG611" s="2114"/>
      <c r="CH611" s="2114">
        <f t="shared" si="10"/>
        <v>0</v>
      </c>
      <c r="CI611" s="2114"/>
      <c r="CJ611" s="2114"/>
      <c r="CK611" s="2114"/>
      <c r="CL611" s="2114"/>
      <c r="CM611" s="2114">
        <f t="shared" si="11"/>
        <v>0</v>
      </c>
      <c r="CN611" s="2114"/>
      <c r="CO611" s="2114"/>
      <c r="CP611" s="2114"/>
      <c r="CQ611" s="2114"/>
      <c r="CR611" s="264"/>
      <c r="CS611" s="2435">
        <f t="shared" si="12"/>
        <v>0</v>
      </c>
      <c r="CT611" s="2435"/>
      <c r="CU611" s="2435"/>
      <c r="CV611" s="2435"/>
      <c r="CW611" s="2435"/>
      <c r="CX611" s="2435">
        <f t="shared" si="13"/>
        <v>0</v>
      </c>
      <c r="CY611" s="2435"/>
      <c r="CZ611" s="2435"/>
      <c r="DA611" s="2435"/>
      <c r="DB611" s="2435"/>
      <c r="DC611" s="2435">
        <f t="shared" si="14"/>
        <v>0</v>
      </c>
      <c r="DD611" s="2435"/>
      <c r="DE611" s="2435"/>
      <c r="DF611" s="2435"/>
      <c r="DG611" s="2435"/>
      <c r="DH611" s="2435">
        <f t="shared" si="15"/>
        <v>0</v>
      </c>
      <c r="DI611" s="2435"/>
      <c r="DJ611" s="2435"/>
      <c r="DK611" s="2435"/>
      <c r="DL611" s="2435"/>
      <c r="DM611" s="2435">
        <f t="shared" si="16"/>
        <v>0</v>
      </c>
      <c r="DN611" s="2435"/>
      <c r="DO611" s="2435"/>
      <c r="DP611" s="2435"/>
      <c r="DQ611" s="2435"/>
      <c r="DR611" s="2435">
        <f t="shared" si="17"/>
        <v>0</v>
      </c>
      <c r="DS611" s="2435"/>
      <c r="DT611" s="2435"/>
      <c r="DU611" s="2435"/>
      <c r="DV611" s="2435"/>
      <c r="DX611" s="2136" t="str">
        <f t="shared" si="18"/>
        <v xml:space="preserve"> </v>
      </c>
      <c r="DY611" s="2605"/>
      <c r="DZ611" s="2605"/>
      <c r="EA611" s="2605"/>
      <c r="EB611" s="2137"/>
      <c r="EC611" s="2136" t="str">
        <f t="shared" si="19"/>
        <v xml:space="preserve"> </v>
      </c>
      <c r="ED611" s="2605"/>
      <c r="EE611" s="2605"/>
      <c r="EF611" s="2605"/>
      <c r="EG611" s="2137"/>
      <c r="EH611" s="2136" t="str">
        <f t="shared" si="20"/>
        <v xml:space="preserve"> </v>
      </c>
      <c r="EI611" s="2605"/>
      <c r="EJ611" s="2605"/>
      <c r="EK611" s="2605"/>
      <c r="EL611" s="2137"/>
      <c r="EM611" s="2136" t="str">
        <f t="shared" si="21"/>
        <v xml:space="preserve"> </v>
      </c>
      <c r="EN611" s="2605"/>
      <c r="EO611" s="2605"/>
      <c r="EP611" s="2605"/>
      <c r="EQ611" s="2137"/>
      <c r="ER611" s="2136" t="str">
        <f t="shared" si="22"/>
        <v xml:space="preserve"> </v>
      </c>
      <c r="ES611" s="2605"/>
      <c r="ET611" s="2605"/>
      <c r="EU611" s="2605"/>
      <c r="EV611" s="2137"/>
      <c r="EW611" s="2136" t="str">
        <f t="shared" si="23"/>
        <v xml:space="preserve"> </v>
      </c>
      <c r="EX611" s="2605"/>
      <c r="EY611" s="2605"/>
      <c r="EZ611" s="2605"/>
      <c r="FA611" s="2137"/>
    </row>
    <row r="612" spans="1:157" ht="12.95" customHeight="1">
      <c r="AZ612" s="58"/>
      <c r="BA612" s="58"/>
      <c r="BB612" s="58"/>
      <c r="BC612" s="58"/>
      <c r="BD612" s="58"/>
      <c r="BE612" s="2136">
        <f t="shared" si="2"/>
        <v>0</v>
      </c>
      <c r="BF612" s="2137"/>
      <c r="BG612" s="2230">
        <f t="shared" si="3"/>
        <v>0</v>
      </c>
      <c r="BH612" s="2231"/>
      <c r="BI612" s="2136">
        <f t="shared" si="4"/>
        <v>0</v>
      </c>
      <c r="BJ612" s="2137"/>
      <c r="BK612" s="2230">
        <f t="shared" si="5"/>
        <v>0</v>
      </c>
      <c r="BL612" s="2231"/>
      <c r="BM612" s="58"/>
      <c r="BN612" s="2227">
        <f t="shared" si="6"/>
        <v>0</v>
      </c>
      <c r="BO612" s="2228"/>
      <c r="BP612" s="2228"/>
      <c r="BQ612" s="2228"/>
      <c r="BR612" s="2229"/>
      <c r="BS612" s="2114">
        <f t="shared" si="7"/>
        <v>0</v>
      </c>
      <c r="BT612" s="2114"/>
      <c r="BU612" s="2114"/>
      <c r="BV612" s="2114"/>
      <c r="BW612" s="2114"/>
      <c r="BX612" s="2114">
        <f t="shared" si="8"/>
        <v>0</v>
      </c>
      <c r="BY612" s="2114"/>
      <c r="BZ612" s="2114"/>
      <c r="CA612" s="2114"/>
      <c r="CB612" s="2114"/>
      <c r="CC612" s="2114">
        <f t="shared" si="9"/>
        <v>0</v>
      </c>
      <c r="CD612" s="2114"/>
      <c r="CE612" s="2114"/>
      <c r="CF612" s="2114"/>
      <c r="CG612" s="2114"/>
      <c r="CH612" s="2114">
        <f t="shared" si="10"/>
        <v>0</v>
      </c>
      <c r="CI612" s="2114"/>
      <c r="CJ612" s="2114"/>
      <c r="CK612" s="2114"/>
      <c r="CL612" s="2114"/>
      <c r="CM612" s="2114">
        <f t="shared" si="11"/>
        <v>0</v>
      </c>
      <c r="CN612" s="2114"/>
      <c r="CO612" s="2114"/>
      <c r="CP612" s="2114"/>
      <c r="CQ612" s="2114"/>
      <c r="CR612" s="264"/>
      <c r="CS612" s="2435">
        <f t="shared" si="12"/>
        <v>0</v>
      </c>
      <c r="CT612" s="2435"/>
      <c r="CU612" s="2435"/>
      <c r="CV612" s="2435"/>
      <c r="CW612" s="2435"/>
      <c r="CX612" s="2435">
        <f t="shared" si="13"/>
        <v>0</v>
      </c>
      <c r="CY612" s="2435"/>
      <c r="CZ612" s="2435"/>
      <c r="DA612" s="2435"/>
      <c r="DB612" s="2435"/>
      <c r="DC612" s="2435">
        <f t="shared" si="14"/>
        <v>0</v>
      </c>
      <c r="DD612" s="2435"/>
      <c r="DE612" s="2435"/>
      <c r="DF612" s="2435"/>
      <c r="DG612" s="2435"/>
      <c r="DH612" s="2435">
        <f t="shared" si="15"/>
        <v>0</v>
      </c>
      <c r="DI612" s="2435"/>
      <c r="DJ612" s="2435"/>
      <c r="DK612" s="2435"/>
      <c r="DL612" s="2435"/>
      <c r="DM612" s="2435">
        <f t="shared" si="16"/>
        <v>0</v>
      </c>
      <c r="DN612" s="2435"/>
      <c r="DO612" s="2435"/>
      <c r="DP612" s="2435"/>
      <c r="DQ612" s="2435"/>
      <c r="DR612" s="2435">
        <f t="shared" si="17"/>
        <v>0</v>
      </c>
      <c r="DS612" s="2435"/>
      <c r="DT612" s="2435"/>
      <c r="DU612" s="2435"/>
      <c r="DV612" s="2435"/>
      <c r="DX612" s="2136" t="str">
        <f t="shared" si="18"/>
        <v xml:space="preserve"> </v>
      </c>
      <c r="DY612" s="2605"/>
      <c r="DZ612" s="2605"/>
      <c r="EA612" s="2605"/>
      <c r="EB612" s="2137"/>
      <c r="EC612" s="2136" t="str">
        <f t="shared" si="19"/>
        <v xml:space="preserve"> </v>
      </c>
      <c r="ED612" s="2605"/>
      <c r="EE612" s="2605"/>
      <c r="EF612" s="2605"/>
      <c r="EG612" s="2137"/>
      <c r="EH612" s="2136" t="str">
        <f t="shared" si="20"/>
        <v xml:space="preserve"> </v>
      </c>
      <c r="EI612" s="2605"/>
      <c r="EJ612" s="2605"/>
      <c r="EK612" s="2605"/>
      <c r="EL612" s="2137"/>
      <c r="EM612" s="2136" t="str">
        <f t="shared" si="21"/>
        <v xml:space="preserve"> </v>
      </c>
      <c r="EN612" s="2605"/>
      <c r="EO612" s="2605"/>
      <c r="EP612" s="2605"/>
      <c r="EQ612" s="2137"/>
      <c r="ER612" s="2136" t="str">
        <f t="shared" si="22"/>
        <v xml:space="preserve"> </v>
      </c>
      <c r="ES612" s="2605"/>
      <c r="ET612" s="2605"/>
      <c r="EU612" s="2605"/>
      <c r="EV612" s="2137"/>
      <c r="EW612" s="2136" t="str">
        <f t="shared" si="23"/>
        <v xml:space="preserve"> </v>
      </c>
      <c r="EX612" s="2605"/>
      <c r="EY612" s="2605"/>
      <c r="EZ612" s="2605"/>
      <c r="FA612" s="2137"/>
    </row>
    <row r="613" spans="1:157" ht="12.95" customHeight="1">
      <c r="A613" s="1930" t="s">
        <v>553</v>
      </c>
      <c r="B613" s="1930"/>
      <c r="C613" s="1930"/>
      <c r="D613" s="1930"/>
      <c r="E613" s="1930"/>
      <c r="F613" s="1930"/>
      <c r="G613" s="1930"/>
      <c r="H613" s="1930"/>
      <c r="I613" s="1930"/>
      <c r="J613" s="1930"/>
      <c r="K613" s="1930"/>
      <c r="L613" s="1930"/>
      <c r="M613" s="1930"/>
      <c r="N613" s="1930"/>
      <c r="O613" s="1930"/>
      <c r="P613" s="1930"/>
      <c r="Q613" s="1930"/>
      <c r="R613" s="1930"/>
      <c r="S613" s="1930"/>
      <c r="T613" s="1930"/>
      <c r="U613" s="1930"/>
      <c r="V613" s="1930"/>
      <c r="W613" s="1930"/>
      <c r="X613" s="1930"/>
      <c r="Y613" s="1930"/>
      <c r="Z613" s="1930"/>
      <c r="AA613" s="1930"/>
      <c r="AB613" s="1930"/>
      <c r="AC613" s="1930"/>
      <c r="AD613" s="1930"/>
      <c r="AE613" s="1930"/>
      <c r="AF613" s="1930"/>
      <c r="AG613" s="1930"/>
      <c r="AH613" s="1930"/>
      <c r="AI613" s="1930"/>
      <c r="AJ613" s="1930"/>
      <c r="AK613" s="1930"/>
      <c r="AL613" s="1930"/>
      <c r="AM613" s="1930"/>
      <c r="AN613" s="1930"/>
      <c r="AO613" s="1930"/>
      <c r="AP613" s="1930"/>
      <c r="AQ613" s="1930"/>
      <c r="AR613" s="1930"/>
      <c r="AS613" s="1930"/>
      <c r="AT613" s="1414"/>
      <c r="AU613" s="1414"/>
      <c r="AV613" s="1414"/>
      <c r="AW613" s="1414"/>
      <c r="AX613" s="1414"/>
      <c r="AY613" s="1414"/>
      <c r="AZ613" s="58"/>
      <c r="BA613" s="58"/>
      <c r="BB613" s="58"/>
      <c r="BC613" s="58"/>
      <c r="BD613" s="58"/>
      <c r="BE613" s="2136">
        <f t="shared" si="2"/>
        <v>0</v>
      </c>
      <c r="BF613" s="2137"/>
      <c r="BG613" s="2230">
        <f t="shared" si="3"/>
        <v>0</v>
      </c>
      <c r="BH613" s="2231"/>
      <c r="BI613" s="2136">
        <f t="shared" si="4"/>
        <v>0</v>
      </c>
      <c r="BJ613" s="2137"/>
      <c r="BK613" s="2230">
        <f t="shared" si="5"/>
        <v>0</v>
      </c>
      <c r="BL613" s="2231"/>
      <c r="BM613" s="58"/>
      <c r="BN613" s="2227">
        <f t="shared" si="6"/>
        <v>0</v>
      </c>
      <c r="BO613" s="2228"/>
      <c r="BP613" s="2228"/>
      <c r="BQ613" s="2228"/>
      <c r="BR613" s="2229"/>
      <c r="BS613" s="2114">
        <f t="shared" si="7"/>
        <v>0</v>
      </c>
      <c r="BT613" s="2114"/>
      <c r="BU613" s="2114"/>
      <c r="BV613" s="2114"/>
      <c r="BW613" s="2114"/>
      <c r="BX613" s="2114">
        <f t="shared" si="8"/>
        <v>0</v>
      </c>
      <c r="BY613" s="2114"/>
      <c r="BZ613" s="2114"/>
      <c r="CA613" s="2114"/>
      <c r="CB613" s="2114"/>
      <c r="CC613" s="2114">
        <f t="shared" si="9"/>
        <v>0</v>
      </c>
      <c r="CD613" s="2114"/>
      <c r="CE613" s="2114"/>
      <c r="CF613" s="2114"/>
      <c r="CG613" s="2114"/>
      <c r="CH613" s="2114">
        <f t="shared" si="10"/>
        <v>0</v>
      </c>
      <c r="CI613" s="2114"/>
      <c r="CJ613" s="2114"/>
      <c r="CK613" s="2114"/>
      <c r="CL613" s="2114"/>
      <c r="CM613" s="2114">
        <f t="shared" si="11"/>
        <v>0</v>
      </c>
      <c r="CN613" s="2114"/>
      <c r="CO613" s="2114"/>
      <c r="CP613" s="2114"/>
      <c r="CQ613" s="2114"/>
      <c r="CR613" s="264"/>
      <c r="CS613" s="2435">
        <f t="shared" si="12"/>
        <v>0</v>
      </c>
      <c r="CT613" s="2435"/>
      <c r="CU613" s="2435"/>
      <c r="CV613" s="2435"/>
      <c r="CW613" s="2435"/>
      <c r="CX613" s="2435">
        <f t="shared" si="13"/>
        <v>0</v>
      </c>
      <c r="CY613" s="2435"/>
      <c r="CZ613" s="2435"/>
      <c r="DA613" s="2435"/>
      <c r="DB613" s="2435"/>
      <c r="DC613" s="2435">
        <f t="shared" si="14"/>
        <v>0</v>
      </c>
      <c r="DD613" s="2435"/>
      <c r="DE613" s="2435"/>
      <c r="DF613" s="2435"/>
      <c r="DG613" s="2435"/>
      <c r="DH613" s="2435">
        <f t="shared" si="15"/>
        <v>0</v>
      </c>
      <c r="DI613" s="2435"/>
      <c r="DJ613" s="2435"/>
      <c r="DK613" s="2435"/>
      <c r="DL613" s="2435"/>
      <c r="DM613" s="2435">
        <f t="shared" si="16"/>
        <v>0</v>
      </c>
      <c r="DN613" s="2435"/>
      <c r="DO613" s="2435"/>
      <c r="DP613" s="2435"/>
      <c r="DQ613" s="2435"/>
      <c r="DR613" s="2435">
        <f t="shared" si="17"/>
        <v>0</v>
      </c>
      <c r="DS613" s="2435"/>
      <c r="DT613" s="2435"/>
      <c r="DU613" s="2435"/>
      <c r="DV613" s="2435"/>
      <c r="DX613" s="2136" t="str">
        <f t="shared" si="18"/>
        <v xml:space="preserve"> </v>
      </c>
      <c r="DY613" s="2605"/>
      <c r="DZ613" s="2605"/>
      <c r="EA613" s="2605"/>
      <c r="EB613" s="2137"/>
      <c r="EC613" s="2136" t="str">
        <f t="shared" si="19"/>
        <v xml:space="preserve"> </v>
      </c>
      <c r="ED613" s="2605"/>
      <c r="EE613" s="2605"/>
      <c r="EF613" s="2605"/>
      <c r="EG613" s="2137"/>
      <c r="EH613" s="2136" t="str">
        <f t="shared" si="20"/>
        <v xml:space="preserve"> </v>
      </c>
      <c r="EI613" s="2605"/>
      <c r="EJ613" s="2605"/>
      <c r="EK613" s="2605"/>
      <c r="EL613" s="2137"/>
      <c r="EM613" s="2136" t="str">
        <f t="shared" si="21"/>
        <v xml:space="preserve"> </v>
      </c>
      <c r="EN613" s="2605"/>
      <c r="EO613" s="2605"/>
      <c r="EP613" s="2605"/>
      <c r="EQ613" s="2137"/>
      <c r="ER613" s="2136" t="str">
        <f t="shared" si="22"/>
        <v xml:space="preserve"> </v>
      </c>
      <c r="ES613" s="2605"/>
      <c r="ET613" s="2605"/>
      <c r="EU613" s="2605"/>
      <c r="EV613" s="2137"/>
      <c r="EW613" s="2136" t="str">
        <f t="shared" si="23"/>
        <v xml:space="preserve"> </v>
      </c>
      <c r="EX613" s="2605"/>
      <c r="EY613" s="2605"/>
      <c r="EZ613" s="2605"/>
      <c r="FA613" s="2137"/>
    </row>
    <row r="614" spans="1:157" ht="12.95" customHeight="1">
      <c r="A614" s="1930"/>
      <c r="B614" s="1930"/>
      <c r="C614" s="1930"/>
      <c r="D614" s="1930"/>
      <c r="E614" s="1930"/>
      <c r="F614" s="1930"/>
      <c r="G614" s="1930"/>
      <c r="H614" s="1930"/>
      <c r="I614" s="1930"/>
      <c r="J614" s="1930"/>
      <c r="K614" s="1930"/>
      <c r="L614" s="1930"/>
      <c r="M614" s="1930"/>
      <c r="N614" s="1930"/>
      <c r="O614" s="1930"/>
      <c r="P614" s="1930"/>
      <c r="Q614" s="1930"/>
      <c r="R614" s="1930"/>
      <c r="S614" s="1930"/>
      <c r="T614" s="1930"/>
      <c r="U614" s="1930"/>
      <c r="V614" s="1930"/>
      <c r="W614" s="1930"/>
      <c r="X614" s="1930"/>
      <c r="Y614" s="1930"/>
      <c r="Z614" s="1930"/>
      <c r="AA614" s="1930"/>
      <c r="AB614" s="1930"/>
      <c r="AC614" s="1930"/>
      <c r="AD614" s="1930"/>
      <c r="AE614" s="1930"/>
      <c r="AF614" s="1930"/>
      <c r="AG614" s="1930"/>
      <c r="AH614" s="1930"/>
      <c r="AI614" s="1930"/>
      <c r="AJ614" s="1930"/>
      <c r="AK614" s="1930"/>
      <c r="AL614" s="1930"/>
      <c r="AM614" s="1930"/>
      <c r="AN614" s="1930"/>
      <c r="AO614" s="1930"/>
      <c r="AP614" s="1930"/>
      <c r="AQ614" s="1930"/>
      <c r="AR614" s="1930"/>
      <c r="AS614" s="1930"/>
      <c r="AT614" s="1414"/>
      <c r="AU614" s="1414"/>
      <c r="AV614" s="1414"/>
      <c r="AW614" s="1414"/>
      <c r="AX614" s="1414"/>
      <c r="AY614" s="1414"/>
      <c r="AZ614" s="58"/>
      <c r="BA614" s="58"/>
      <c r="BB614" s="58"/>
      <c r="BC614" s="58"/>
      <c r="BD614" s="58"/>
      <c r="BE614" s="2136">
        <f t="shared" si="2"/>
        <v>0</v>
      </c>
      <c r="BF614" s="2137"/>
      <c r="BG614" s="2230">
        <f t="shared" si="3"/>
        <v>0</v>
      </c>
      <c r="BH614" s="2231"/>
      <c r="BI614" s="2136">
        <f t="shared" si="4"/>
        <v>0</v>
      </c>
      <c r="BJ614" s="2137"/>
      <c r="BK614" s="2230">
        <f t="shared" si="5"/>
        <v>0</v>
      </c>
      <c r="BL614" s="2231"/>
      <c r="BM614" s="58"/>
      <c r="BN614" s="2227">
        <f t="shared" si="6"/>
        <v>0</v>
      </c>
      <c r="BO614" s="2228"/>
      <c r="BP614" s="2228"/>
      <c r="BQ614" s="2228"/>
      <c r="BR614" s="2229"/>
      <c r="BS614" s="2114">
        <f t="shared" si="7"/>
        <v>0</v>
      </c>
      <c r="BT614" s="2114"/>
      <c r="BU614" s="2114"/>
      <c r="BV614" s="2114"/>
      <c r="BW614" s="2114"/>
      <c r="BX614" s="2114">
        <f t="shared" si="8"/>
        <v>0</v>
      </c>
      <c r="BY614" s="2114"/>
      <c r="BZ614" s="2114"/>
      <c r="CA614" s="2114"/>
      <c r="CB614" s="2114"/>
      <c r="CC614" s="2114">
        <f t="shared" si="9"/>
        <v>0</v>
      </c>
      <c r="CD614" s="2114"/>
      <c r="CE614" s="2114"/>
      <c r="CF614" s="2114"/>
      <c r="CG614" s="2114"/>
      <c r="CH614" s="2114">
        <f t="shared" si="10"/>
        <v>0</v>
      </c>
      <c r="CI614" s="2114"/>
      <c r="CJ614" s="2114"/>
      <c r="CK614" s="2114"/>
      <c r="CL614" s="2114"/>
      <c r="CM614" s="2114">
        <f t="shared" si="11"/>
        <v>0</v>
      </c>
      <c r="CN614" s="2114"/>
      <c r="CO614" s="2114"/>
      <c r="CP614" s="2114"/>
      <c r="CQ614" s="2114"/>
      <c r="CR614" s="264"/>
      <c r="CS614" s="2435">
        <f t="shared" si="12"/>
        <v>0</v>
      </c>
      <c r="CT614" s="2435"/>
      <c r="CU614" s="2435"/>
      <c r="CV614" s="2435"/>
      <c r="CW614" s="2435"/>
      <c r="CX614" s="2435">
        <f t="shared" si="13"/>
        <v>0</v>
      </c>
      <c r="CY614" s="2435"/>
      <c r="CZ614" s="2435"/>
      <c r="DA614" s="2435"/>
      <c r="DB614" s="2435"/>
      <c r="DC614" s="2435">
        <f t="shared" si="14"/>
        <v>0</v>
      </c>
      <c r="DD614" s="2435"/>
      <c r="DE614" s="2435"/>
      <c r="DF614" s="2435"/>
      <c r="DG614" s="2435"/>
      <c r="DH614" s="2435">
        <f t="shared" si="15"/>
        <v>0</v>
      </c>
      <c r="DI614" s="2435"/>
      <c r="DJ614" s="2435"/>
      <c r="DK614" s="2435"/>
      <c r="DL614" s="2435"/>
      <c r="DM614" s="2435">
        <f t="shared" si="16"/>
        <v>0</v>
      </c>
      <c r="DN614" s="2435"/>
      <c r="DO614" s="2435"/>
      <c r="DP614" s="2435"/>
      <c r="DQ614" s="2435"/>
      <c r="DR614" s="2435">
        <f t="shared" si="17"/>
        <v>0</v>
      </c>
      <c r="DS614" s="2435"/>
      <c r="DT614" s="2435"/>
      <c r="DU614" s="2435"/>
      <c r="DV614" s="2435"/>
      <c r="DX614" s="2136" t="str">
        <f t="shared" si="18"/>
        <v xml:space="preserve"> </v>
      </c>
      <c r="DY614" s="2605"/>
      <c r="DZ614" s="2605"/>
      <c r="EA614" s="2605"/>
      <c r="EB614" s="2137"/>
      <c r="EC614" s="2136" t="str">
        <f t="shared" si="19"/>
        <v xml:space="preserve"> </v>
      </c>
      <c r="ED614" s="2605"/>
      <c r="EE614" s="2605"/>
      <c r="EF614" s="2605"/>
      <c r="EG614" s="2137"/>
      <c r="EH614" s="2136" t="str">
        <f t="shared" si="20"/>
        <v xml:space="preserve"> </v>
      </c>
      <c r="EI614" s="2605"/>
      <c r="EJ614" s="2605"/>
      <c r="EK614" s="2605"/>
      <c r="EL614" s="2137"/>
      <c r="EM614" s="2136" t="str">
        <f t="shared" si="21"/>
        <v xml:space="preserve"> </v>
      </c>
      <c r="EN614" s="2605"/>
      <c r="EO614" s="2605"/>
      <c r="EP614" s="2605"/>
      <c r="EQ614" s="2137"/>
      <c r="ER614" s="2136" t="str">
        <f t="shared" si="22"/>
        <v xml:space="preserve"> </v>
      </c>
      <c r="ES614" s="2605"/>
      <c r="ET614" s="2605"/>
      <c r="EU614" s="2605"/>
      <c r="EV614" s="2137"/>
      <c r="EW614" s="2136" t="str">
        <f t="shared" si="23"/>
        <v xml:space="preserve"> </v>
      </c>
      <c r="EX614" s="2605"/>
      <c r="EY614" s="2605"/>
      <c r="EZ614" s="2605"/>
      <c r="FA614" s="2137"/>
    </row>
    <row r="615" spans="1:157" ht="12.95" customHeight="1">
      <c r="A615" s="25"/>
      <c r="B615" s="25"/>
      <c r="C615" s="25"/>
      <c r="D615" s="25"/>
      <c r="E615" s="25"/>
      <c r="F615" s="25"/>
      <c r="G615" s="3"/>
      <c r="H615" s="25"/>
      <c r="AZ615" s="58"/>
      <c r="BA615" s="58"/>
      <c r="BB615" s="58"/>
      <c r="BC615" s="58"/>
      <c r="BD615" s="58"/>
      <c r="BE615" s="2136">
        <f t="shared" si="2"/>
        <v>0</v>
      </c>
      <c r="BF615" s="2137"/>
      <c r="BG615" s="2230">
        <f t="shared" si="3"/>
        <v>0</v>
      </c>
      <c r="BH615" s="2231"/>
      <c r="BI615" s="2136">
        <f t="shared" si="4"/>
        <v>0</v>
      </c>
      <c r="BJ615" s="2137"/>
      <c r="BK615" s="2230">
        <f t="shared" si="5"/>
        <v>0</v>
      </c>
      <c r="BL615" s="2231"/>
      <c r="BM615" s="58"/>
      <c r="BN615" s="2227">
        <f t="shared" si="6"/>
        <v>0</v>
      </c>
      <c r="BO615" s="2228"/>
      <c r="BP615" s="2228"/>
      <c r="BQ615" s="2228"/>
      <c r="BR615" s="2229"/>
      <c r="BS615" s="2114">
        <f t="shared" si="7"/>
        <v>0</v>
      </c>
      <c r="BT615" s="2114"/>
      <c r="BU615" s="2114"/>
      <c r="BV615" s="2114"/>
      <c r="BW615" s="2114"/>
      <c r="BX615" s="2114">
        <f t="shared" si="8"/>
        <v>0</v>
      </c>
      <c r="BY615" s="2114"/>
      <c r="BZ615" s="2114"/>
      <c r="CA615" s="2114"/>
      <c r="CB615" s="2114"/>
      <c r="CC615" s="2114">
        <f t="shared" si="9"/>
        <v>0</v>
      </c>
      <c r="CD615" s="2114"/>
      <c r="CE615" s="2114"/>
      <c r="CF615" s="2114"/>
      <c r="CG615" s="2114"/>
      <c r="CH615" s="2114">
        <f t="shared" si="10"/>
        <v>0</v>
      </c>
      <c r="CI615" s="2114"/>
      <c r="CJ615" s="2114"/>
      <c r="CK615" s="2114"/>
      <c r="CL615" s="2114"/>
      <c r="CM615" s="2114">
        <f t="shared" si="11"/>
        <v>0</v>
      </c>
      <c r="CN615" s="2114"/>
      <c r="CO615" s="2114"/>
      <c r="CP615" s="2114"/>
      <c r="CQ615" s="2114"/>
      <c r="CR615" s="264"/>
      <c r="CS615" s="2435">
        <f t="shared" si="12"/>
        <v>0</v>
      </c>
      <c r="CT615" s="2435"/>
      <c r="CU615" s="2435"/>
      <c r="CV615" s="2435"/>
      <c r="CW615" s="2435"/>
      <c r="CX615" s="2435">
        <f t="shared" si="13"/>
        <v>0</v>
      </c>
      <c r="CY615" s="2435"/>
      <c r="CZ615" s="2435"/>
      <c r="DA615" s="2435"/>
      <c r="DB615" s="2435"/>
      <c r="DC615" s="2435">
        <f t="shared" si="14"/>
        <v>0</v>
      </c>
      <c r="DD615" s="2435"/>
      <c r="DE615" s="2435"/>
      <c r="DF615" s="2435"/>
      <c r="DG615" s="2435"/>
      <c r="DH615" s="2435">
        <f t="shared" si="15"/>
        <v>0</v>
      </c>
      <c r="DI615" s="2435"/>
      <c r="DJ615" s="2435"/>
      <c r="DK615" s="2435"/>
      <c r="DL615" s="2435"/>
      <c r="DM615" s="2435">
        <f t="shared" si="16"/>
        <v>0</v>
      </c>
      <c r="DN615" s="2435"/>
      <c r="DO615" s="2435"/>
      <c r="DP615" s="2435"/>
      <c r="DQ615" s="2435"/>
      <c r="DR615" s="2435">
        <f t="shared" si="17"/>
        <v>0</v>
      </c>
      <c r="DS615" s="2435"/>
      <c r="DT615" s="2435"/>
      <c r="DU615" s="2435"/>
      <c r="DV615" s="2435"/>
      <c r="DX615" s="2136" t="str">
        <f t="shared" si="18"/>
        <v xml:space="preserve"> </v>
      </c>
      <c r="DY615" s="2605"/>
      <c r="DZ615" s="2605"/>
      <c r="EA615" s="2605"/>
      <c r="EB615" s="2137"/>
      <c r="EC615" s="2136" t="str">
        <f t="shared" si="19"/>
        <v xml:space="preserve"> </v>
      </c>
      <c r="ED615" s="2605"/>
      <c r="EE615" s="2605"/>
      <c r="EF615" s="2605"/>
      <c r="EG615" s="2137"/>
      <c r="EH615" s="2136" t="str">
        <f t="shared" si="20"/>
        <v xml:space="preserve"> </v>
      </c>
      <c r="EI615" s="2605"/>
      <c r="EJ615" s="2605"/>
      <c r="EK615" s="2605"/>
      <c r="EL615" s="2137"/>
      <c r="EM615" s="2136" t="str">
        <f t="shared" si="21"/>
        <v xml:space="preserve"> </v>
      </c>
      <c r="EN615" s="2605"/>
      <c r="EO615" s="2605"/>
      <c r="EP615" s="2605"/>
      <c r="EQ615" s="2137"/>
      <c r="ER615" s="2136" t="str">
        <f t="shared" si="22"/>
        <v xml:space="preserve"> </v>
      </c>
      <c r="ES615" s="2605"/>
      <c r="ET615" s="2605"/>
      <c r="EU615" s="2605"/>
      <c r="EV615" s="2137"/>
      <c r="EW615" s="2136" t="str">
        <f t="shared" si="23"/>
        <v xml:space="preserve"> </v>
      </c>
      <c r="EX615" s="2605"/>
      <c r="EY615" s="2605"/>
      <c r="EZ615" s="2605"/>
      <c r="FA615" s="2137"/>
    </row>
    <row r="616" spans="1:157" ht="12.95" customHeight="1">
      <c r="A616" s="50" t="s">
        <v>320</v>
      </c>
      <c r="B616" s="50"/>
      <c r="C616" s="50" t="s">
        <v>21</v>
      </c>
      <c r="AZ616" s="58"/>
      <c r="BA616" s="58"/>
      <c r="BB616" s="58"/>
      <c r="BC616" s="58"/>
      <c r="BD616" s="58"/>
      <c r="BE616" s="2136">
        <f t="shared" si="2"/>
        <v>0</v>
      </c>
      <c r="BF616" s="2137"/>
      <c r="BG616" s="2230">
        <f t="shared" si="3"/>
        <v>0</v>
      </c>
      <c r="BH616" s="2231"/>
      <c r="BI616" s="2136">
        <f t="shared" si="4"/>
        <v>0</v>
      </c>
      <c r="BJ616" s="2137"/>
      <c r="BK616" s="2230">
        <f t="shared" si="5"/>
        <v>0</v>
      </c>
      <c r="BL616" s="2231"/>
      <c r="BM616" s="58"/>
      <c r="BN616" s="2227">
        <f t="shared" si="6"/>
        <v>0</v>
      </c>
      <c r="BO616" s="2228"/>
      <c r="BP616" s="2228"/>
      <c r="BQ616" s="2228"/>
      <c r="BR616" s="2229"/>
      <c r="BS616" s="2114">
        <f t="shared" si="7"/>
        <v>0</v>
      </c>
      <c r="BT616" s="2114"/>
      <c r="BU616" s="2114"/>
      <c r="BV616" s="2114"/>
      <c r="BW616" s="2114"/>
      <c r="BX616" s="2114">
        <f t="shared" si="8"/>
        <v>0</v>
      </c>
      <c r="BY616" s="2114"/>
      <c r="BZ616" s="2114"/>
      <c r="CA616" s="2114"/>
      <c r="CB616" s="2114"/>
      <c r="CC616" s="2114">
        <f t="shared" si="9"/>
        <v>0</v>
      </c>
      <c r="CD616" s="2114"/>
      <c r="CE616" s="2114"/>
      <c r="CF616" s="2114"/>
      <c r="CG616" s="2114"/>
      <c r="CH616" s="2114">
        <f t="shared" si="10"/>
        <v>0</v>
      </c>
      <c r="CI616" s="2114"/>
      <c r="CJ616" s="2114"/>
      <c r="CK616" s="2114"/>
      <c r="CL616" s="2114"/>
      <c r="CM616" s="2114">
        <f t="shared" si="11"/>
        <v>0</v>
      </c>
      <c r="CN616" s="2114"/>
      <c r="CO616" s="2114"/>
      <c r="CP616" s="2114"/>
      <c r="CQ616" s="2114"/>
      <c r="CR616" s="264"/>
      <c r="CS616" s="2435">
        <f t="shared" si="12"/>
        <v>0</v>
      </c>
      <c r="CT616" s="2435"/>
      <c r="CU616" s="2435"/>
      <c r="CV616" s="2435"/>
      <c r="CW616" s="2435"/>
      <c r="CX616" s="2435">
        <f t="shared" si="13"/>
        <v>0</v>
      </c>
      <c r="CY616" s="2435"/>
      <c r="CZ616" s="2435"/>
      <c r="DA616" s="2435"/>
      <c r="DB616" s="2435"/>
      <c r="DC616" s="2435">
        <f t="shared" si="14"/>
        <v>0</v>
      </c>
      <c r="DD616" s="2435"/>
      <c r="DE616" s="2435"/>
      <c r="DF616" s="2435"/>
      <c r="DG616" s="2435"/>
      <c r="DH616" s="2435">
        <f t="shared" si="15"/>
        <v>0</v>
      </c>
      <c r="DI616" s="2435"/>
      <c r="DJ616" s="2435"/>
      <c r="DK616" s="2435"/>
      <c r="DL616" s="2435"/>
      <c r="DM616" s="2435">
        <f t="shared" si="16"/>
        <v>0</v>
      </c>
      <c r="DN616" s="2435"/>
      <c r="DO616" s="2435"/>
      <c r="DP616" s="2435"/>
      <c r="DQ616" s="2435"/>
      <c r="DR616" s="2435">
        <f t="shared" si="17"/>
        <v>0</v>
      </c>
      <c r="DS616" s="2435"/>
      <c r="DT616" s="2435"/>
      <c r="DU616" s="2435"/>
      <c r="DV616" s="2435"/>
      <c r="DX616" s="2136" t="str">
        <f t="shared" si="18"/>
        <v xml:space="preserve"> </v>
      </c>
      <c r="DY616" s="2605"/>
      <c r="DZ616" s="2605"/>
      <c r="EA616" s="2605"/>
      <c r="EB616" s="2137"/>
      <c r="EC616" s="2136" t="str">
        <f t="shared" si="19"/>
        <v xml:space="preserve"> </v>
      </c>
      <c r="ED616" s="2605"/>
      <c r="EE616" s="2605"/>
      <c r="EF616" s="2605"/>
      <c r="EG616" s="2137"/>
      <c r="EH616" s="2136" t="str">
        <f t="shared" si="20"/>
        <v xml:space="preserve"> </v>
      </c>
      <c r="EI616" s="2605"/>
      <c r="EJ616" s="2605"/>
      <c r="EK616" s="2605"/>
      <c r="EL616" s="2137"/>
      <c r="EM616" s="2136" t="str">
        <f t="shared" si="21"/>
        <v xml:space="preserve"> </v>
      </c>
      <c r="EN616" s="2605"/>
      <c r="EO616" s="2605"/>
      <c r="EP616" s="2605"/>
      <c r="EQ616" s="2137"/>
      <c r="ER616" s="2136" t="str">
        <f t="shared" si="22"/>
        <v xml:space="preserve"> </v>
      </c>
      <c r="ES616" s="2605"/>
      <c r="ET616" s="2605"/>
      <c r="EU616" s="2605"/>
      <c r="EV616" s="2137"/>
      <c r="EW616" s="2136" t="str">
        <f t="shared" si="23"/>
        <v xml:space="preserve"> </v>
      </c>
      <c r="EX616" s="2605"/>
      <c r="EY616" s="2605"/>
      <c r="EZ616" s="2605"/>
      <c r="FA616" s="2137"/>
    </row>
    <row r="617" spans="1:157" ht="12.95" customHeight="1">
      <c r="A617" s="50"/>
      <c r="B617" s="50"/>
      <c r="C617" s="50"/>
      <c r="AZ617" s="58"/>
      <c r="BA617" s="58"/>
      <c r="BB617" s="58"/>
      <c r="BC617" s="58"/>
      <c r="BD617" s="58"/>
      <c r="BE617" s="2136">
        <f t="shared" si="2"/>
        <v>0</v>
      </c>
      <c r="BF617" s="2137"/>
      <c r="BG617" s="2230">
        <f t="shared" si="3"/>
        <v>0</v>
      </c>
      <c r="BH617" s="2231"/>
      <c r="BI617" s="2136">
        <f t="shared" si="4"/>
        <v>0</v>
      </c>
      <c r="BJ617" s="2137"/>
      <c r="BK617" s="2230">
        <f t="shared" si="5"/>
        <v>0</v>
      </c>
      <c r="BL617" s="2231"/>
      <c r="BM617" s="58"/>
      <c r="BN617" s="2227">
        <f t="shared" si="6"/>
        <v>0</v>
      </c>
      <c r="BO617" s="2228"/>
      <c r="BP617" s="2228"/>
      <c r="BQ617" s="2228"/>
      <c r="BR617" s="2229"/>
      <c r="BS617" s="2114">
        <f t="shared" si="7"/>
        <v>0</v>
      </c>
      <c r="BT617" s="2114"/>
      <c r="BU617" s="2114"/>
      <c r="BV617" s="2114"/>
      <c r="BW617" s="2114"/>
      <c r="BX617" s="2114">
        <f t="shared" si="8"/>
        <v>0</v>
      </c>
      <c r="BY617" s="2114"/>
      <c r="BZ617" s="2114"/>
      <c r="CA617" s="2114"/>
      <c r="CB617" s="2114"/>
      <c r="CC617" s="2114">
        <f t="shared" si="9"/>
        <v>0</v>
      </c>
      <c r="CD617" s="2114"/>
      <c r="CE617" s="2114"/>
      <c r="CF617" s="2114"/>
      <c r="CG617" s="2114"/>
      <c r="CH617" s="2114">
        <f t="shared" si="10"/>
        <v>0</v>
      </c>
      <c r="CI617" s="2114"/>
      <c r="CJ617" s="2114"/>
      <c r="CK617" s="2114"/>
      <c r="CL617" s="2114"/>
      <c r="CM617" s="2114">
        <f t="shared" si="11"/>
        <v>0</v>
      </c>
      <c r="CN617" s="2114"/>
      <c r="CO617" s="2114"/>
      <c r="CP617" s="2114"/>
      <c r="CQ617" s="2114"/>
      <c r="CR617" s="264"/>
      <c r="CS617" s="2435">
        <f t="shared" si="12"/>
        <v>0</v>
      </c>
      <c r="CT617" s="2435"/>
      <c r="CU617" s="2435"/>
      <c r="CV617" s="2435"/>
      <c r="CW617" s="2435"/>
      <c r="CX617" s="2435">
        <f t="shared" si="13"/>
        <v>0</v>
      </c>
      <c r="CY617" s="2435"/>
      <c r="CZ617" s="2435"/>
      <c r="DA617" s="2435"/>
      <c r="DB617" s="2435"/>
      <c r="DC617" s="2435">
        <f t="shared" si="14"/>
        <v>0</v>
      </c>
      <c r="DD617" s="2435"/>
      <c r="DE617" s="2435"/>
      <c r="DF617" s="2435"/>
      <c r="DG617" s="2435"/>
      <c r="DH617" s="2435">
        <f t="shared" si="15"/>
        <v>0</v>
      </c>
      <c r="DI617" s="2435"/>
      <c r="DJ617" s="2435"/>
      <c r="DK617" s="2435"/>
      <c r="DL617" s="2435"/>
      <c r="DM617" s="2435">
        <f t="shared" si="16"/>
        <v>0</v>
      </c>
      <c r="DN617" s="2435"/>
      <c r="DO617" s="2435"/>
      <c r="DP617" s="2435"/>
      <c r="DQ617" s="2435"/>
      <c r="DR617" s="2435">
        <f t="shared" si="17"/>
        <v>0</v>
      </c>
      <c r="DS617" s="2435"/>
      <c r="DT617" s="2435"/>
      <c r="DU617" s="2435"/>
      <c r="DV617" s="2435"/>
      <c r="DX617" s="2136" t="str">
        <f t="shared" si="18"/>
        <v xml:space="preserve"> </v>
      </c>
      <c r="DY617" s="2605"/>
      <c r="DZ617" s="2605"/>
      <c r="EA617" s="2605"/>
      <c r="EB617" s="2137"/>
      <c r="EC617" s="2136" t="str">
        <f t="shared" si="19"/>
        <v xml:space="preserve"> </v>
      </c>
      <c r="ED617" s="2605"/>
      <c r="EE617" s="2605"/>
      <c r="EF617" s="2605"/>
      <c r="EG617" s="2137"/>
      <c r="EH617" s="2136" t="str">
        <f t="shared" si="20"/>
        <v xml:space="preserve"> </v>
      </c>
      <c r="EI617" s="2605"/>
      <c r="EJ617" s="2605"/>
      <c r="EK617" s="2605"/>
      <c r="EL617" s="2137"/>
      <c r="EM617" s="2136" t="str">
        <f t="shared" si="21"/>
        <v xml:space="preserve"> </v>
      </c>
      <c r="EN617" s="2605"/>
      <c r="EO617" s="2605"/>
      <c r="EP617" s="2605"/>
      <c r="EQ617" s="2137"/>
      <c r="ER617" s="2136" t="str">
        <f t="shared" si="22"/>
        <v xml:space="preserve"> </v>
      </c>
      <c r="ES617" s="2605"/>
      <c r="ET617" s="2605"/>
      <c r="EU617" s="2605"/>
      <c r="EV617" s="2137"/>
      <c r="EW617" s="2136" t="str">
        <f t="shared" si="23"/>
        <v xml:space="preserve"> </v>
      </c>
      <c r="EX617" s="2605"/>
      <c r="EY617" s="2605"/>
      <c r="EZ617" s="2605"/>
      <c r="FA617" s="2137"/>
    </row>
    <row r="618" spans="1:157" ht="12.95" customHeight="1">
      <c r="C618" s="5" t="s">
        <v>2518</v>
      </c>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Z618" s="58"/>
      <c r="BA618" s="58"/>
      <c r="BB618" s="58"/>
      <c r="BC618" s="58"/>
      <c r="BD618" s="58"/>
      <c r="BE618" s="2136">
        <f t="shared" si="2"/>
        <v>0</v>
      </c>
      <c r="BF618" s="2137"/>
      <c r="BG618" s="2230">
        <f t="shared" si="3"/>
        <v>0</v>
      </c>
      <c r="BH618" s="2231"/>
      <c r="BI618" s="2136">
        <f t="shared" si="4"/>
        <v>0</v>
      </c>
      <c r="BJ618" s="2137"/>
      <c r="BK618" s="2230">
        <f t="shared" si="5"/>
        <v>0</v>
      </c>
      <c r="BL618" s="2231"/>
      <c r="BM618" s="58"/>
      <c r="BN618" s="2227">
        <f t="shared" si="6"/>
        <v>0</v>
      </c>
      <c r="BO618" s="2228"/>
      <c r="BP618" s="2228"/>
      <c r="BQ618" s="2228"/>
      <c r="BR618" s="2229"/>
      <c r="BS618" s="2114">
        <f t="shared" si="7"/>
        <v>0</v>
      </c>
      <c r="BT618" s="2114"/>
      <c r="BU618" s="2114"/>
      <c r="BV618" s="2114"/>
      <c r="BW618" s="2114"/>
      <c r="BX618" s="2114">
        <f t="shared" si="8"/>
        <v>0</v>
      </c>
      <c r="BY618" s="2114"/>
      <c r="BZ618" s="2114"/>
      <c r="CA618" s="2114"/>
      <c r="CB618" s="2114"/>
      <c r="CC618" s="2114">
        <f t="shared" si="9"/>
        <v>0</v>
      </c>
      <c r="CD618" s="2114"/>
      <c r="CE618" s="2114"/>
      <c r="CF618" s="2114"/>
      <c r="CG618" s="2114"/>
      <c r="CH618" s="2114">
        <f t="shared" si="10"/>
        <v>0</v>
      </c>
      <c r="CI618" s="2114"/>
      <c r="CJ618" s="2114"/>
      <c r="CK618" s="2114"/>
      <c r="CL618" s="2114"/>
      <c r="CM618" s="2114">
        <f t="shared" si="11"/>
        <v>0</v>
      </c>
      <c r="CN618" s="2114"/>
      <c r="CO618" s="2114"/>
      <c r="CP618" s="2114"/>
      <c r="CQ618" s="2114"/>
      <c r="CR618" s="264"/>
      <c r="CS618" s="2435">
        <f t="shared" si="12"/>
        <v>0</v>
      </c>
      <c r="CT618" s="2435"/>
      <c r="CU618" s="2435"/>
      <c r="CV618" s="2435"/>
      <c r="CW618" s="2435"/>
      <c r="CX618" s="2435">
        <f t="shared" si="13"/>
        <v>0</v>
      </c>
      <c r="CY618" s="2435"/>
      <c r="CZ618" s="2435"/>
      <c r="DA618" s="2435"/>
      <c r="DB618" s="2435"/>
      <c r="DC618" s="2435">
        <f t="shared" si="14"/>
        <v>0</v>
      </c>
      <c r="DD618" s="2435"/>
      <c r="DE618" s="2435"/>
      <c r="DF618" s="2435"/>
      <c r="DG618" s="2435"/>
      <c r="DH618" s="2435">
        <f t="shared" si="15"/>
        <v>0</v>
      </c>
      <c r="DI618" s="2435"/>
      <c r="DJ618" s="2435"/>
      <c r="DK618" s="2435"/>
      <c r="DL618" s="2435"/>
      <c r="DM618" s="2435">
        <f t="shared" si="16"/>
        <v>0</v>
      </c>
      <c r="DN618" s="2435"/>
      <c r="DO618" s="2435"/>
      <c r="DP618" s="2435"/>
      <c r="DQ618" s="2435"/>
      <c r="DR618" s="2435">
        <f t="shared" si="17"/>
        <v>0</v>
      </c>
      <c r="DS618" s="2435"/>
      <c r="DT618" s="2435"/>
      <c r="DU618" s="2435"/>
      <c r="DV618" s="2435"/>
      <c r="DX618" s="2136" t="str">
        <f t="shared" si="18"/>
        <v xml:space="preserve"> </v>
      </c>
      <c r="DY618" s="2605"/>
      <c r="DZ618" s="2605"/>
      <c r="EA618" s="2605"/>
      <c r="EB618" s="2137"/>
      <c r="EC618" s="2136" t="str">
        <f t="shared" si="19"/>
        <v xml:space="preserve"> </v>
      </c>
      <c r="ED618" s="2605"/>
      <c r="EE618" s="2605"/>
      <c r="EF618" s="2605"/>
      <c r="EG618" s="2137"/>
      <c r="EH618" s="2136" t="str">
        <f t="shared" si="20"/>
        <v xml:space="preserve"> </v>
      </c>
      <c r="EI618" s="2605"/>
      <c r="EJ618" s="2605"/>
      <c r="EK618" s="2605"/>
      <c r="EL618" s="2137"/>
      <c r="EM618" s="2136" t="str">
        <f t="shared" si="21"/>
        <v xml:space="preserve"> </v>
      </c>
      <c r="EN618" s="2605"/>
      <c r="EO618" s="2605"/>
      <c r="EP618" s="2605"/>
      <c r="EQ618" s="2137"/>
      <c r="ER618" s="2136" t="str">
        <f t="shared" si="22"/>
        <v xml:space="preserve"> </v>
      </c>
      <c r="ES618" s="2605"/>
      <c r="ET618" s="2605"/>
      <c r="EU618" s="2605"/>
      <c r="EV618" s="2137"/>
      <c r="EW618" s="2136" t="str">
        <f t="shared" si="23"/>
        <v xml:space="preserve"> </v>
      </c>
      <c r="EX618" s="2605"/>
      <c r="EY618" s="2605"/>
      <c r="EZ618" s="2605"/>
      <c r="FA618" s="2137"/>
    </row>
    <row r="619" spans="1:157" ht="12.95" customHeight="1">
      <c r="B619" s="893"/>
      <c r="C619" s="49"/>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Z619" s="58"/>
      <c r="BA619" s="58"/>
      <c r="BB619" s="58"/>
      <c r="BC619" s="58"/>
      <c r="BD619" s="58"/>
      <c r="BE619" s="2136">
        <f t="shared" si="2"/>
        <v>0</v>
      </c>
      <c r="BF619" s="2137"/>
      <c r="BG619" s="2230">
        <f t="shared" si="3"/>
        <v>0</v>
      </c>
      <c r="BH619" s="2231"/>
      <c r="BI619" s="2136">
        <f t="shared" si="4"/>
        <v>0</v>
      </c>
      <c r="BJ619" s="2137"/>
      <c r="BK619" s="2230">
        <f t="shared" si="5"/>
        <v>0</v>
      </c>
      <c r="BL619" s="2231"/>
      <c r="BM619" s="58"/>
      <c r="BN619" s="2227">
        <f t="shared" si="6"/>
        <v>0</v>
      </c>
      <c r="BO619" s="2228"/>
      <c r="BP619" s="2228"/>
      <c r="BQ619" s="2228"/>
      <c r="BR619" s="2229"/>
      <c r="BS619" s="2114">
        <f t="shared" si="7"/>
        <v>0</v>
      </c>
      <c r="BT619" s="2114"/>
      <c r="BU619" s="2114"/>
      <c r="BV619" s="2114"/>
      <c r="BW619" s="2114"/>
      <c r="BX619" s="2114">
        <f t="shared" si="8"/>
        <v>0</v>
      </c>
      <c r="BY619" s="2114"/>
      <c r="BZ619" s="2114"/>
      <c r="CA619" s="2114"/>
      <c r="CB619" s="2114"/>
      <c r="CC619" s="2114">
        <f t="shared" si="9"/>
        <v>0</v>
      </c>
      <c r="CD619" s="2114"/>
      <c r="CE619" s="2114"/>
      <c r="CF619" s="2114"/>
      <c r="CG619" s="2114"/>
      <c r="CH619" s="2114">
        <f t="shared" si="10"/>
        <v>0</v>
      </c>
      <c r="CI619" s="2114"/>
      <c r="CJ619" s="2114"/>
      <c r="CK619" s="2114"/>
      <c r="CL619" s="2114"/>
      <c r="CM619" s="2114">
        <f t="shared" si="11"/>
        <v>0</v>
      </c>
      <c r="CN619" s="2114"/>
      <c r="CO619" s="2114"/>
      <c r="CP619" s="2114"/>
      <c r="CQ619" s="2114"/>
      <c r="CR619" s="264"/>
      <c r="CS619" s="2435">
        <f t="shared" si="12"/>
        <v>0</v>
      </c>
      <c r="CT619" s="2435"/>
      <c r="CU619" s="2435"/>
      <c r="CV619" s="2435"/>
      <c r="CW619" s="2435"/>
      <c r="CX619" s="2435">
        <f t="shared" si="13"/>
        <v>0</v>
      </c>
      <c r="CY619" s="2435"/>
      <c r="CZ619" s="2435"/>
      <c r="DA619" s="2435"/>
      <c r="DB619" s="2435"/>
      <c r="DC619" s="2435">
        <f t="shared" si="14"/>
        <v>0</v>
      </c>
      <c r="DD619" s="2435"/>
      <c r="DE619" s="2435"/>
      <c r="DF619" s="2435"/>
      <c r="DG619" s="2435"/>
      <c r="DH619" s="2435">
        <f t="shared" si="15"/>
        <v>0</v>
      </c>
      <c r="DI619" s="2435"/>
      <c r="DJ619" s="2435"/>
      <c r="DK619" s="2435"/>
      <c r="DL619" s="2435"/>
      <c r="DM619" s="2435">
        <f t="shared" si="16"/>
        <v>0</v>
      </c>
      <c r="DN619" s="2435"/>
      <c r="DO619" s="2435"/>
      <c r="DP619" s="2435"/>
      <c r="DQ619" s="2435"/>
      <c r="DR619" s="2435">
        <f t="shared" si="17"/>
        <v>0</v>
      </c>
      <c r="DS619" s="2435"/>
      <c r="DT619" s="2435"/>
      <c r="DU619" s="2435"/>
      <c r="DV619" s="2435"/>
      <c r="DX619" s="2136" t="str">
        <f t="shared" si="18"/>
        <v xml:space="preserve"> </v>
      </c>
      <c r="DY619" s="2605"/>
      <c r="DZ619" s="2605"/>
      <c r="EA619" s="2605"/>
      <c r="EB619" s="2137"/>
      <c r="EC619" s="2136" t="str">
        <f t="shared" si="19"/>
        <v xml:space="preserve"> </v>
      </c>
      <c r="ED619" s="2605"/>
      <c r="EE619" s="2605"/>
      <c r="EF619" s="2605"/>
      <c r="EG619" s="2137"/>
      <c r="EH619" s="2136" t="str">
        <f t="shared" si="20"/>
        <v xml:space="preserve"> </v>
      </c>
      <c r="EI619" s="2605"/>
      <c r="EJ619" s="2605"/>
      <c r="EK619" s="2605"/>
      <c r="EL619" s="2137"/>
      <c r="EM619" s="2136" t="str">
        <f t="shared" si="21"/>
        <v xml:space="preserve"> </v>
      </c>
      <c r="EN619" s="2605"/>
      <c r="EO619" s="2605"/>
      <c r="EP619" s="2605"/>
      <c r="EQ619" s="2137"/>
      <c r="ER619" s="2136" t="str">
        <f t="shared" si="22"/>
        <v xml:space="preserve"> </v>
      </c>
      <c r="ES619" s="2605"/>
      <c r="ET619" s="2605"/>
      <c r="EU619" s="2605"/>
      <c r="EV619" s="2137"/>
      <c r="EW619" s="2136" t="str">
        <f t="shared" si="23"/>
        <v xml:space="preserve"> </v>
      </c>
      <c r="EX619" s="2605"/>
      <c r="EY619" s="2605"/>
      <c r="EZ619" s="2605"/>
      <c r="FA619" s="2137"/>
    </row>
    <row r="620" spans="1:157" s="1650" customFormat="1" ht="12.95" customHeight="1">
      <c r="B620" s="2613" t="s">
        <v>2520</v>
      </c>
      <c r="C620" s="2613"/>
      <c r="D620" s="2613"/>
      <c r="E620" s="2613"/>
      <c r="F620" s="2613"/>
      <c r="G620" s="2613"/>
      <c r="H620" s="2613"/>
      <c r="I620" s="2613"/>
      <c r="J620" s="2613"/>
      <c r="K620" s="2613"/>
      <c r="L620" s="2613"/>
      <c r="M620" s="2240" t="s">
        <v>2521</v>
      </c>
      <c r="N620" s="2240"/>
      <c r="O620" s="2240"/>
      <c r="P620" s="2240"/>
      <c r="Q620" s="2240" t="s">
        <v>2109</v>
      </c>
      <c r="R620" s="2240"/>
      <c r="S620" s="2240"/>
      <c r="T620" s="2240" t="s">
        <v>2107</v>
      </c>
      <c r="U620" s="2240"/>
      <c r="V620" s="2240"/>
      <c r="W620" s="2612" t="s">
        <v>462</v>
      </c>
      <c r="X620" s="2612"/>
      <c r="Y620" s="2612"/>
      <c r="Z620" s="2126" t="s">
        <v>2550</v>
      </c>
      <c r="AA620" s="2126"/>
      <c r="AB620" s="2127"/>
      <c r="AC620" s="2479" t="s">
        <v>1929</v>
      </c>
      <c r="AD620" s="2480"/>
      <c r="AE620" s="2481"/>
      <c r="AF620" s="2125" t="s">
        <v>2303</v>
      </c>
      <c r="AG620" s="2126"/>
      <c r="AH620" s="2126"/>
      <c r="AI620" s="2126"/>
      <c r="AJ620" s="2127"/>
      <c r="AK620" s="2469" t="s">
        <v>2304</v>
      </c>
      <c r="AL620" s="2470"/>
      <c r="AM620" s="2470"/>
      <c r="AN620" s="2471"/>
      <c r="AO620" s="2240" t="s">
        <v>463</v>
      </c>
      <c r="AP620" s="2240"/>
      <c r="AQ620" s="2240"/>
      <c r="AR620" s="2240"/>
      <c r="AS620" s="2240"/>
      <c r="AT620" s="1651"/>
      <c r="AU620" s="1651"/>
      <c r="AV620" s="1651"/>
      <c r="AW620" s="1651"/>
      <c r="AX620" s="1651"/>
      <c r="AY620" s="1651"/>
      <c r="AZ620" s="181"/>
      <c r="BA620" s="181"/>
      <c r="BB620" s="181"/>
      <c r="BC620" s="181"/>
      <c r="BD620" s="181"/>
      <c r="BE620" s="2136">
        <f t="shared" si="2"/>
        <v>0</v>
      </c>
      <c r="BF620" s="2137"/>
      <c r="BG620" s="2230">
        <f t="shared" si="3"/>
        <v>0</v>
      </c>
      <c r="BH620" s="2231"/>
      <c r="BI620" s="2136">
        <f t="shared" si="4"/>
        <v>0</v>
      </c>
      <c r="BJ620" s="2137"/>
      <c r="BK620" s="2230">
        <f t="shared" si="5"/>
        <v>0</v>
      </c>
      <c r="BL620" s="2231"/>
      <c r="BM620" s="181"/>
      <c r="BN620" s="2227">
        <f t="shared" si="6"/>
        <v>0</v>
      </c>
      <c r="BO620" s="2228"/>
      <c r="BP620" s="2228"/>
      <c r="BQ620" s="2228"/>
      <c r="BR620" s="2229"/>
      <c r="BS620" s="2114">
        <f t="shared" si="7"/>
        <v>0</v>
      </c>
      <c r="BT620" s="2114"/>
      <c r="BU620" s="2114"/>
      <c r="BV620" s="2114"/>
      <c r="BW620" s="2114"/>
      <c r="BX620" s="2114">
        <f t="shared" si="8"/>
        <v>0</v>
      </c>
      <c r="BY620" s="2114"/>
      <c r="BZ620" s="2114"/>
      <c r="CA620" s="2114"/>
      <c r="CB620" s="2114"/>
      <c r="CC620" s="2114">
        <f t="shared" si="9"/>
        <v>0</v>
      </c>
      <c r="CD620" s="2114"/>
      <c r="CE620" s="2114"/>
      <c r="CF620" s="2114"/>
      <c r="CG620" s="2114"/>
      <c r="CH620" s="2114">
        <f t="shared" si="10"/>
        <v>0</v>
      </c>
      <c r="CI620" s="2114"/>
      <c r="CJ620" s="2114"/>
      <c r="CK620" s="2114"/>
      <c r="CL620" s="2114"/>
      <c r="CM620" s="2114">
        <f t="shared" si="11"/>
        <v>0</v>
      </c>
      <c r="CN620" s="2114"/>
      <c r="CO620" s="2114"/>
      <c r="CP620" s="2114"/>
      <c r="CQ620" s="2114"/>
      <c r="CR620" s="264"/>
      <c r="CS620" s="2435">
        <f t="shared" si="12"/>
        <v>0</v>
      </c>
      <c r="CT620" s="2435"/>
      <c r="CU620" s="2435"/>
      <c r="CV620" s="2435"/>
      <c r="CW620" s="2435"/>
      <c r="CX620" s="2435">
        <f t="shared" si="13"/>
        <v>0</v>
      </c>
      <c r="CY620" s="2435"/>
      <c r="CZ620" s="2435"/>
      <c r="DA620" s="2435"/>
      <c r="DB620" s="2435"/>
      <c r="DC620" s="2435">
        <f t="shared" si="14"/>
        <v>0</v>
      </c>
      <c r="DD620" s="2435"/>
      <c r="DE620" s="2435"/>
      <c r="DF620" s="2435"/>
      <c r="DG620" s="2435"/>
      <c r="DH620" s="2435">
        <f t="shared" si="15"/>
        <v>0</v>
      </c>
      <c r="DI620" s="2435"/>
      <c r="DJ620" s="2435"/>
      <c r="DK620" s="2435"/>
      <c r="DL620" s="2435"/>
      <c r="DM620" s="2435">
        <f t="shared" si="16"/>
        <v>0</v>
      </c>
      <c r="DN620" s="2435"/>
      <c r="DO620" s="2435"/>
      <c r="DP620" s="2435"/>
      <c r="DQ620" s="2435"/>
      <c r="DR620" s="2435">
        <f t="shared" si="17"/>
        <v>0</v>
      </c>
      <c r="DS620" s="2435"/>
      <c r="DT620" s="2435"/>
      <c r="DU620" s="2435"/>
      <c r="DV620" s="2435"/>
      <c r="DX620" s="2136" t="str">
        <f t="shared" si="18"/>
        <v xml:space="preserve"> </v>
      </c>
      <c r="DY620" s="2605"/>
      <c r="DZ620" s="2605"/>
      <c r="EA620" s="2605"/>
      <c r="EB620" s="2137"/>
      <c r="EC620" s="2136" t="str">
        <f t="shared" si="19"/>
        <v xml:space="preserve"> </v>
      </c>
      <c r="ED620" s="2605"/>
      <c r="EE620" s="2605"/>
      <c r="EF620" s="2605"/>
      <c r="EG620" s="2137"/>
      <c r="EH620" s="2136" t="str">
        <f t="shared" si="20"/>
        <v xml:space="preserve"> </v>
      </c>
      <c r="EI620" s="2605"/>
      <c r="EJ620" s="2605"/>
      <c r="EK620" s="2605"/>
      <c r="EL620" s="2137"/>
      <c r="EM620" s="2136" t="str">
        <f t="shared" si="21"/>
        <v xml:space="preserve"> </v>
      </c>
      <c r="EN620" s="2605"/>
      <c r="EO620" s="2605"/>
      <c r="EP620" s="2605"/>
      <c r="EQ620" s="2137"/>
      <c r="ER620" s="2136" t="str">
        <f t="shared" si="22"/>
        <v xml:space="preserve"> </v>
      </c>
      <c r="ES620" s="2605"/>
      <c r="ET620" s="2605"/>
      <c r="EU620" s="2605"/>
      <c r="EV620" s="2137"/>
      <c r="EW620" s="2136" t="str">
        <f t="shared" si="23"/>
        <v xml:space="preserve"> </v>
      </c>
      <c r="EX620" s="2605"/>
      <c r="EY620" s="2605"/>
      <c r="EZ620" s="2605"/>
      <c r="FA620" s="2137"/>
    </row>
    <row r="621" spans="1:157" s="1650" customFormat="1" ht="12.95" customHeight="1">
      <c r="B621" s="2613"/>
      <c r="C621" s="2613"/>
      <c r="D621" s="2613"/>
      <c r="E621" s="2613"/>
      <c r="F621" s="2613"/>
      <c r="G621" s="2613"/>
      <c r="H621" s="2613"/>
      <c r="I621" s="2613"/>
      <c r="J621" s="2613"/>
      <c r="K621" s="2613"/>
      <c r="L621" s="2613"/>
      <c r="M621" s="2240"/>
      <c r="N621" s="2240"/>
      <c r="O621" s="2240"/>
      <c r="P621" s="2240"/>
      <c r="Q621" s="2240"/>
      <c r="R621" s="2240"/>
      <c r="S621" s="2240"/>
      <c r="T621" s="2240"/>
      <c r="U621" s="2240"/>
      <c r="V621" s="2240"/>
      <c r="W621" s="2612"/>
      <c r="X621" s="2612"/>
      <c r="Y621" s="2612"/>
      <c r="Z621" s="2129"/>
      <c r="AA621" s="2129"/>
      <c r="AB621" s="2130"/>
      <c r="AC621" s="2482"/>
      <c r="AD621" s="2483"/>
      <c r="AE621" s="2484"/>
      <c r="AF621" s="2128"/>
      <c r="AG621" s="2129"/>
      <c r="AH621" s="2129"/>
      <c r="AI621" s="2129"/>
      <c r="AJ621" s="2130"/>
      <c r="AK621" s="2472"/>
      <c r="AL621" s="2473"/>
      <c r="AM621" s="2473"/>
      <c r="AN621" s="2474"/>
      <c r="AO621" s="2240"/>
      <c r="AP621" s="2240"/>
      <c r="AQ621" s="2240"/>
      <c r="AR621" s="2240"/>
      <c r="AS621" s="2240"/>
      <c r="AT621" s="1651"/>
      <c r="AU621" s="1651"/>
      <c r="AV621" s="1651"/>
      <c r="AW621" s="1651"/>
      <c r="AX621" s="1651"/>
      <c r="AY621" s="1651"/>
      <c r="AZ621" s="181"/>
      <c r="BA621" s="181"/>
      <c r="BB621" s="181"/>
      <c r="BC621" s="181"/>
      <c r="BD621" s="181"/>
      <c r="BE621" s="181"/>
      <c r="BF621" s="181"/>
      <c r="BG621" s="2136">
        <f>SUM(BG596:BH620)</f>
        <v>3</v>
      </c>
      <c r="BH621" s="2137"/>
      <c r="BI621" s="181"/>
      <c r="BJ621" s="181"/>
      <c r="BK621" s="2136">
        <f>SUM(BK596:BL620)</f>
        <v>32</v>
      </c>
      <c r="BL621" s="2137"/>
      <c r="BM621" s="181"/>
      <c r="BN621" s="2136">
        <f>SUM(BN596:BR620)</f>
        <v>0</v>
      </c>
      <c r="BO621" s="2605"/>
      <c r="BP621" s="2605"/>
      <c r="BQ621" s="2605"/>
      <c r="BR621" s="2137"/>
      <c r="BS621" s="2423">
        <f>SUM(BS596:BW620)</f>
        <v>69</v>
      </c>
      <c r="BT621" s="2423"/>
      <c r="BU621" s="2423"/>
      <c r="BV621" s="2423"/>
      <c r="BW621" s="2423"/>
      <c r="BX621" s="2423">
        <f>SUM(BX596:CB620)</f>
        <v>0</v>
      </c>
      <c r="BY621" s="2423"/>
      <c r="BZ621" s="2423"/>
      <c r="CA621" s="2423"/>
      <c r="CB621" s="2423"/>
      <c r="CC621" s="2423">
        <f>SUM(CC596:CG620)</f>
        <v>0</v>
      </c>
      <c r="CD621" s="2423"/>
      <c r="CE621" s="2423"/>
      <c r="CF621" s="2423"/>
      <c r="CG621" s="2423"/>
      <c r="CH621" s="2423">
        <f>SUM(CH596:CL620)</f>
        <v>0</v>
      </c>
      <c r="CI621" s="2423"/>
      <c r="CJ621" s="2423"/>
      <c r="CK621" s="2423"/>
      <c r="CL621" s="2423"/>
      <c r="CM621" s="2423">
        <f>SUM(CM596:CQ620)</f>
        <v>0</v>
      </c>
      <c r="CN621" s="2423"/>
      <c r="CO621" s="2423"/>
      <c r="CP621" s="2423"/>
      <c r="CQ621" s="2423"/>
      <c r="CR621" s="686"/>
      <c r="CS621" s="2423">
        <f>SUM(CS596:CW620)</f>
        <v>0</v>
      </c>
      <c r="CT621" s="2423"/>
      <c r="CU621" s="2423"/>
      <c r="CV621" s="2423"/>
      <c r="CW621" s="2423"/>
      <c r="CX621" s="2423">
        <f>SUM(CX596:DB620)</f>
        <v>32</v>
      </c>
      <c r="CY621" s="2423"/>
      <c r="CZ621" s="2423"/>
      <c r="DA621" s="2423"/>
      <c r="DB621" s="2423"/>
      <c r="DC621" s="2423">
        <f>SUM(DC596:DG620)</f>
        <v>0</v>
      </c>
      <c r="DD621" s="2423"/>
      <c r="DE621" s="2423"/>
      <c r="DF621" s="2423"/>
      <c r="DG621" s="2423"/>
      <c r="DH621" s="2423">
        <f>SUM(DH596:DL620)</f>
        <v>0</v>
      </c>
      <c r="DI621" s="2423"/>
      <c r="DJ621" s="2423"/>
      <c r="DK621" s="2423"/>
      <c r="DL621" s="2423"/>
      <c r="DM621" s="2423">
        <f>SUM(DM596:DQ620)</f>
        <v>0</v>
      </c>
      <c r="DN621" s="2423"/>
      <c r="DO621" s="2423"/>
      <c r="DP621" s="2423"/>
      <c r="DQ621" s="2423"/>
      <c r="DR621" s="2423">
        <f>SUM(DR596:DV620)</f>
        <v>0</v>
      </c>
      <c r="DS621" s="2423"/>
      <c r="DT621" s="2423"/>
      <c r="DU621" s="2423"/>
      <c r="DV621" s="2423"/>
      <c r="DX621" s="2423">
        <f>SUM(DX596:EB620)</f>
        <v>0</v>
      </c>
      <c r="DY621" s="2423"/>
      <c r="DZ621" s="2423"/>
      <c r="EA621" s="2423"/>
      <c r="EB621" s="2423"/>
      <c r="EC621" s="2423">
        <f>SUM(EC596:EG620)</f>
        <v>3665</v>
      </c>
      <c r="ED621" s="2423"/>
      <c r="EE621" s="2423"/>
      <c r="EF621" s="2423"/>
      <c r="EG621" s="2423"/>
      <c r="EH621" s="2423">
        <f>SUM(EH596:EL620)</f>
        <v>0</v>
      </c>
      <c r="EI621" s="2423"/>
      <c r="EJ621" s="2423"/>
      <c r="EK621" s="2423"/>
      <c r="EL621" s="2423"/>
      <c r="EM621" s="2423">
        <f>SUM(EM596:EQ620)</f>
        <v>0</v>
      </c>
      <c r="EN621" s="2423"/>
      <c r="EO621" s="2423"/>
      <c r="EP621" s="2423"/>
      <c r="EQ621" s="2423"/>
      <c r="ER621" s="2423">
        <f>SUM(ER596:EV620)</f>
        <v>0</v>
      </c>
      <c r="ES621" s="2423"/>
      <c r="ET621" s="2423"/>
      <c r="EU621" s="2423"/>
      <c r="EV621" s="2423"/>
      <c r="EW621" s="2423">
        <f>SUM(EW596:FA620)</f>
        <v>0</v>
      </c>
      <c r="EX621" s="2423"/>
      <c r="EY621" s="2423"/>
      <c r="EZ621" s="2423"/>
      <c r="FA621" s="2423"/>
    </row>
    <row r="622" spans="1:157" s="1650" customFormat="1" ht="12.95" customHeight="1">
      <c r="B622" s="2613"/>
      <c r="C622" s="2613"/>
      <c r="D622" s="2613"/>
      <c r="E622" s="2613"/>
      <c r="F622" s="2613"/>
      <c r="G622" s="2613"/>
      <c r="H622" s="2613"/>
      <c r="I622" s="2613"/>
      <c r="J622" s="2613"/>
      <c r="K622" s="2613"/>
      <c r="L622" s="2613"/>
      <c r="M622" s="2240"/>
      <c r="N622" s="2240"/>
      <c r="O622" s="2240"/>
      <c r="P622" s="2240"/>
      <c r="Q622" s="2240"/>
      <c r="R622" s="2240"/>
      <c r="S622" s="2240"/>
      <c r="T622" s="2240"/>
      <c r="U622" s="2240"/>
      <c r="V622" s="2240"/>
      <c r="W622" s="2612"/>
      <c r="X622" s="2612"/>
      <c r="Y622" s="2612"/>
      <c r="Z622" s="2132"/>
      <c r="AA622" s="2132"/>
      <c r="AB622" s="2133"/>
      <c r="AC622" s="2485"/>
      <c r="AD622" s="2486"/>
      <c r="AE622" s="2487"/>
      <c r="AF622" s="2131"/>
      <c r="AG622" s="2132"/>
      <c r="AH622" s="2132"/>
      <c r="AI622" s="2132"/>
      <c r="AJ622" s="2133"/>
      <c r="AK622" s="2475"/>
      <c r="AL622" s="2476"/>
      <c r="AM622" s="2476"/>
      <c r="AN622" s="2477"/>
      <c r="AO622" s="2240"/>
      <c r="AP622" s="2240"/>
      <c r="AQ622" s="2240"/>
      <c r="AR622" s="2240"/>
      <c r="AS622" s="2240"/>
      <c r="AT622" s="880"/>
      <c r="AU622" s="880"/>
      <c r="AV622" s="880"/>
      <c r="AW622" s="880"/>
      <c r="AX622" s="880"/>
      <c r="AY622" s="880"/>
      <c r="AZ622" s="181"/>
      <c r="BA622" s="181"/>
      <c r="BB622" s="181"/>
      <c r="BC622" s="181"/>
      <c r="BD622" s="181"/>
      <c r="BE622" s="181"/>
      <c r="BF622" s="181"/>
      <c r="BG622" s="181"/>
      <c r="BH622" s="181"/>
      <c r="BI622" s="181"/>
      <c r="BJ622" s="181"/>
      <c r="BK622" s="181"/>
      <c r="BL622" s="181"/>
      <c r="BM622" s="181"/>
      <c r="BN622" s="181"/>
      <c r="BO622" s="181"/>
      <c r="BP622" s="181"/>
      <c r="BQ622" s="181"/>
      <c r="BR622" s="181"/>
      <c r="BS622" s="181"/>
      <c r="BT622" s="181"/>
      <c r="BU622" s="181"/>
      <c r="BV622" s="181"/>
      <c r="BW622" s="181"/>
      <c r="BX622" s="181"/>
      <c r="BY622" s="181"/>
      <c r="BZ622" s="181"/>
      <c r="CA622" s="181"/>
      <c r="CB622" s="181"/>
      <c r="CC622" s="181"/>
      <c r="CD622" s="181"/>
      <c r="CE622" s="181"/>
      <c r="CF622" s="181"/>
      <c r="CG622" s="181"/>
      <c r="CH622" s="181"/>
      <c r="CI622" s="181"/>
      <c r="CJ622" s="181"/>
      <c r="CK622" s="181"/>
      <c r="CL622" s="136" t="s">
        <v>2117</v>
      </c>
      <c r="CM622" s="2136">
        <f>BN621+BS621+BX621+CC621+CH621+CM621</f>
        <v>69</v>
      </c>
      <c r="CN622" s="2605"/>
      <c r="CO622" s="2605"/>
      <c r="CP622" s="2605"/>
      <c r="CQ622" s="2137"/>
      <c r="CR622" s="686"/>
      <c r="CS622" s="181"/>
      <c r="CT622" s="181"/>
      <c r="CU622" s="181"/>
      <c r="CV622" s="181"/>
      <c r="CW622" s="181"/>
      <c r="CX622" s="181"/>
      <c r="CY622" s="181"/>
      <c r="CZ622" s="181"/>
      <c r="DA622" s="181"/>
      <c r="DB622" s="181"/>
      <c r="DC622" s="181"/>
      <c r="DD622" s="181"/>
      <c r="DE622" s="181"/>
      <c r="DF622" s="181"/>
    </row>
    <row r="623" spans="1:157" ht="12.95" customHeight="1">
      <c r="B623" s="83" t="s">
        <v>113</v>
      </c>
      <c r="C623" s="2440" t="s">
        <v>2795</v>
      </c>
      <c r="D623" s="2440"/>
      <c r="E623" s="2440"/>
      <c r="F623" s="2440"/>
      <c r="G623" s="2440"/>
      <c r="H623" s="2440"/>
      <c r="I623" s="2440"/>
      <c r="J623" s="2440"/>
      <c r="K623" s="2440"/>
      <c r="L623" s="2441"/>
      <c r="M623" s="2611" t="s">
        <v>2531</v>
      </c>
      <c r="N623" s="2611"/>
      <c r="O623" s="2611"/>
      <c r="P623" s="2611"/>
      <c r="Q623" s="2268">
        <v>420</v>
      </c>
      <c r="R623" s="2268"/>
      <c r="S623" s="2615"/>
      <c r="T623" s="2614">
        <v>420</v>
      </c>
      <c r="U623" s="2268"/>
      <c r="V623" s="2615"/>
      <c r="W623" s="2292">
        <v>6.5000000000000002E-2</v>
      </c>
      <c r="X623" s="2293"/>
      <c r="Y623" s="2294"/>
      <c r="Z623" s="2444" t="s">
        <v>2549</v>
      </c>
      <c r="AA623" s="2445"/>
      <c r="AB623" s="2446"/>
      <c r="AC623" s="2148">
        <v>1</v>
      </c>
      <c r="AD623" s="2149"/>
      <c r="AE623" s="2150"/>
      <c r="AF623" s="2295">
        <v>373826</v>
      </c>
      <c r="AG623" s="2296"/>
      <c r="AH623" s="2296"/>
      <c r="AI623" s="2296"/>
      <c r="AJ623" s="2297"/>
      <c r="AK623" s="2432"/>
      <c r="AL623" s="2433"/>
      <c r="AM623" s="2433"/>
      <c r="AN623" s="2434"/>
      <c r="AO623" s="2334">
        <v>5321000</v>
      </c>
      <c r="AP623" s="2334"/>
      <c r="AQ623" s="2334"/>
      <c r="AR623" s="2334"/>
      <c r="AS623" s="2334"/>
      <c r="AT623" s="238"/>
      <c r="AU623" s="238"/>
      <c r="AV623" s="238"/>
      <c r="AW623" s="238"/>
      <c r="AX623" s="238"/>
      <c r="AY623" s="238"/>
      <c r="AZ623" s="58"/>
      <c r="BA623" s="58" t="s">
        <v>1326</v>
      </c>
      <c r="BB623" s="58"/>
      <c r="BC623" s="58"/>
      <c r="BD623" s="58"/>
      <c r="BE623" s="58"/>
      <c r="BF623" s="58"/>
      <c r="BG623" s="58"/>
      <c r="BH623" s="58"/>
      <c r="BI623" s="58"/>
      <c r="BJ623" s="58"/>
      <c r="BK623" s="58"/>
      <c r="BL623" s="58"/>
      <c r="BM623" s="58"/>
      <c r="BR623" s="1358">
        <f>BN621*1</f>
        <v>0</v>
      </c>
      <c r="BS623" s="58"/>
      <c r="BT623" s="58"/>
      <c r="BU623" s="58"/>
      <c r="BV623" s="58"/>
      <c r="BW623" s="1358">
        <f>BS621*1</f>
        <v>69</v>
      </c>
      <c r="BX623" s="58"/>
      <c r="BY623" s="58"/>
      <c r="BZ623" s="58"/>
      <c r="CA623" s="58"/>
      <c r="CB623" s="1358">
        <f>BX621*2</f>
        <v>0</v>
      </c>
      <c r="CC623" s="58"/>
      <c r="CD623" s="58"/>
      <c r="CE623" s="58"/>
      <c r="CF623" s="58"/>
      <c r="CG623" s="1358">
        <f>CC621*3</f>
        <v>0</v>
      </c>
      <c r="CH623" s="58"/>
      <c r="CI623" s="58"/>
      <c r="CJ623" s="58"/>
      <c r="CK623" s="58"/>
      <c r="CL623" s="1358">
        <f>CH621*4</f>
        <v>0</v>
      </c>
      <c r="CM623" s="58"/>
      <c r="CN623" s="58"/>
      <c r="CO623" s="58"/>
      <c r="CP623" s="58"/>
      <c r="CQ623" s="1358">
        <f>CM621*5</f>
        <v>0</v>
      </c>
      <c r="CS623" s="1358">
        <f>BR623+BW623+CB623+CG623+CL623+CQ623</f>
        <v>69</v>
      </c>
      <c r="CT623" s="134" t="s">
        <v>2119</v>
      </c>
      <c r="CU623" s="58"/>
      <c r="CV623" s="58"/>
      <c r="CW623" s="58"/>
      <c r="CX623" s="58"/>
      <c r="CY623" s="58"/>
      <c r="CZ623" s="58"/>
      <c r="DA623" s="58"/>
      <c r="DB623" s="58"/>
      <c r="DC623" s="58"/>
      <c r="DD623" s="58"/>
      <c r="DE623" s="58"/>
      <c r="DF623" s="58"/>
      <c r="DX623" s="708"/>
      <c r="DY623" s="708"/>
      <c r="DZ623" s="708"/>
      <c r="EA623" s="708"/>
      <c r="EB623" s="708"/>
      <c r="EC623" s="708"/>
      <c r="ED623" s="708"/>
      <c r="EE623" s="708"/>
      <c r="EF623" s="708"/>
      <c r="EG623" s="708"/>
      <c r="EH623" s="708"/>
      <c r="EI623" s="708"/>
      <c r="EJ623" s="708"/>
      <c r="EK623" s="708"/>
      <c r="EL623" s="708"/>
      <c r="EM623" s="708"/>
      <c r="EN623" s="708"/>
      <c r="EO623" s="708"/>
      <c r="EP623" s="708"/>
      <c r="EQ623" s="708"/>
      <c r="ER623" s="708"/>
      <c r="ES623" s="708"/>
      <c r="ET623" s="708"/>
      <c r="EU623" s="708"/>
      <c r="EV623" s="708"/>
      <c r="EW623" s="708"/>
      <c r="EX623" s="708"/>
      <c r="EY623" s="708"/>
      <c r="EZ623" s="708"/>
      <c r="FA623" s="708"/>
    </row>
    <row r="624" spans="1:157" ht="12.95" customHeight="1">
      <c r="B624" s="84" t="s">
        <v>114</v>
      </c>
      <c r="C624" s="2440" t="s">
        <v>2718</v>
      </c>
      <c r="D624" s="2440"/>
      <c r="E624" s="2440"/>
      <c r="F624" s="2440"/>
      <c r="G624" s="2440"/>
      <c r="H624" s="2440"/>
      <c r="I624" s="2440"/>
      <c r="J624" s="2440"/>
      <c r="K624" s="2440"/>
      <c r="L624" s="2441"/>
      <c r="M624" s="2611" t="s">
        <v>2533</v>
      </c>
      <c r="N624" s="2611"/>
      <c r="O624" s="2611"/>
      <c r="P624" s="2611"/>
      <c r="Q624" s="2614">
        <v>660</v>
      </c>
      <c r="R624" s="2268"/>
      <c r="S624" s="2615"/>
      <c r="T624" s="2614"/>
      <c r="U624" s="2268"/>
      <c r="V624" s="2615"/>
      <c r="W624" s="2292">
        <v>0.03</v>
      </c>
      <c r="X624" s="2293"/>
      <c r="Y624" s="2294"/>
      <c r="Z624" s="2444" t="s">
        <v>1326</v>
      </c>
      <c r="AA624" s="2445"/>
      <c r="AB624" s="2446"/>
      <c r="AC624" s="2148">
        <v>2</v>
      </c>
      <c r="AD624" s="2149"/>
      <c r="AE624" s="2150"/>
      <c r="AF624" s="2295">
        <v>26936</v>
      </c>
      <c r="AG624" s="2296"/>
      <c r="AH624" s="2296"/>
      <c r="AI624" s="2296"/>
      <c r="AJ624" s="2297"/>
      <c r="AK624" s="2432"/>
      <c r="AL624" s="2433"/>
      <c r="AM624" s="2433"/>
      <c r="AN624" s="2434"/>
      <c r="AO624" s="2328">
        <v>6413275</v>
      </c>
      <c r="AP624" s="2329"/>
      <c r="AQ624" s="2329"/>
      <c r="AR624" s="2329"/>
      <c r="AS624" s="2330"/>
      <c r="AT624" s="1846" t="str">
        <f>IF(AND(NOT(C623=""),C624="",NOT(C625="")),"!","")</f>
        <v/>
      </c>
      <c r="AU624" s="238"/>
      <c r="AV624" s="238"/>
      <c r="AW624" s="238"/>
      <c r="AX624" s="238"/>
      <c r="AY624" s="238"/>
      <c r="AZ624" s="61"/>
      <c r="BA624" s="58" t="s">
        <v>467</v>
      </c>
      <c r="BB624" s="61"/>
      <c r="BC624" s="61"/>
      <c r="BD624" s="61"/>
      <c r="BE624" s="61"/>
      <c r="BF624" s="61"/>
      <c r="BG624" s="61"/>
      <c r="BH624" s="61"/>
      <c r="BI624" s="61"/>
      <c r="BJ624" s="61"/>
      <c r="BK624" s="61"/>
      <c r="BL624" s="61"/>
      <c r="BM624" s="61"/>
      <c r="CR624" s="264"/>
      <c r="CS624" s="58"/>
      <c r="CT624" s="58"/>
      <c r="CU624" s="58"/>
      <c r="CV624" s="58"/>
      <c r="CW624" s="58"/>
      <c r="CX624" s="58"/>
      <c r="CY624" s="58"/>
      <c r="CZ624" s="58"/>
      <c r="DA624" s="58"/>
      <c r="DB624" s="58"/>
      <c r="DC624" s="58"/>
      <c r="DD624" s="58"/>
      <c r="DE624" s="58"/>
      <c r="DF624" s="58"/>
      <c r="DX624" s="2609" t="e">
        <f t="shared" ref="DX624:DX648" si="24">DX596*(BN596/$BN$621)</f>
        <v>#VALUE!</v>
      </c>
      <c r="DY624" s="2609"/>
      <c r="DZ624" s="2609"/>
      <c r="EA624" s="2609"/>
      <c r="EB624" s="2609"/>
      <c r="EC624" s="2609">
        <f t="shared" ref="EC624:EC648" si="25">EC596*(BS596/$BS$621)</f>
        <v>98.188405797101453</v>
      </c>
      <c r="ED624" s="2609"/>
      <c r="EE624" s="2609"/>
      <c r="EF624" s="2609"/>
      <c r="EG624" s="2609"/>
      <c r="EH624" s="2609" t="e">
        <f t="shared" ref="EH624:EH648" si="26">EH596*(BX596/$BX$621)</f>
        <v>#VALUE!</v>
      </c>
      <c r="EI624" s="2609"/>
      <c r="EJ624" s="2609"/>
      <c r="EK624" s="2609"/>
      <c r="EL624" s="2609"/>
      <c r="EM624" s="2609" t="e">
        <f t="shared" ref="EM624:EM648" si="27">EM596*(CC596/$CC$621)</f>
        <v>#VALUE!</v>
      </c>
      <c r="EN624" s="2609"/>
      <c r="EO624" s="2609"/>
      <c r="EP624" s="2609"/>
      <c r="EQ624" s="2609"/>
      <c r="ER624" s="2609" t="e">
        <f t="shared" ref="ER624:ER648" si="28">ER596*(CH596/$CH$621)</f>
        <v>#VALUE!</v>
      </c>
      <c r="ES624" s="2609"/>
      <c r="ET624" s="2609"/>
      <c r="EU624" s="2609"/>
      <c r="EV624" s="2609"/>
      <c r="EW624" s="2609" t="e">
        <f t="shared" ref="EW624:EW648" si="29">EW596*(CM596/$CM$621)</f>
        <v>#VALUE!</v>
      </c>
      <c r="EX624" s="2609"/>
      <c r="EY624" s="2609"/>
      <c r="EZ624" s="2609"/>
      <c r="FA624" s="2609"/>
    </row>
    <row r="625" spans="1:157" ht="12.95" customHeight="1">
      <c r="B625" s="84" t="s">
        <v>120</v>
      </c>
      <c r="C625" s="2440" t="s">
        <v>2615</v>
      </c>
      <c r="D625" s="2440"/>
      <c r="E625" s="2440"/>
      <c r="F625" s="2440"/>
      <c r="G625" s="2440"/>
      <c r="H625" s="2440"/>
      <c r="I625" s="2440"/>
      <c r="J625" s="2440"/>
      <c r="K625" s="2440"/>
      <c r="L625" s="2441"/>
      <c r="M625" s="2611" t="s">
        <v>2533</v>
      </c>
      <c r="N625" s="2611"/>
      <c r="O625" s="2611"/>
      <c r="P625" s="2611"/>
      <c r="Q625" s="2614">
        <v>660</v>
      </c>
      <c r="R625" s="2268"/>
      <c r="S625" s="2615"/>
      <c r="T625" s="2614"/>
      <c r="U625" s="2268"/>
      <c r="V625" s="2615"/>
      <c r="W625" s="2292">
        <v>0.03</v>
      </c>
      <c r="X625" s="2293"/>
      <c r="Y625" s="2294"/>
      <c r="Z625" s="2444" t="s">
        <v>1326</v>
      </c>
      <c r="AA625" s="2445"/>
      <c r="AB625" s="2446"/>
      <c r="AC625" s="2148">
        <v>3</v>
      </c>
      <c r="AD625" s="2149"/>
      <c r="AE625" s="2150"/>
      <c r="AF625" s="2295"/>
      <c r="AG625" s="2296"/>
      <c r="AH625" s="2296"/>
      <c r="AI625" s="2296"/>
      <c r="AJ625" s="2297"/>
      <c r="AK625" s="2432"/>
      <c r="AL625" s="2433"/>
      <c r="AM625" s="2433"/>
      <c r="AN625" s="2434"/>
      <c r="AO625" s="2328">
        <v>4004300</v>
      </c>
      <c r="AP625" s="2329"/>
      <c r="AQ625" s="2329"/>
      <c r="AR625" s="2329"/>
      <c r="AS625" s="2330"/>
      <c r="AT625" s="1846" t="str">
        <f t="shared" ref="AT625:AT634" si="30">IF(AND(NOT(C624=""),C625="",NOT(C626="")),"!","")</f>
        <v/>
      </c>
      <c r="AU625" s="238"/>
      <c r="AV625" s="238"/>
      <c r="AW625" s="238"/>
      <c r="AX625" s="238"/>
      <c r="AY625" s="238"/>
      <c r="AZ625" s="61"/>
      <c r="BA625" s="58" t="s">
        <v>466</v>
      </c>
      <c r="BB625" s="61"/>
      <c r="BC625" s="61"/>
      <c r="BD625" s="61"/>
      <c r="BE625" s="61"/>
      <c r="BF625" s="61"/>
      <c r="BG625" s="61"/>
      <c r="BH625" s="61"/>
      <c r="BI625" s="61"/>
      <c r="BJ625" s="61"/>
      <c r="BK625" s="61"/>
      <c r="BL625" s="61"/>
      <c r="BM625" s="61"/>
      <c r="BN625" s="58" t="s">
        <v>104</v>
      </c>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264"/>
      <c r="CS625" s="58"/>
      <c r="CT625" s="58"/>
      <c r="CU625" s="58"/>
      <c r="CV625" s="58"/>
      <c r="CW625" s="58"/>
      <c r="CX625" s="58"/>
      <c r="CY625" s="58"/>
      <c r="CZ625" s="58"/>
      <c r="DA625" s="58"/>
      <c r="DB625" s="58"/>
      <c r="DC625" s="58"/>
      <c r="DD625" s="58"/>
      <c r="DE625" s="58"/>
      <c r="DF625" s="58"/>
      <c r="DX625" s="2609" t="e">
        <f t="shared" si="24"/>
        <v>#VALUE!</v>
      </c>
      <c r="DY625" s="2609"/>
      <c r="DZ625" s="2609"/>
      <c r="EA625" s="2609"/>
      <c r="EB625" s="2609"/>
      <c r="EC625" s="2609">
        <f t="shared" si="25"/>
        <v>44.231884057971016</v>
      </c>
      <c r="ED625" s="2609"/>
      <c r="EE625" s="2609"/>
      <c r="EF625" s="2609"/>
      <c r="EG625" s="2609"/>
      <c r="EH625" s="2609" t="e">
        <f t="shared" si="26"/>
        <v>#VALUE!</v>
      </c>
      <c r="EI625" s="2609"/>
      <c r="EJ625" s="2609"/>
      <c r="EK625" s="2609"/>
      <c r="EL625" s="2609"/>
      <c r="EM625" s="2609" t="e">
        <f t="shared" si="27"/>
        <v>#VALUE!</v>
      </c>
      <c r="EN625" s="2609"/>
      <c r="EO625" s="2609"/>
      <c r="EP625" s="2609"/>
      <c r="EQ625" s="2609"/>
      <c r="ER625" s="2609" t="e">
        <f t="shared" si="28"/>
        <v>#VALUE!</v>
      </c>
      <c r="ES625" s="2609"/>
      <c r="ET625" s="2609"/>
      <c r="EU625" s="2609"/>
      <c r="EV625" s="2609"/>
      <c r="EW625" s="2609" t="e">
        <f t="shared" si="29"/>
        <v>#VALUE!</v>
      </c>
      <c r="EX625" s="2609"/>
      <c r="EY625" s="2609"/>
      <c r="EZ625" s="2609"/>
      <c r="FA625" s="2609"/>
    </row>
    <row r="626" spans="1:157" ht="12.95" customHeight="1">
      <c r="B626" s="84" t="s">
        <v>590</v>
      </c>
      <c r="C626" s="2440" t="s">
        <v>2744</v>
      </c>
      <c r="D626" s="2442"/>
      <c r="E626" s="2442"/>
      <c r="F626" s="2442"/>
      <c r="G626" s="2442"/>
      <c r="H626" s="2442"/>
      <c r="I626" s="2442"/>
      <c r="J626" s="2442"/>
      <c r="K626" s="2442"/>
      <c r="L626" s="2443"/>
      <c r="M626" s="2611" t="s">
        <v>2530</v>
      </c>
      <c r="N626" s="2611"/>
      <c r="O626" s="2611"/>
      <c r="P626" s="2611"/>
      <c r="Q626" s="2614"/>
      <c r="R626" s="2268"/>
      <c r="S626" s="2615"/>
      <c r="T626" s="2614"/>
      <c r="U626" s="2268"/>
      <c r="V626" s="2615"/>
      <c r="W626" s="2292"/>
      <c r="X626" s="2293"/>
      <c r="Y626" s="2294"/>
      <c r="Z626" s="2444" t="s">
        <v>1326</v>
      </c>
      <c r="AA626" s="2445"/>
      <c r="AB626" s="2446"/>
      <c r="AC626" s="2148">
        <v>4</v>
      </c>
      <c r="AD626" s="2149"/>
      <c r="AE626" s="2150"/>
      <c r="AF626" s="2295"/>
      <c r="AG626" s="2296"/>
      <c r="AH626" s="2296"/>
      <c r="AI626" s="2296"/>
      <c r="AJ626" s="2297"/>
      <c r="AK626" s="2432"/>
      <c r="AL626" s="2433"/>
      <c r="AM626" s="2433"/>
      <c r="AN626" s="2434"/>
      <c r="AO626" s="2328">
        <v>1035000</v>
      </c>
      <c r="AP626" s="2329"/>
      <c r="AQ626" s="2329"/>
      <c r="AR626" s="2329"/>
      <c r="AS626" s="2330"/>
      <c r="AT626" s="1846" t="str">
        <f t="shared" si="30"/>
        <v/>
      </c>
      <c r="AU626" s="238"/>
      <c r="AV626" s="238"/>
      <c r="AW626" s="238"/>
      <c r="AX626" s="238"/>
      <c r="AY626" s="238"/>
      <c r="AZ626" s="61"/>
      <c r="BA626" s="58" t="s">
        <v>2549</v>
      </c>
      <c r="BB626" s="61"/>
      <c r="BC626" s="61"/>
      <c r="BD626" s="61"/>
      <c r="BE626" s="61"/>
      <c r="BF626" s="61"/>
      <c r="BG626" s="61"/>
      <c r="BH626" s="61"/>
      <c r="BI626" s="61"/>
      <c r="BJ626" s="61"/>
      <c r="BK626" s="61"/>
      <c r="BL626" s="61"/>
      <c r="BM626" s="61"/>
      <c r="BN626" s="2227">
        <f>IF(J758="SRO/Studio",O758,0)</f>
        <v>0</v>
      </c>
      <c r="BO626" s="2228"/>
      <c r="BP626" s="2228"/>
      <c r="BQ626" s="2228"/>
      <c r="BR626" s="2229"/>
      <c r="BS626" s="2114">
        <f>IF(J758="1 Bedroom",O758,0)</f>
        <v>2</v>
      </c>
      <c r="BT626" s="2114"/>
      <c r="BU626" s="2114"/>
      <c r="BV626" s="2114"/>
      <c r="BW626" s="2114"/>
      <c r="BX626" s="2114">
        <f>IF(J758="2 Bedrooms",O758,0)</f>
        <v>0</v>
      </c>
      <c r="BY626" s="2114"/>
      <c r="BZ626" s="2114"/>
      <c r="CA626" s="2114"/>
      <c r="CB626" s="2114"/>
      <c r="CC626" s="2114">
        <f>IF(J758="3 Bedrooms",O758,0)</f>
        <v>0</v>
      </c>
      <c r="CD626" s="2114"/>
      <c r="CE626" s="2114"/>
      <c r="CF626" s="2114"/>
      <c r="CG626" s="2114"/>
      <c r="CH626" s="2114">
        <f>IF(J758="4 Bedrooms",O758,0)</f>
        <v>0</v>
      </c>
      <c r="CI626" s="2114"/>
      <c r="CJ626" s="2114"/>
      <c r="CK626" s="2114"/>
      <c r="CL626" s="2114"/>
      <c r="CM626" s="2114">
        <f>IF(J758="5 Bedrooms",O758,0)</f>
        <v>0</v>
      </c>
      <c r="CN626" s="2114"/>
      <c r="CO626" s="2114"/>
      <c r="CP626" s="2114"/>
      <c r="CQ626" s="2114"/>
      <c r="CR626" s="264"/>
      <c r="CS626" s="58"/>
      <c r="CT626" s="58"/>
      <c r="CU626" s="58"/>
      <c r="CV626" s="58"/>
      <c r="CW626" s="58"/>
      <c r="CX626" s="58"/>
      <c r="CY626" s="58"/>
      <c r="CZ626" s="58"/>
      <c r="DA626" s="58"/>
      <c r="DB626" s="58"/>
      <c r="DC626" s="58"/>
      <c r="DD626" s="58"/>
      <c r="DE626" s="58"/>
      <c r="DF626" s="58"/>
      <c r="DX626" s="2609" t="e">
        <f t="shared" si="24"/>
        <v>#VALUE!</v>
      </c>
      <c r="DY626" s="2609"/>
      <c r="DZ626" s="2609"/>
      <c r="EA626" s="2609"/>
      <c r="EB626" s="2609"/>
      <c r="EC626" s="2609">
        <f t="shared" si="25"/>
        <v>33.304347826086953</v>
      </c>
      <c r="ED626" s="2609"/>
      <c r="EE626" s="2609"/>
      <c r="EF626" s="2609"/>
      <c r="EG626" s="2609"/>
      <c r="EH626" s="2609" t="e">
        <f t="shared" si="26"/>
        <v>#VALUE!</v>
      </c>
      <c r="EI626" s="2609"/>
      <c r="EJ626" s="2609"/>
      <c r="EK626" s="2609"/>
      <c r="EL626" s="2609"/>
      <c r="EM626" s="2609" t="e">
        <f t="shared" si="27"/>
        <v>#VALUE!</v>
      </c>
      <c r="EN626" s="2609"/>
      <c r="EO626" s="2609"/>
      <c r="EP626" s="2609"/>
      <c r="EQ626" s="2609"/>
      <c r="ER626" s="2609" t="e">
        <f t="shared" si="28"/>
        <v>#VALUE!</v>
      </c>
      <c r="ES626" s="2609"/>
      <c r="ET626" s="2609"/>
      <c r="EU626" s="2609"/>
      <c r="EV626" s="2609"/>
      <c r="EW626" s="2609" t="e">
        <f t="shared" si="29"/>
        <v>#VALUE!</v>
      </c>
      <c r="EX626" s="2609"/>
      <c r="EY626" s="2609"/>
      <c r="EZ626" s="2609"/>
      <c r="FA626" s="2609"/>
    </row>
    <row r="627" spans="1:157" ht="12.95" customHeight="1">
      <c r="B627" s="84" t="s">
        <v>787</v>
      </c>
      <c r="C627" s="2440" t="s">
        <v>2745</v>
      </c>
      <c r="D627" s="2442"/>
      <c r="E627" s="2442"/>
      <c r="F627" s="2442"/>
      <c r="G627" s="2442"/>
      <c r="H627" s="2442"/>
      <c r="I627" s="2442"/>
      <c r="J627" s="2442"/>
      <c r="K627" s="2442"/>
      <c r="L627" s="2442"/>
      <c r="M627" s="2611" t="s">
        <v>2524</v>
      </c>
      <c r="N627" s="2611"/>
      <c r="O627" s="2611"/>
      <c r="P627" s="2611"/>
      <c r="Q627" s="2614"/>
      <c r="R627" s="2268"/>
      <c r="S627" s="2615"/>
      <c r="T627" s="2614"/>
      <c r="U627" s="2268"/>
      <c r="V627" s="2615"/>
      <c r="W627" s="2292"/>
      <c r="X627" s="2293"/>
      <c r="Y627" s="2294"/>
      <c r="Z627" s="2444" t="s">
        <v>1326</v>
      </c>
      <c r="AA627" s="2445"/>
      <c r="AB627" s="2446"/>
      <c r="AC627" s="2148"/>
      <c r="AD627" s="2149"/>
      <c r="AE627" s="2150"/>
      <c r="AF627" s="2295"/>
      <c r="AG627" s="2296"/>
      <c r="AH627" s="2296"/>
      <c r="AI627" s="2296"/>
      <c r="AJ627" s="2297"/>
      <c r="AK627" s="2432"/>
      <c r="AL627" s="2433"/>
      <c r="AM627" s="2433"/>
      <c r="AN627" s="2434"/>
      <c r="AO627" s="2328">
        <v>1000000</v>
      </c>
      <c r="AP627" s="2329"/>
      <c r="AQ627" s="2329"/>
      <c r="AR627" s="2329"/>
      <c r="AS627" s="2330"/>
      <c r="AT627" s="1846" t="str">
        <f t="shared" si="30"/>
        <v/>
      </c>
      <c r="AU627" s="238"/>
      <c r="AV627" s="238"/>
      <c r="AW627" s="238"/>
      <c r="AX627" s="238"/>
      <c r="AY627" s="238"/>
      <c r="AZ627" s="61"/>
      <c r="BA627" s="58" t="s">
        <v>301</v>
      </c>
      <c r="BB627" s="61"/>
      <c r="BC627" s="61"/>
      <c r="BD627" s="61"/>
      <c r="BE627" s="61"/>
      <c r="BF627" s="61"/>
      <c r="BG627" s="61"/>
      <c r="BH627" s="61"/>
      <c r="BI627" s="61"/>
      <c r="BJ627" s="61"/>
      <c r="BK627" s="61"/>
      <c r="BL627" s="61"/>
      <c r="BM627" s="61"/>
      <c r="BN627" s="2227">
        <f>IF(J759="SRO/Studio",O759,0)</f>
        <v>0</v>
      </c>
      <c r="BO627" s="2228"/>
      <c r="BP627" s="2228"/>
      <c r="BQ627" s="2228"/>
      <c r="BR627" s="2229"/>
      <c r="BS627" s="2114">
        <f>IF(J759="1 Bedroom",O759,0)</f>
        <v>0</v>
      </c>
      <c r="BT627" s="2114"/>
      <c r="BU627" s="2114"/>
      <c r="BV627" s="2114"/>
      <c r="BW627" s="2114"/>
      <c r="BX627" s="2114">
        <f>IF(J759="2 Bedrooms",O759,0)</f>
        <v>0</v>
      </c>
      <c r="BY627" s="2114"/>
      <c r="BZ627" s="2114"/>
      <c r="CA627" s="2114"/>
      <c r="CB627" s="2114"/>
      <c r="CC627" s="2114">
        <f>IF(J759="3 Bedrooms",O759,0)</f>
        <v>0</v>
      </c>
      <c r="CD627" s="2114"/>
      <c r="CE627" s="2114"/>
      <c r="CF627" s="2114"/>
      <c r="CG627" s="2114"/>
      <c r="CH627" s="2114">
        <f>IF(J759="4 Bedrooms",O759,0)</f>
        <v>0</v>
      </c>
      <c r="CI627" s="2114"/>
      <c r="CJ627" s="2114"/>
      <c r="CK627" s="2114"/>
      <c r="CL627" s="2114"/>
      <c r="CM627" s="2114">
        <f>IF(J759="5 Bedrooms",O759,0)</f>
        <v>0</v>
      </c>
      <c r="CN627" s="2114"/>
      <c r="CO627" s="2114"/>
      <c r="CP627" s="2114"/>
      <c r="CQ627" s="2114"/>
      <c r="CR627" s="264"/>
      <c r="CS627" s="58"/>
      <c r="CT627" s="58"/>
      <c r="CU627" s="58"/>
      <c r="CV627" s="58"/>
      <c r="CW627" s="58"/>
      <c r="CX627" s="58"/>
      <c r="CY627" s="58"/>
      <c r="CZ627" s="58"/>
      <c r="DA627" s="58"/>
      <c r="DB627" s="58"/>
      <c r="DC627" s="58"/>
      <c r="DD627" s="58"/>
      <c r="DE627" s="58"/>
      <c r="DF627" s="58"/>
      <c r="DX627" s="2609" t="e">
        <f t="shared" si="24"/>
        <v>#VALUE!</v>
      </c>
      <c r="DY627" s="2609"/>
      <c r="DZ627" s="2609"/>
      <c r="EA627" s="2609"/>
      <c r="EB627" s="2609"/>
      <c r="EC627" s="2609">
        <f t="shared" si="25"/>
        <v>161.91304347826087</v>
      </c>
      <c r="ED627" s="2609"/>
      <c r="EE627" s="2609"/>
      <c r="EF627" s="2609"/>
      <c r="EG627" s="2609"/>
      <c r="EH627" s="2609" t="e">
        <f t="shared" si="26"/>
        <v>#VALUE!</v>
      </c>
      <c r="EI627" s="2609"/>
      <c r="EJ627" s="2609"/>
      <c r="EK627" s="2609"/>
      <c r="EL627" s="2609"/>
      <c r="EM627" s="2609" t="e">
        <f t="shared" si="27"/>
        <v>#VALUE!</v>
      </c>
      <c r="EN627" s="2609"/>
      <c r="EO627" s="2609"/>
      <c r="EP627" s="2609"/>
      <c r="EQ627" s="2609"/>
      <c r="ER627" s="2609" t="e">
        <f t="shared" si="28"/>
        <v>#VALUE!</v>
      </c>
      <c r="ES627" s="2609"/>
      <c r="ET627" s="2609"/>
      <c r="EU627" s="2609"/>
      <c r="EV627" s="2609"/>
      <c r="EW627" s="2609" t="e">
        <f t="shared" si="29"/>
        <v>#VALUE!</v>
      </c>
      <c r="EX627" s="2609"/>
      <c r="EY627" s="2609"/>
      <c r="EZ627" s="2609"/>
      <c r="FA627" s="2609"/>
    </row>
    <row r="628" spans="1:157" ht="12.95" customHeight="1">
      <c r="B628" s="84" t="s">
        <v>593</v>
      </c>
      <c r="C628" s="2440" t="s">
        <v>2794</v>
      </c>
      <c r="D628" s="2442"/>
      <c r="E628" s="2442"/>
      <c r="F628" s="2442"/>
      <c r="G628" s="2442"/>
      <c r="H628" s="2442"/>
      <c r="I628" s="2442"/>
      <c r="J628" s="2442"/>
      <c r="K628" s="2442"/>
      <c r="L628" s="2442"/>
      <c r="M628" s="2611" t="s">
        <v>2527</v>
      </c>
      <c r="N628" s="2611"/>
      <c r="O628" s="2611"/>
      <c r="P628" s="2611"/>
      <c r="Q628" s="2614"/>
      <c r="R628" s="2268"/>
      <c r="S628" s="2615"/>
      <c r="T628" s="2614"/>
      <c r="U628" s="2268"/>
      <c r="V628" s="2615"/>
      <c r="W628" s="2292"/>
      <c r="X628" s="2293"/>
      <c r="Y628" s="2294"/>
      <c r="Z628" s="2444" t="s">
        <v>1326</v>
      </c>
      <c r="AA628" s="2445"/>
      <c r="AB628" s="2446"/>
      <c r="AC628" s="2148"/>
      <c r="AD628" s="2149"/>
      <c r="AE628" s="2150"/>
      <c r="AF628" s="2295"/>
      <c r="AG628" s="2296"/>
      <c r="AH628" s="2296"/>
      <c r="AI628" s="2296"/>
      <c r="AJ628" s="2297"/>
      <c r="AK628" s="2432"/>
      <c r="AL628" s="2433"/>
      <c r="AM628" s="2433"/>
      <c r="AN628" s="2434"/>
      <c r="AO628" s="2328">
        <v>377014</v>
      </c>
      <c r="AP628" s="2329"/>
      <c r="AQ628" s="2329"/>
      <c r="AR628" s="2329"/>
      <c r="AS628" s="2330"/>
      <c r="AT628" s="1846" t="str">
        <f t="shared" si="30"/>
        <v/>
      </c>
      <c r="AU628" s="238"/>
      <c r="AV628" s="238"/>
      <c r="AW628" s="238"/>
      <c r="AX628" s="238"/>
      <c r="AY628" s="238"/>
      <c r="AZ628" s="61"/>
      <c r="BA628" s="61"/>
      <c r="BB628" s="61"/>
      <c r="BC628" s="61"/>
      <c r="BD628" s="61"/>
      <c r="BE628" s="61"/>
      <c r="BF628" s="61"/>
      <c r="BG628" s="61"/>
      <c r="BH628" s="61"/>
      <c r="BI628" s="61"/>
      <c r="BJ628" s="61"/>
      <c r="BK628" s="61"/>
      <c r="BL628" s="61"/>
      <c r="BM628" s="61"/>
      <c r="BN628" s="2227">
        <f>IF(J760="SRO/Studio",O760,0)</f>
        <v>0</v>
      </c>
      <c r="BO628" s="2228"/>
      <c r="BP628" s="2228"/>
      <c r="BQ628" s="2228"/>
      <c r="BR628" s="2229"/>
      <c r="BS628" s="2114">
        <f>IF(J760="1 Bedroom",O760,0)</f>
        <v>0</v>
      </c>
      <c r="BT628" s="2114"/>
      <c r="BU628" s="2114"/>
      <c r="BV628" s="2114"/>
      <c r="BW628" s="2114"/>
      <c r="BX628" s="2114">
        <f>IF(J760="2 Bedrooms",O760,0)</f>
        <v>0</v>
      </c>
      <c r="BY628" s="2114"/>
      <c r="BZ628" s="2114"/>
      <c r="CA628" s="2114"/>
      <c r="CB628" s="2114"/>
      <c r="CC628" s="2114">
        <f>IF(J760="3 Bedrooms",O760,0)</f>
        <v>0</v>
      </c>
      <c r="CD628" s="2114"/>
      <c r="CE628" s="2114"/>
      <c r="CF628" s="2114"/>
      <c r="CG628" s="2114"/>
      <c r="CH628" s="2114">
        <f>IF(J760="4 Bedrooms",O760,0)</f>
        <v>0</v>
      </c>
      <c r="CI628" s="2114"/>
      <c r="CJ628" s="2114"/>
      <c r="CK628" s="2114"/>
      <c r="CL628" s="2114"/>
      <c r="CM628" s="2114">
        <f>IF(J760="5 Bedrooms",O760,0)</f>
        <v>0</v>
      </c>
      <c r="CN628" s="2114"/>
      <c r="CO628" s="2114"/>
      <c r="CP628" s="2114"/>
      <c r="CQ628" s="2114"/>
      <c r="CR628" s="1638"/>
      <c r="CV628" s="58"/>
      <c r="CW628" s="58"/>
      <c r="CX628" s="58"/>
      <c r="CY628" s="58"/>
      <c r="CZ628" s="58"/>
      <c r="DA628" s="58"/>
      <c r="DB628" s="58"/>
      <c r="DC628" s="58"/>
      <c r="DD628" s="58"/>
      <c r="DE628" s="58"/>
      <c r="DF628" s="58"/>
      <c r="DX628" s="2609" t="e">
        <f t="shared" si="24"/>
        <v>#VALUE!</v>
      </c>
      <c r="DY628" s="2609"/>
      <c r="DZ628" s="2609"/>
      <c r="EA628" s="2609"/>
      <c r="EB628" s="2609"/>
      <c r="EC628" s="2609">
        <f t="shared" si="25"/>
        <v>402.05797101449269</v>
      </c>
      <c r="ED628" s="2609"/>
      <c r="EE628" s="2609"/>
      <c r="EF628" s="2609"/>
      <c r="EG628" s="2609"/>
      <c r="EH628" s="2609" t="e">
        <f t="shared" si="26"/>
        <v>#VALUE!</v>
      </c>
      <c r="EI628" s="2609"/>
      <c r="EJ628" s="2609"/>
      <c r="EK628" s="2609"/>
      <c r="EL628" s="2609"/>
      <c r="EM628" s="2609" t="e">
        <f t="shared" si="27"/>
        <v>#VALUE!</v>
      </c>
      <c r="EN628" s="2609"/>
      <c r="EO628" s="2609"/>
      <c r="EP628" s="2609"/>
      <c r="EQ628" s="2609"/>
      <c r="ER628" s="2609" t="e">
        <f t="shared" si="28"/>
        <v>#VALUE!</v>
      </c>
      <c r="ES628" s="2609"/>
      <c r="ET628" s="2609"/>
      <c r="EU628" s="2609"/>
      <c r="EV628" s="2609"/>
      <c r="EW628" s="2609" t="e">
        <f t="shared" si="29"/>
        <v>#VALUE!</v>
      </c>
      <c r="EX628" s="2609"/>
      <c r="EY628" s="2609"/>
      <c r="EZ628" s="2609"/>
      <c r="FA628" s="2609"/>
    </row>
    <row r="629" spans="1:157" ht="12.95" customHeight="1">
      <c r="B629" s="84" t="s">
        <v>464</v>
      </c>
      <c r="C629" s="2442"/>
      <c r="D629" s="2442"/>
      <c r="E629" s="2442"/>
      <c r="F629" s="2442"/>
      <c r="G629" s="2442"/>
      <c r="H629" s="2442"/>
      <c r="I629" s="2442"/>
      <c r="J629" s="2442"/>
      <c r="K629" s="2442"/>
      <c r="L629" s="2442"/>
      <c r="M629" s="2611" t="s">
        <v>1326</v>
      </c>
      <c r="N629" s="2611"/>
      <c r="O629" s="2611"/>
      <c r="P629" s="2611"/>
      <c r="Q629" s="2614"/>
      <c r="R629" s="2268"/>
      <c r="S629" s="2615"/>
      <c r="T629" s="2614"/>
      <c r="U629" s="2268"/>
      <c r="V629" s="2615"/>
      <c r="W629" s="2292"/>
      <c r="X629" s="2293"/>
      <c r="Y629" s="2294"/>
      <c r="Z629" s="2444" t="s">
        <v>1326</v>
      </c>
      <c r="AA629" s="2445"/>
      <c r="AB629" s="2446"/>
      <c r="AC629" s="2148"/>
      <c r="AD629" s="2149"/>
      <c r="AE629" s="2150"/>
      <c r="AF629" s="2295"/>
      <c r="AG629" s="2296"/>
      <c r="AH629" s="2296"/>
      <c r="AI629" s="2296"/>
      <c r="AJ629" s="2297"/>
      <c r="AK629" s="2432"/>
      <c r="AL629" s="2433"/>
      <c r="AM629" s="2433"/>
      <c r="AN629" s="2434"/>
      <c r="AO629" s="2328"/>
      <c r="AP629" s="2329"/>
      <c r="AQ629" s="2329"/>
      <c r="AR629" s="2329"/>
      <c r="AS629" s="2330"/>
      <c r="AT629" s="1846" t="str">
        <f t="shared" si="30"/>
        <v/>
      </c>
      <c r="AU629" s="238"/>
      <c r="AV629" s="238"/>
      <c r="AW629" s="238"/>
      <c r="AX629" s="238"/>
      <c r="AY629" s="238"/>
      <c r="AZ629" s="61"/>
      <c r="BA629" s="61"/>
      <c r="BB629" s="61"/>
      <c r="BC629" s="61"/>
      <c r="BD629" s="61"/>
      <c r="BE629" s="61"/>
      <c r="BF629" s="61"/>
      <c r="BG629" s="61"/>
      <c r="BH629" s="61"/>
      <c r="BI629" s="61"/>
      <c r="BJ629" s="61"/>
      <c r="BK629" s="61"/>
      <c r="BL629" s="61"/>
      <c r="BM629" s="61"/>
      <c r="BN629" s="2227">
        <f>IF(J761="SRO/Studio",O761,0)</f>
        <v>0</v>
      </c>
      <c r="BO629" s="2228"/>
      <c r="BP629" s="2228"/>
      <c r="BQ629" s="2228"/>
      <c r="BR629" s="2229"/>
      <c r="BS629" s="2114">
        <f>IF(J761="1 Bedroom",O761,0)</f>
        <v>0</v>
      </c>
      <c r="BT629" s="2114"/>
      <c r="BU629" s="2114"/>
      <c r="BV629" s="2114"/>
      <c r="BW629" s="2114"/>
      <c r="BX629" s="2114">
        <f>IF(J761="2 Bedrooms",O761,0)</f>
        <v>0</v>
      </c>
      <c r="BY629" s="2114"/>
      <c r="BZ629" s="2114"/>
      <c r="CA629" s="2114"/>
      <c r="CB629" s="2114"/>
      <c r="CC629" s="2114">
        <f>IF(J761="3 Bedrooms",O761,0)</f>
        <v>0</v>
      </c>
      <c r="CD629" s="2114"/>
      <c r="CE629" s="2114"/>
      <c r="CF629" s="2114"/>
      <c r="CG629" s="2114"/>
      <c r="CH629" s="2114">
        <f>IF(J761="4 Bedrooms",O761,0)</f>
        <v>0</v>
      </c>
      <c r="CI629" s="2114"/>
      <c r="CJ629" s="2114"/>
      <c r="CK629" s="2114"/>
      <c r="CL629" s="2114"/>
      <c r="CM629" s="2114">
        <f>IF(J761="5 Bedrooms",O761,0)</f>
        <v>0</v>
      </c>
      <c r="CN629" s="2114"/>
      <c r="CO629" s="2114"/>
      <c r="CP629" s="2114"/>
      <c r="CQ629" s="2114"/>
      <c r="CV629" s="58"/>
      <c r="CW629" s="58"/>
      <c r="CX629" s="58"/>
      <c r="CY629" s="58"/>
      <c r="CZ629" s="58"/>
      <c r="DA629" s="58"/>
      <c r="DB629" s="58"/>
      <c r="DC629" s="58"/>
      <c r="DD629" s="58"/>
      <c r="DE629" s="58"/>
      <c r="DF629" s="58"/>
      <c r="DX629" s="2609" t="e">
        <f t="shared" si="24"/>
        <v>#VALUE!</v>
      </c>
      <c r="DY629" s="2609"/>
      <c r="DZ629" s="2609"/>
      <c r="EA629" s="2609"/>
      <c r="EB629" s="2609"/>
      <c r="EC629" s="2609" t="e">
        <f t="shared" si="25"/>
        <v>#VALUE!</v>
      </c>
      <c r="ED629" s="2609"/>
      <c r="EE629" s="2609"/>
      <c r="EF629" s="2609"/>
      <c r="EG629" s="2609"/>
      <c r="EH629" s="2609" t="e">
        <f t="shared" si="26"/>
        <v>#VALUE!</v>
      </c>
      <c r="EI629" s="2609"/>
      <c r="EJ629" s="2609"/>
      <c r="EK629" s="2609"/>
      <c r="EL629" s="2609"/>
      <c r="EM629" s="2609" t="e">
        <f t="shared" si="27"/>
        <v>#VALUE!</v>
      </c>
      <c r="EN629" s="2609"/>
      <c r="EO629" s="2609"/>
      <c r="EP629" s="2609"/>
      <c r="EQ629" s="2609"/>
      <c r="ER629" s="2609" t="e">
        <f t="shared" si="28"/>
        <v>#VALUE!</v>
      </c>
      <c r="ES629" s="2609"/>
      <c r="ET629" s="2609"/>
      <c r="EU629" s="2609"/>
      <c r="EV629" s="2609"/>
      <c r="EW629" s="2609" t="e">
        <f t="shared" si="29"/>
        <v>#VALUE!</v>
      </c>
      <c r="EX629" s="2609"/>
      <c r="EY629" s="2609"/>
      <c r="EZ629" s="2609"/>
      <c r="FA629" s="2609"/>
    </row>
    <row r="630" spans="1:157" ht="12.95" customHeight="1">
      <c r="B630" s="84" t="s">
        <v>465</v>
      </c>
      <c r="C630" s="2442"/>
      <c r="D630" s="2442"/>
      <c r="E630" s="2442"/>
      <c r="F630" s="2442"/>
      <c r="G630" s="2442"/>
      <c r="H630" s="2442"/>
      <c r="I630" s="2442"/>
      <c r="J630" s="2442"/>
      <c r="K630" s="2442"/>
      <c r="L630" s="2442"/>
      <c r="M630" s="2611" t="s">
        <v>1326</v>
      </c>
      <c r="N630" s="2611"/>
      <c r="O630" s="2611"/>
      <c r="P630" s="2611"/>
      <c r="Q630" s="2614"/>
      <c r="R630" s="2268"/>
      <c r="S630" s="2615"/>
      <c r="T630" s="2614"/>
      <c r="U630" s="2268"/>
      <c r="V630" s="2615"/>
      <c r="W630" s="2292"/>
      <c r="X630" s="2293"/>
      <c r="Y630" s="2294"/>
      <c r="Z630" s="2444" t="s">
        <v>1326</v>
      </c>
      <c r="AA630" s="2445"/>
      <c r="AB630" s="2446"/>
      <c r="AC630" s="2148"/>
      <c r="AD630" s="2149"/>
      <c r="AE630" s="2150"/>
      <c r="AF630" s="2295"/>
      <c r="AG630" s="2296"/>
      <c r="AH630" s="2296"/>
      <c r="AI630" s="2296"/>
      <c r="AJ630" s="2297"/>
      <c r="AK630" s="2432"/>
      <c r="AL630" s="2433"/>
      <c r="AM630" s="2433"/>
      <c r="AN630" s="2434"/>
      <c r="AO630" s="2328"/>
      <c r="AP630" s="2329"/>
      <c r="AQ630" s="2329"/>
      <c r="AR630" s="2329"/>
      <c r="AS630" s="2330"/>
      <c r="AT630" s="1846" t="str">
        <f t="shared" si="30"/>
        <v/>
      </c>
      <c r="AU630" s="238"/>
      <c r="AV630" s="238"/>
      <c r="AW630" s="238"/>
      <c r="AX630" s="238"/>
      <c r="AY630" s="238"/>
      <c r="AZ630" s="61"/>
      <c r="BA630" s="61"/>
      <c r="BB630" s="61"/>
      <c r="BC630" s="61"/>
      <c r="BD630" s="61"/>
      <c r="BE630" s="61"/>
      <c r="BF630" s="61"/>
      <c r="BG630" s="61"/>
      <c r="BH630" s="61"/>
      <c r="BI630" s="61"/>
      <c r="BJ630" s="61"/>
      <c r="BK630" s="61"/>
      <c r="BL630" s="61"/>
      <c r="BM630" s="61"/>
      <c r="BN630" s="2230">
        <f>SUM(BN626:BR629)</f>
        <v>0</v>
      </c>
      <c r="BO630" s="2232"/>
      <c r="BP630" s="2232"/>
      <c r="BQ630" s="2232"/>
      <c r="BR630" s="2231"/>
      <c r="BS630" s="2426">
        <f>SUM(BS626:BW629)</f>
        <v>2</v>
      </c>
      <c r="BT630" s="2427"/>
      <c r="BU630" s="2427"/>
      <c r="BV630" s="2427"/>
      <c r="BW630" s="2428"/>
      <c r="BX630" s="2426">
        <f>SUM(BX626:CB629)</f>
        <v>0</v>
      </c>
      <c r="BY630" s="2427"/>
      <c r="BZ630" s="2427"/>
      <c r="CA630" s="2427"/>
      <c r="CB630" s="2428"/>
      <c r="CC630" s="2426">
        <f>SUM(CC626:CG629)</f>
        <v>0</v>
      </c>
      <c r="CD630" s="2427"/>
      <c r="CE630" s="2427"/>
      <c r="CF630" s="2427"/>
      <c r="CG630" s="2428"/>
      <c r="CH630" s="2426">
        <f>SUM(CH626:CL629)</f>
        <v>0</v>
      </c>
      <c r="CI630" s="2427"/>
      <c r="CJ630" s="2427"/>
      <c r="CK630" s="2427"/>
      <c r="CL630" s="2428"/>
      <c r="CM630" s="2426">
        <f>SUM(CM626:CQ629)</f>
        <v>0</v>
      </c>
      <c r="CN630" s="2427"/>
      <c r="CO630" s="2427"/>
      <c r="CP630" s="2427"/>
      <c r="CQ630" s="2428"/>
      <c r="CS630" s="1358">
        <f>BN630+BS630+BX630+CC630+CH630+CM630</f>
        <v>2</v>
      </c>
      <c r="CT630" s="134" t="s">
        <v>2116</v>
      </c>
      <c r="CU630" s="58"/>
      <c r="CV630" s="58"/>
      <c r="CW630" s="58"/>
      <c r="CX630" s="58"/>
      <c r="CY630" s="58"/>
      <c r="CZ630" s="58"/>
      <c r="DA630" s="58"/>
      <c r="DB630" s="58"/>
      <c r="DC630" s="58"/>
      <c r="DD630" s="58"/>
      <c r="DE630" s="58"/>
      <c r="DF630" s="58"/>
      <c r="DX630" s="2609" t="e">
        <f t="shared" si="24"/>
        <v>#VALUE!</v>
      </c>
      <c r="DY630" s="2609"/>
      <c r="DZ630" s="2609"/>
      <c r="EA630" s="2609"/>
      <c r="EB630" s="2609"/>
      <c r="EC630" s="2609" t="e">
        <f t="shared" si="25"/>
        <v>#VALUE!</v>
      </c>
      <c r="ED630" s="2609"/>
      <c r="EE630" s="2609"/>
      <c r="EF630" s="2609"/>
      <c r="EG630" s="2609"/>
      <c r="EH630" s="2609" t="e">
        <f t="shared" si="26"/>
        <v>#VALUE!</v>
      </c>
      <c r="EI630" s="2609"/>
      <c r="EJ630" s="2609"/>
      <c r="EK630" s="2609"/>
      <c r="EL630" s="2609"/>
      <c r="EM630" s="2609" t="e">
        <f t="shared" si="27"/>
        <v>#VALUE!</v>
      </c>
      <c r="EN630" s="2609"/>
      <c r="EO630" s="2609"/>
      <c r="EP630" s="2609"/>
      <c r="EQ630" s="2609"/>
      <c r="ER630" s="2609" t="e">
        <f t="shared" si="28"/>
        <v>#VALUE!</v>
      </c>
      <c r="ES630" s="2609"/>
      <c r="ET630" s="2609"/>
      <c r="EU630" s="2609"/>
      <c r="EV630" s="2609"/>
      <c r="EW630" s="2609" t="e">
        <f t="shared" si="29"/>
        <v>#VALUE!</v>
      </c>
      <c r="EX630" s="2609"/>
      <c r="EY630" s="2609"/>
      <c r="EZ630" s="2609"/>
      <c r="FA630" s="2609"/>
    </row>
    <row r="631" spans="1:157" ht="12.95" customHeight="1">
      <c r="B631" s="84" t="s">
        <v>470</v>
      </c>
      <c r="C631" s="2442"/>
      <c r="D631" s="2442"/>
      <c r="E631" s="2442"/>
      <c r="F631" s="2442"/>
      <c r="G631" s="2442"/>
      <c r="H631" s="2442"/>
      <c r="I631" s="2442"/>
      <c r="J631" s="2442"/>
      <c r="K631" s="2442"/>
      <c r="L631" s="2442"/>
      <c r="M631" s="2611" t="s">
        <v>1326</v>
      </c>
      <c r="N631" s="2611"/>
      <c r="O631" s="2611"/>
      <c r="P631" s="2611"/>
      <c r="Q631" s="2614"/>
      <c r="R631" s="2268"/>
      <c r="S631" s="2615"/>
      <c r="T631" s="2614"/>
      <c r="U631" s="2268"/>
      <c r="V631" s="2615"/>
      <c r="W631" s="2292"/>
      <c r="X631" s="2293"/>
      <c r="Y631" s="2294"/>
      <c r="Z631" s="2444" t="s">
        <v>1326</v>
      </c>
      <c r="AA631" s="2445"/>
      <c r="AB631" s="2446"/>
      <c r="AC631" s="2148"/>
      <c r="AD631" s="2149"/>
      <c r="AE631" s="2150"/>
      <c r="AF631" s="2295"/>
      <c r="AG631" s="2296"/>
      <c r="AH631" s="2296"/>
      <c r="AI631" s="2296"/>
      <c r="AJ631" s="2297"/>
      <c r="AK631" s="2432"/>
      <c r="AL631" s="2433"/>
      <c r="AM631" s="2433"/>
      <c r="AN631" s="2434"/>
      <c r="AO631" s="2328"/>
      <c r="AP631" s="2329"/>
      <c r="AQ631" s="2329"/>
      <c r="AR631" s="2329"/>
      <c r="AS631" s="2330"/>
      <c r="AT631" s="1846" t="str">
        <f t="shared" si="30"/>
        <v/>
      </c>
      <c r="AU631" s="238"/>
      <c r="AV631" s="238"/>
      <c r="AW631" s="238"/>
      <c r="AX631" s="238"/>
      <c r="AY631" s="238"/>
      <c r="AZ631" s="61"/>
      <c r="BA631" s="61"/>
      <c r="BB631" s="61"/>
      <c r="BC631" s="61"/>
      <c r="BD631" s="61"/>
      <c r="BE631" s="61"/>
      <c r="BF631" s="61"/>
      <c r="BG631" s="61"/>
      <c r="BH631" s="61"/>
      <c r="BI631" s="61"/>
      <c r="BJ631" s="61"/>
      <c r="BK631" s="61"/>
      <c r="BL631" s="61"/>
      <c r="BM631" s="61"/>
      <c r="BN631" s="708"/>
      <c r="BO631" s="708"/>
      <c r="BP631" s="708"/>
      <c r="BQ631" s="708"/>
      <c r="BR631" s="1358">
        <f>BN630*1</f>
        <v>0</v>
      </c>
      <c r="BS631" s="58"/>
      <c r="BT631" s="58"/>
      <c r="BU631" s="58"/>
      <c r="BV631" s="58"/>
      <c r="BW631" s="1358">
        <f>BS630*1</f>
        <v>2</v>
      </c>
      <c r="BX631" s="58"/>
      <c r="BY631" s="58"/>
      <c r="BZ631" s="58"/>
      <c r="CA631" s="58"/>
      <c r="CB631" s="1358">
        <f>BX630*2</f>
        <v>0</v>
      </c>
      <c r="CC631" s="58"/>
      <c r="CD631" s="58"/>
      <c r="CE631" s="58"/>
      <c r="CF631" s="58"/>
      <c r="CG631" s="1358">
        <f>CC630*3</f>
        <v>0</v>
      </c>
      <c r="CH631" s="58"/>
      <c r="CI631" s="58"/>
      <c r="CJ631" s="58"/>
      <c r="CK631" s="58"/>
      <c r="CL631" s="1358">
        <f>CH630*4</f>
        <v>0</v>
      </c>
      <c r="CM631" s="58"/>
      <c r="CN631" s="58"/>
      <c r="CO631" s="58"/>
      <c r="CP631" s="58"/>
      <c r="CQ631" s="1358">
        <f>CM630*5</f>
        <v>0</v>
      </c>
      <c r="CS631" s="1358">
        <f>BR631+BW631+CB631+CG631+CL631+CQ631</f>
        <v>2</v>
      </c>
      <c r="CT631" s="134" t="s">
        <v>2118</v>
      </c>
      <c r="CU631" s="58"/>
      <c r="CV631" s="58"/>
      <c r="CW631" s="58"/>
      <c r="CX631" s="58"/>
      <c r="CY631" s="58"/>
      <c r="CZ631" s="58"/>
      <c r="DA631" s="58"/>
      <c r="DB631" s="58"/>
      <c r="DC631" s="58"/>
      <c r="DD631" s="58"/>
      <c r="DE631" s="58"/>
      <c r="DF631" s="58"/>
      <c r="DX631" s="2609" t="e">
        <f t="shared" si="24"/>
        <v>#VALUE!</v>
      </c>
      <c r="DY631" s="2609"/>
      <c r="DZ631" s="2609"/>
      <c r="EA631" s="2609"/>
      <c r="EB631" s="2609"/>
      <c r="EC631" s="2609" t="e">
        <f t="shared" si="25"/>
        <v>#VALUE!</v>
      </c>
      <c r="ED631" s="2609"/>
      <c r="EE631" s="2609"/>
      <c r="EF631" s="2609"/>
      <c r="EG631" s="2609"/>
      <c r="EH631" s="2609" t="e">
        <f t="shared" si="26"/>
        <v>#VALUE!</v>
      </c>
      <c r="EI631" s="2609"/>
      <c r="EJ631" s="2609"/>
      <c r="EK631" s="2609"/>
      <c r="EL631" s="2609"/>
      <c r="EM631" s="2609" t="e">
        <f t="shared" si="27"/>
        <v>#VALUE!</v>
      </c>
      <c r="EN631" s="2609"/>
      <c r="EO631" s="2609"/>
      <c r="EP631" s="2609"/>
      <c r="EQ631" s="2609"/>
      <c r="ER631" s="2609" t="e">
        <f t="shared" si="28"/>
        <v>#VALUE!</v>
      </c>
      <c r="ES631" s="2609"/>
      <c r="ET631" s="2609"/>
      <c r="EU631" s="2609"/>
      <c r="EV631" s="2609"/>
      <c r="EW631" s="2609" t="e">
        <f t="shared" si="29"/>
        <v>#VALUE!</v>
      </c>
      <c r="EX631" s="2609"/>
      <c r="EY631" s="2609"/>
      <c r="EZ631" s="2609"/>
      <c r="FA631" s="2609"/>
    </row>
    <row r="632" spans="1:157" ht="12.95" customHeight="1">
      <c r="B632" s="84" t="s">
        <v>655</v>
      </c>
      <c r="C632" s="2442"/>
      <c r="D632" s="2442"/>
      <c r="E632" s="2442"/>
      <c r="F632" s="2442"/>
      <c r="G632" s="2442"/>
      <c r="H632" s="2442"/>
      <c r="I632" s="2442"/>
      <c r="J632" s="2442"/>
      <c r="K632" s="2442"/>
      <c r="L632" s="2442"/>
      <c r="M632" s="2611" t="s">
        <v>1326</v>
      </c>
      <c r="N632" s="2611"/>
      <c r="O632" s="2611"/>
      <c r="P632" s="2611"/>
      <c r="Q632" s="2614"/>
      <c r="R632" s="2268"/>
      <c r="S632" s="2615"/>
      <c r="T632" s="2614"/>
      <c r="U632" s="2268"/>
      <c r="V632" s="2615"/>
      <c r="W632" s="2292"/>
      <c r="X632" s="2293"/>
      <c r="Y632" s="2294"/>
      <c r="Z632" s="2444" t="s">
        <v>1326</v>
      </c>
      <c r="AA632" s="2445"/>
      <c r="AB632" s="2446"/>
      <c r="AC632" s="2148"/>
      <c r="AD632" s="2149"/>
      <c r="AE632" s="2150"/>
      <c r="AF632" s="2295"/>
      <c r="AG632" s="2296"/>
      <c r="AH632" s="2296"/>
      <c r="AI632" s="2296"/>
      <c r="AJ632" s="2297"/>
      <c r="AK632" s="2432"/>
      <c r="AL632" s="2433"/>
      <c r="AM632" s="2433"/>
      <c r="AN632" s="2434"/>
      <c r="AO632" s="2328"/>
      <c r="AP632" s="2329"/>
      <c r="AQ632" s="2329"/>
      <c r="AR632" s="2329"/>
      <c r="AS632" s="2330"/>
      <c r="AT632" s="1846" t="str">
        <f t="shared" si="30"/>
        <v/>
      </c>
      <c r="AU632" s="238"/>
      <c r="AV632" s="238"/>
      <c r="AW632" s="238"/>
      <c r="AX632" s="238"/>
      <c r="AY632" s="238"/>
      <c r="AZ632" s="61"/>
      <c r="BA632" s="61"/>
      <c r="BB632" s="61"/>
      <c r="BC632" s="61"/>
      <c r="BD632" s="61"/>
      <c r="BE632" s="61"/>
      <c r="BF632" s="61"/>
      <c r="BG632" s="61"/>
      <c r="BH632" s="61"/>
      <c r="BI632" s="61"/>
      <c r="BJ632" s="61"/>
      <c r="BK632" s="61"/>
      <c r="BL632" s="61"/>
      <c r="BM632" s="61"/>
      <c r="CV632" s="58"/>
      <c r="CW632" s="58"/>
      <c r="CX632" s="58"/>
      <c r="CY632" s="58"/>
      <c r="CZ632" s="58"/>
      <c r="DA632" s="58"/>
      <c r="DB632" s="58"/>
      <c r="DC632" s="58"/>
      <c r="DD632" s="58"/>
      <c r="DE632" s="58"/>
      <c r="DF632" s="58"/>
      <c r="DX632" s="2609" t="e">
        <f t="shared" si="24"/>
        <v>#VALUE!</v>
      </c>
      <c r="DY632" s="2609"/>
      <c r="DZ632" s="2609"/>
      <c r="EA632" s="2609"/>
      <c r="EB632" s="2609"/>
      <c r="EC632" s="2609" t="e">
        <f t="shared" si="25"/>
        <v>#VALUE!</v>
      </c>
      <c r="ED632" s="2609"/>
      <c r="EE632" s="2609"/>
      <c r="EF632" s="2609"/>
      <c r="EG632" s="2609"/>
      <c r="EH632" s="2609" t="e">
        <f t="shared" si="26"/>
        <v>#VALUE!</v>
      </c>
      <c r="EI632" s="2609"/>
      <c r="EJ632" s="2609"/>
      <c r="EK632" s="2609"/>
      <c r="EL632" s="2609"/>
      <c r="EM632" s="2609" t="e">
        <f t="shared" si="27"/>
        <v>#VALUE!</v>
      </c>
      <c r="EN632" s="2609"/>
      <c r="EO632" s="2609"/>
      <c r="EP632" s="2609"/>
      <c r="EQ632" s="2609"/>
      <c r="ER632" s="2609" t="e">
        <f t="shared" si="28"/>
        <v>#VALUE!</v>
      </c>
      <c r="ES632" s="2609"/>
      <c r="ET632" s="2609"/>
      <c r="EU632" s="2609"/>
      <c r="EV632" s="2609"/>
      <c r="EW632" s="2609" t="e">
        <f t="shared" si="29"/>
        <v>#VALUE!</v>
      </c>
      <c r="EX632" s="2609"/>
      <c r="EY632" s="2609"/>
      <c r="EZ632" s="2609"/>
      <c r="FA632" s="2609"/>
    </row>
    <row r="633" spans="1:157" ht="12.95" customHeight="1">
      <c r="B633" s="84" t="s">
        <v>363</v>
      </c>
      <c r="C633" s="2442"/>
      <c r="D633" s="2442"/>
      <c r="E633" s="2442"/>
      <c r="F633" s="2442"/>
      <c r="G633" s="2442"/>
      <c r="H633" s="2442"/>
      <c r="I633" s="2442"/>
      <c r="J633" s="2442"/>
      <c r="K633" s="2442"/>
      <c r="L633" s="2442"/>
      <c r="M633" s="2611" t="s">
        <v>1326</v>
      </c>
      <c r="N633" s="2611"/>
      <c r="O633" s="2611"/>
      <c r="P633" s="2611"/>
      <c r="Q633" s="2614"/>
      <c r="R633" s="2268"/>
      <c r="S633" s="2615"/>
      <c r="T633" s="2614"/>
      <c r="U633" s="2268"/>
      <c r="V633" s="2615"/>
      <c r="W633" s="2292"/>
      <c r="X633" s="2293"/>
      <c r="Y633" s="2294"/>
      <c r="Z633" s="2444" t="s">
        <v>1326</v>
      </c>
      <c r="AA633" s="2445"/>
      <c r="AB633" s="2446"/>
      <c r="AC633" s="2148"/>
      <c r="AD633" s="2149"/>
      <c r="AE633" s="2150"/>
      <c r="AF633" s="2295"/>
      <c r="AG633" s="2296"/>
      <c r="AH633" s="2296"/>
      <c r="AI633" s="2296"/>
      <c r="AJ633" s="2297"/>
      <c r="AK633" s="2432"/>
      <c r="AL633" s="2433"/>
      <c r="AM633" s="2433"/>
      <c r="AN633" s="2434"/>
      <c r="AO633" s="2328"/>
      <c r="AP633" s="2329"/>
      <c r="AQ633" s="2329"/>
      <c r="AR633" s="2329"/>
      <c r="AS633" s="2330"/>
      <c r="AT633" s="1846" t="str">
        <f t="shared" si="30"/>
        <v/>
      </c>
      <c r="AU633" s="238"/>
      <c r="AV633" s="238"/>
      <c r="AW633" s="238"/>
      <c r="AX633" s="238"/>
      <c r="AY633" s="238"/>
      <c r="AZ633" s="58"/>
      <c r="BA633" s="58"/>
      <c r="BB633" s="58"/>
      <c r="BC633" s="58"/>
      <c r="BD633" s="58"/>
      <c r="BE633" s="58"/>
      <c r="BF633" s="58"/>
      <c r="BG633" s="58"/>
      <c r="BH633" s="58"/>
      <c r="BI633" s="58"/>
      <c r="BJ633" s="58"/>
      <c r="BK633" s="58"/>
      <c r="BL633" s="58"/>
      <c r="BM633" s="58"/>
      <c r="BN633" s="61" t="s">
        <v>105</v>
      </c>
      <c r="BO633" s="61"/>
      <c r="BP633" s="61"/>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177"/>
      <c r="CS633" s="58" t="s">
        <v>2126</v>
      </c>
      <c r="CT633" s="58"/>
      <c r="CU633" s="58"/>
      <c r="CV633" s="58"/>
      <c r="CW633" s="58"/>
      <c r="CX633" s="177"/>
      <c r="CY633" s="177"/>
      <c r="CZ633" s="177"/>
      <c r="DA633" s="177"/>
      <c r="DB633" s="177"/>
      <c r="DC633" s="177"/>
      <c r="DD633" s="177"/>
      <c r="DE633" s="177"/>
      <c r="DF633" s="177"/>
      <c r="DG633" s="25"/>
      <c r="DH633" s="25"/>
      <c r="DI633" s="25"/>
      <c r="DJ633" s="25"/>
      <c r="DK633" s="25"/>
      <c r="DL633" s="25"/>
      <c r="DM633" s="25"/>
      <c r="DN633" s="25"/>
      <c r="DO633" s="25"/>
      <c r="DP633" s="25"/>
      <c r="DQ633" s="25"/>
      <c r="DR633" s="25"/>
      <c r="DS633" s="25"/>
      <c r="DT633" s="25"/>
      <c r="DU633" s="25"/>
      <c r="DV633" s="25"/>
      <c r="DX633" s="2609" t="e">
        <f t="shared" si="24"/>
        <v>#VALUE!</v>
      </c>
      <c r="DY633" s="2609"/>
      <c r="DZ633" s="2609"/>
      <c r="EA633" s="2609"/>
      <c r="EB633" s="2609"/>
      <c r="EC633" s="2609" t="e">
        <f t="shared" si="25"/>
        <v>#VALUE!</v>
      </c>
      <c r="ED633" s="2609"/>
      <c r="EE633" s="2609"/>
      <c r="EF633" s="2609"/>
      <c r="EG633" s="2609"/>
      <c r="EH633" s="2609" t="e">
        <f t="shared" si="26"/>
        <v>#VALUE!</v>
      </c>
      <c r="EI633" s="2609"/>
      <c r="EJ633" s="2609"/>
      <c r="EK633" s="2609"/>
      <c r="EL633" s="2609"/>
      <c r="EM633" s="2609" t="e">
        <f t="shared" si="27"/>
        <v>#VALUE!</v>
      </c>
      <c r="EN633" s="2609"/>
      <c r="EO633" s="2609"/>
      <c r="EP633" s="2609"/>
      <c r="EQ633" s="2609"/>
      <c r="ER633" s="2609" t="e">
        <f t="shared" si="28"/>
        <v>#VALUE!</v>
      </c>
      <c r="ES633" s="2609"/>
      <c r="ET633" s="2609"/>
      <c r="EU633" s="2609"/>
      <c r="EV633" s="2609"/>
      <c r="EW633" s="2609" t="e">
        <f t="shared" si="29"/>
        <v>#VALUE!</v>
      </c>
      <c r="EX633" s="2609"/>
      <c r="EY633" s="2609"/>
      <c r="EZ633" s="2609"/>
      <c r="FA633" s="2609"/>
    </row>
    <row r="634" spans="1:157" ht="12.95" customHeight="1">
      <c r="B634" s="84" t="s">
        <v>364</v>
      </c>
      <c r="C634" s="2442"/>
      <c r="D634" s="2442"/>
      <c r="E634" s="2442"/>
      <c r="F634" s="2442"/>
      <c r="G634" s="2442"/>
      <c r="H634" s="2442"/>
      <c r="I634" s="2442"/>
      <c r="J634" s="2442"/>
      <c r="K634" s="2442"/>
      <c r="L634" s="2442"/>
      <c r="M634" s="2611" t="s">
        <v>1326</v>
      </c>
      <c r="N634" s="2611"/>
      <c r="O634" s="2611"/>
      <c r="P634" s="2611"/>
      <c r="Q634" s="2614"/>
      <c r="R634" s="2268"/>
      <c r="S634" s="2615"/>
      <c r="T634" s="2614"/>
      <c r="U634" s="2268"/>
      <c r="V634" s="2615"/>
      <c r="W634" s="2292"/>
      <c r="X634" s="2293"/>
      <c r="Y634" s="2294"/>
      <c r="Z634" s="2444" t="s">
        <v>1326</v>
      </c>
      <c r="AA634" s="2445"/>
      <c r="AB634" s="2446"/>
      <c r="AC634" s="2148"/>
      <c r="AD634" s="2149"/>
      <c r="AE634" s="2150"/>
      <c r="AF634" s="2295"/>
      <c r="AG634" s="2296"/>
      <c r="AH634" s="2296"/>
      <c r="AI634" s="2296"/>
      <c r="AJ634" s="2297"/>
      <c r="AK634" s="2432"/>
      <c r="AL634" s="2433"/>
      <c r="AM634" s="2433"/>
      <c r="AN634" s="2434"/>
      <c r="AO634" s="2328"/>
      <c r="AP634" s="2329"/>
      <c r="AQ634" s="2329"/>
      <c r="AR634" s="2329"/>
      <c r="AS634" s="2330"/>
      <c r="AT634" s="1846" t="str">
        <f t="shared" si="30"/>
        <v/>
      </c>
      <c r="AU634" s="238"/>
      <c r="AV634" s="238"/>
      <c r="AW634" s="238"/>
      <c r="AX634" s="238"/>
      <c r="AY634" s="238"/>
      <c r="AZ634" s="58"/>
      <c r="BA634" s="58"/>
      <c r="BB634" s="58"/>
      <c r="BC634" s="58"/>
      <c r="BD634" s="58"/>
      <c r="BE634" s="58"/>
      <c r="BF634" s="58"/>
      <c r="BG634" s="58"/>
      <c r="BH634" s="58"/>
      <c r="BI634" s="58"/>
      <c r="BJ634" s="58"/>
      <c r="BK634" s="58"/>
      <c r="BL634" s="58"/>
      <c r="BM634" s="58"/>
      <c r="BN634" s="2227">
        <f t="shared" ref="BN634:BN643" si="31">IF(J772="SRO/Studio",O772,0)</f>
        <v>0</v>
      </c>
      <c r="BO634" s="2228"/>
      <c r="BP634" s="2228"/>
      <c r="BQ634" s="2228"/>
      <c r="BR634" s="2229"/>
      <c r="BS634" s="2114">
        <f t="shared" ref="BS634:BS643" si="32">IF(J772="1 Bedroom",O772,0)</f>
        <v>0</v>
      </c>
      <c r="BT634" s="2114"/>
      <c r="BU634" s="2114"/>
      <c r="BV634" s="2114"/>
      <c r="BW634" s="2114"/>
      <c r="BX634" s="2114">
        <f t="shared" ref="BX634:BX643" si="33">IF(J772="2 Bedrooms",O772,0)</f>
        <v>0</v>
      </c>
      <c r="BY634" s="2114"/>
      <c r="BZ634" s="2114"/>
      <c r="CA634" s="2114"/>
      <c r="CB634" s="2114"/>
      <c r="CC634" s="2114">
        <f t="shared" ref="CC634:CC643" si="34">IF(J772="3 Bedrooms",O772,0)</f>
        <v>0</v>
      </c>
      <c r="CD634" s="2114"/>
      <c r="CE634" s="2114"/>
      <c r="CF634" s="2114"/>
      <c r="CG634" s="2114"/>
      <c r="CH634" s="2114">
        <f t="shared" ref="CH634:CH643" si="35">IF(J772="4 Bedrooms",O772,0)</f>
        <v>0</v>
      </c>
      <c r="CI634" s="2114"/>
      <c r="CJ634" s="2114"/>
      <c r="CK634" s="2114"/>
      <c r="CL634" s="2114"/>
      <c r="CM634" s="2114">
        <f t="shared" ref="CM634:CM643" si="36">IF(J772="5 Bedrooms",O772,0)</f>
        <v>0</v>
      </c>
      <c r="CN634" s="2114"/>
      <c r="CO634" s="2114"/>
      <c r="CP634" s="2114"/>
      <c r="CQ634" s="2114"/>
      <c r="CR634" s="264"/>
      <c r="CS634" s="2227">
        <f>IF(AND(BN634&gt;=1,AH772&gt;=0.1,AH772&lt;=1),O772,0)</f>
        <v>0</v>
      </c>
      <c r="CT634" s="2228"/>
      <c r="CU634" s="2228"/>
      <c r="CV634" s="2228"/>
      <c r="CW634" s="2229"/>
      <c r="CX634" s="2227">
        <f>IF(AND(BS634&gt;=1,AH772&gt;=0.1,AH772&lt;=1),O772,0)</f>
        <v>0</v>
      </c>
      <c r="CY634" s="2228"/>
      <c r="CZ634" s="2228"/>
      <c r="DA634" s="2228"/>
      <c r="DB634" s="2229"/>
      <c r="DC634" s="2227">
        <f>IF(AND(BX634&gt;=1,AH772&gt;=0.1,AH772&lt;=1),O772,0)</f>
        <v>0</v>
      </c>
      <c r="DD634" s="2228"/>
      <c r="DE634" s="2228"/>
      <c r="DF634" s="2228"/>
      <c r="DG634" s="2229"/>
      <c r="DH634" s="2227">
        <f>IF(AND(CC634&gt;=1,AH772&gt;=0.1,AH772&lt;=1),O772,0)</f>
        <v>0</v>
      </c>
      <c r="DI634" s="2228"/>
      <c r="DJ634" s="2228"/>
      <c r="DK634" s="2228"/>
      <c r="DL634" s="2229"/>
      <c r="DM634" s="2227">
        <f>IF(AND(CH634&gt;=1,AH772&gt;=0.1,AH772&lt;=1),O772,0)</f>
        <v>0</v>
      </c>
      <c r="DN634" s="2228"/>
      <c r="DO634" s="2228"/>
      <c r="DP634" s="2228"/>
      <c r="DQ634" s="2229"/>
      <c r="DR634" s="2227">
        <f>IF(AND(CM634&gt;=1,AH772&gt;=0.1,AH772&lt;=1),O772,0)</f>
        <v>0</v>
      </c>
      <c r="DS634" s="2228"/>
      <c r="DT634" s="2228"/>
      <c r="DU634" s="2228"/>
      <c r="DV634" s="2229"/>
      <c r="DX634" s="2609" t="e">
        <f t="shared" si="24"/>
        <v>#VALUE!</v>
      </c>
      <c r="DY634" s="2609"/>
      <c r="DZ634" s="2609"/>
      <c r="EA634" s="2609"/>
      <c r="EB634" s="2609"/>
      <c r="EC634" s="2609" t="e">
        <f t="shared" si="25"/>
        <v>#VALUE!</v>
      </c>
      <c r="ED634" s="2609"/>
      <c r="EE634" s="2609"/>
      <c r="EF634" s="2609"/>
      <c r="EG634" s="2609"/>
      <c r="EH634" s="2609" t="e">
        <f t="shared" si="26"/>
        <v>#VALUE!</v>
      </c>
      <c r="EI634" s="2609"/>
      <c r="EJ634" s="2609"/>
      <c r="EK634" s="2609"/>
      <c r="EL634" s="2609"/>
      <c r="EM634" s="2609" t="e">
        <f t="shared" si="27"/>
        <v>#VALUE!</v>
      </c>
      <c r="EN634" s="2609"/>
      <c r="EO634" s="2609"/>
      <c r="EP634" s="2609"/>
      <c r="EQ634" s="2609"/>
      <c r="ER634" s="2609" t="e">
        <f t="shared" si="28"/>
        <v>#VALUE!</v>
      </c>
      <c r="ES634" s="2609"/>
      <c r="ET634" s="2609"/>
      <c r="EU634" s="2609"/>
      <c r="EV634" s="2609"/>
      <c r="EW634" s="2609" t="e">
        <f t="shared" si="29"/>
        <v>#VALUE!</v>
      </c>
      <c r="EX634" s="2609"/>
      <c r="EY634" s="2609"/>
      <c r="EZ634" s="2609"/>
      <c r="FA634" s="2609"/>
    </row>
    <row r="635" spans="1:157" ht="12.95" customHeight="1">
      <c r="B635" s="2305" t="s">
        <v>129</v>
      </c>
      <c r="C635" s="2306"/>
      <c r="D635" s="2306"/>
      <c r="E635" s="2306"/>
      <c r="F635" s="2306"/>
      <c r="G635" s="2306"/>
      <c r="H635" s="2306"/>
      <c r="I635" s="2306"/>
      <c r="J635" s="2306"/>
      <c r="K635" s="2306"/>
      <c r="L635" s="2306"/>
      <c r="M635" s="2306"/>
      <c r="N635" s="2306"/>
      <c r="O635" s="2306"/>
      <c r="P635" s="2306"/>
      <c r="Q635" s="2306"/>
      <c r="R635" s="2306"/>
      <c r="S635" s="2306"/>
      <c r="T635" s="2306"/>
      <c r="U635" s="2306"/>
      <c r="V635" s="2306"/>
      <c r="W635" s="2306"/>
      <c r="X635" s="2306"/>
      <c r="Y635" s="2306"/>
      <c r="Z635" s="2306"/>
      <c r="AA635" s="2306"/>
      <c r="AB635" s="2306"/>
      <c r="AC635" s="2306"/>
      <c r="AD635" s="2306"/>
      <c r="AE635" s="2306"/>
      <c r="AF635" s="2306"/>
      <c r="AG635" s="2306"/>
      <c r="AH635" s="2306"/>
      <c r="AI635" s="2306"/>
      <c r="AJ635" s="2306"/>
      <c r="AK635" s="2306"/>
      <c r="AL635" s="2306"/>
      <c r="AM635" s="2306"/>
      <c r="AN635" s="2308"/>
      <c r="AO635" s="2243">
        <f>SUM(AO623:AR634)</f>
        <v>18150589</v>
      </c>
      <c r="AP635" s="2244"/>
      <c r="AQ635" s="2244"/>
      <c r="AR635" s="2244"/>
      <c r="AS635" s="2245"/>
      <c r="AZ635" s="58"/>
      <c r="BA635" s="58"/>
      <c r="BB635" s="58"/>
      <c r="BC635" s="58"/>
      <c r="BD635" s="58"/>
      <c r="BE635" s="58"/>
      <c r="BF635" s="58"/>
      <c r="BG635" s="58"/>
      <c r="BH635" s="58"/>
      <c r="BI635" s="58"/>
      <c r="BJ635" s="58"/>
      <c r="BK635" s="58"/>
      <c r="BL635" s="58"/>
      <c r="BM635" s="58"/>
      <c r="BN635" s="2227">
        <f t="shared" si="31"/>
        <v>0</v>
      </c>
      <c r="BO635" s="2228"/>
      <c r="BP635" s="2228"/>
      <c r="BQ635" s="2228"/>
      <c r="BR635" s="2229"/>
      <c r="BS635" s="2114">
        <f t="shared" si="32"/>
        <v>0</v>
      </c>
      <c r="BT635" s="2114"/>
      <c r="BU635" s="2114"/>
      <c r="BV635" s="2114"/>
      <c r="BW635" s="2114"/>
      <c r="BX635" s="2114">
        <f t="shared" si="33"/>
        <v>0</v>
      </c>
      <c r="BY635" s="2114"/>
      <c r="BZ635" s="2114"/>
      <c r="CA635" s="2114"/>
      <c r="CB635" s="2114"/>
      <c r="CC635" s="2114">
        <f t="shared" si="34"/>
        <v>0</v>
      </c>
      <c r="CD635" s="2114"/>
      <c r="CE635" s="2114"/>
      <c r="CF635" s="2114"/>
      <c r="CG635" s="2114"/>
      <c r="CH635" s="2114">
        <f t="shared" si="35"/>
        <v>0</v>
      </c>
      <c r="CI635" s="2114"/>
      <c r="CJ635" s="2114"/>
      <c r="CK635" s="2114"/>
      <c r="CL635" s="2114"/>
      <c r="CM635" s="2114">
        <f t="shared" si="36"/>
        <v>0</v>
      </c>
      <c r="CN635" s="2114"/>
      <c r="CO635" s="2114"/>
      <c r="CP635" s="2114"/>
      <c r="CQ635" s="2114"/>
      <c r="CR635" s="264"/>
      <c r="CS635" s="2227">
        <f t="shared" ref="CS635:CS643" si="37">IF(AND(BN635&gt;=1,AH773&gt;=0.1,AH773&lt;=1),O773,0)</f>
        <v>0</v>
      </c>
      <c r="CT635" s="2228"/>
      <c r="CU635" s="2228"/>
      <c r="CV635" s="2228"/>
      <c r="CW635" s="2229"/>
      <c r="CX635" s="2227">
        <f t="shared" ref="CX635:CX643" si="38">IF(AND(BS635&gt;=1,AH773&gt;=0.1,AH773&lt;=1),O773,0)</f>
        <v>0</v>
      </c>
      <c r="CY635" s="2228"/>
      <c r="CZ635" s="2228"/>
      <c r="DA635" s="2228"/>
      <c r="DB635" s="2229"/>
      <c r="DC635" s="2227">
        <f t="shared" ref="DC635:DC643" si="39">IF(AND(BX635&gt;=1,AH773&gt;=0.1,AH773&lt;=1),O773,0)</f>
        <v>0</v>
      </c>
      <c r="DD635" s="2228"/>
      <c r="DE635" s="2228"/>
      <c r="DF635" s="2228"/>
      <c r="DG635" s="2229"/>
      <c r="DH635" s="2227">
        <f t="shared" ref="DH635:DH643" si="40">IF(AND(CC635&gt;=1,AH773&gt;=0.1,AH773&lt;=1),O773,0)</f>
        <v>0</v>
      </c>
      <c r="DI635" s="2228"/>
      <c r="DJ635" s="2228"/>
      <c r="DK635" s="2228"/>
      <c r="DL635" s="2229"/>
      <c r="DM635" s="2227">
        <f t="shared" ref="DM635:DM643" si="41">IF(AND(CH635&gt;=1,AH773&gt;=0.1,AH773&lt;=1),O773,0)</f>
        <v>0</v>
      </c>
      <c r="DN635" s="2228"/>
      <c r="DO635" s="2228"/>
      <c r="DP635" s="2228"/>
      <c r="DQ635" s="2229"/>
      <c r="DR635" s="2227">
        <f t="shared" ref="DR635:DR643" si="42">IF(AND(CM635&gt;=1,AH773&gt;=0.1,AH773&lt;=1),O773,0)</f>
        <v>0</v>
      </c>
      <c r="DS635" s="2228"/>
      <c r="DT635" s="2228"/>
      <c r="DU635" s="2228"/>
      <c r="DV635" s="2229"/>
      <c r="DX635" s="2609" t="e">
        <f t="shared" si="24"/>
        <v>#VALUE!</v>
      </c>
      <c r="DY635" s="2609"/>
      <c r="DZ635" s="2609"/>
      <c r="EA635" s="2609"/>
      <c r="EB635" s="2609"/>
      <c r="EC635" s="2609" t="e">
        <f t="shared" si="25"/>
        <v>#VALUE!</v>
      </c>
      <c r="ED635" s="2609"/>
      <c r="EE635" s="2609"/>
      <c r="EF635" s="2609"/>
      <c r="EG635" s="2609"/>
      <c r="EH635" s="2609" t="e">
        <f t="shared" si="26"/>
        <v>#VALUE!</v>
      </c>
      <c r="EI635" s="2609"/>
      <c r="EJ635" s="2609"/>
      <c r="EK635" s="2609"/>
      <c r="EL635" s="2609"/>
      <c r="EM635" s="2609" t="e">
        <f t="shared" si="27"/>
        <v>#VALUE!</v>
      </c>
      <c r="EN635" s="2609"/>
      <c r="EO635" s="2609"/>
      <c r="EP635" s="2609"/>
      <c r="EQ635" s="2609"/>
      <c r="ER635" s="2609" t="e">
        <f t="shared" si="28"/>
        <v>#VALUE!</v>
      </c>
      <c r="ES635" s="2609"/>
      <c r="ET635" s="2609"/>
      <c r="EU635" s="2609"/>
      <c r="EV635" s="2609"/>
      <c r="EW635" s="2609" t="e">
        <f t="shared" si="29"/>
        <v>#VALUE!</v>
      </c>
      <c r="EX635" s="2609"/>
      <c r="EY635" s="2609"/>
      <c r="EZ635" s="2609"/>
      <c r="FA635" s="2609"/>
    </row>
    <row r="636" spans="1:157" ht="12.95" customHeight="1">
      <c r="B636" s="2305" t="s">
        <v>268</v>
      </c>
      <c r="C636" s="2306"/>
      <c r="D636" s="2306"/>
      <c r="E636" s="2306"/>
      <c r="F636" s="2306"/>
      <c r="G636" s="2306"/>
      <c r="H636" s="2306"/>
      <c r="I636" s="2306"/>
      <c r="J636" s="2306"/>
      <c r="K636" s="2306"/>
      <c r="L636" s="2306"/>
      <c r="M636" s="2306"/>
      <c r="N636" s="2306"/>
      <c r="O636" s="2306"/>
      <c r="P636" s="2306"/>
      <c r="Q636" s="2306"/>
      <c r="R636" s="2306"/>
      <c r="S636" s="2306"/>
      <c r="T636" s="2306"/>
      <c r="U636" s="2306"/>
      <c r="V636" s="2306"/>
      <c r="W636" s="2306"/>
      <c r="X636" s="2306"/>
      <c r="Y636" s="2306"/>
      <c r="Z636" s="2306"/>
      <c r="AA636" s="2306"/>
      <c r="AB636" s="2306"/>
      <c r="AC636" s="2306"/>
      <c r="AD636" s="2306"/>
      <c r="AE636" s="2306"/>
      <c r="AF636" s="2306"/>
      <c r="AG636" s="2306"/>
      <c r="AH636" s="2306"/>
      <c r="AI636" s="2306"/>
      <c r="AJ636" s="2306"/>
      <c r="AK636" s="2306"/>
      <c r="AL636" s="2306"/>
      <c r="AM636" s="2306"/>
      <c r="AN636" s="2308"/>
      <c r="AO636" s="2328">
        <f>15412720+10692579</f>
        <v>26105299</v>
      </c>
      <c r="AP636" s="2329"/>
      <c r="AQ636" s="2329"/>
      <c r="AR636" s="2329"/>
      <c r="AS636" s="2330"/>
      <c r="AZ636" s="61"/>
      <c r="BA636" s="61"/>
      <c r="BB636" s="61"/>
      <c r="BC636" s="61"/>
      <c r="BD636" s="61"/>
      <c r="BE636" s="61"/>
      <c r="BF636" s="61"/>
      <c r="BG636" s="61"/>
      <c r="BH636" s="61"/>
      <c r="BI636" s="61"/>
      <c r="BJ636" s="61"/>
      <c r="BK636" s="61"/>
      <c r="BL636" s="61"/>
      <c r="BM636" s="61"/>
      <c r="BN636" s="2227">
        <f t="shared" si="31"/>
        <v>0</v>
      </c>
      <c r="BO636" s="2228"/>
      <c r="BP636" s="2228"/>
      <c r="BQ636" s="2228"/>
      <c r="BR636" s="2229"/>
      <c r="BS636" s="2114">
        <f t="shared" si="32"/>
        <v>0</v>
      </c>
      <c r="BT636" s="2114"/>
      <c r="BU636" s="2114"/>
      <c r="BV636" s="2114"/>
      <c r="BW636" s="2114"/>
      <c r="BX636" s="2114">
        <f t="shared" si="33"/>
        <v>0</v>
      </c>
      <c r="BY636" s="2114"/>
      <c r="BZ636" s="2114"/>
      <c r="CA636" s="2114"/>
      <c r="CB636" s="2114"/>
      <c r="CC636" s="2114">
        <f t="shared" si="34"/>
        <v>0</v>
      </c>
      <c r="CD636" s="2114"/>
      <c r="CE636" s="2114"/>
      <c r="CF636" s="2114"/>
      <c r="CG636" s="2114"/>
      <c r="CH636" s="2114">
        <f t="shared" si="35"/>
        <v>0</v>
      </c>
      <c r="CI636" s="2114"/>
      <c r="CJ636" s="2114"/>
      <c r="CK636" s="2114"/>
      <c r="CL636" s="2114"/>
      <c r="CM636" s="2114">
        <f t="shared" si="36"/>
        <v>0</v>
      </c>
      <c r="CN636" s="2114"/>
      <c r="CO636" s="2114"/>
      <c r="CP636" s="2114"/>
      <c r="CQ636" s="2114"/>
      <c r="CR636" s="264"/>
      <c r="CS636" s="2227">
        <f t="shared" si="37"/>
        <v>0</v>
      </c>
      <c r="CT636" s="2228"/>
      <c r="CU636" s="2228"/>
      <c r="CV636" s="2228"/>
      <c r="CW636" s="2229"/>
      <c r="CX636" s="2227">
        <f t="shared" si="38"/>
        <v>0</v>
      </c>
      <c r="CY636" s="2228"/>
      <c r="CZ636" s="2228"/>
      <c r="DA636" s="2228"/>
      <c r="DB636" s="2229"/>
      <c r="DC636" s="2227">
        <f t="shared" si="39"/>
        <v>0</v>
      </c>
      <c r="DD636" s="2228"/>
      <c r="DE636" s="2228"/>
      <c r="DF636" s="2228"/>
      <c r="DG636" s="2229"/>
      <c r="DH636" s="2227">
        <f t="shared" si="40"/>
        <v>0</v>
      </c>
      <c r="DI636" s="2228"/>
      <c r="DJ636" s="2228"/>
      <c r="DK636" s="2228"/>
      <c r="DL636" s="2229"/>
      <c r="DM636" s="2227">
        <f t="shared" si="41"/>
        <v>0</v>
      </c>
      <c r="DN636" s="2228"/>
      <c r="DO636" s="2228"/>
      <c r="DP636" s="2228"/>
      <c r="DQ636" s="2229"/>
      <c r="DR636" s="2227">
        <f t="shared" si="42"/>
        <v>0</v>
      </c>
      <c r="DS636" s="2228"/>
      <c r="DT636" s="2228"/>
      <c r="DU636" s="2228"/>
      <c r="DV636" s="2229"/>
      <c r="DX636" s="2609" t="e">
        <f t="shared" si="24"/>
        <v>#VALUE!</v>
      </c>
      <c r="DY636" s="2609"/>
      <c r="DZ636" s="2609"/>
      <c r="EA636" s="2609"/>
      <c r="EB636" s="2609"/>
      <c r="EC636" s="2609" t="e">
        <f t="shared" si="25"/>
        <v>#VALUE!</v>
      </c>
      <c r="ED636" s="2609"/>
      <c r="EE636" s="2609"/>
      <c r="EF636" s="2609"/>
      <c r="EG636" s="2609"/>
      <c r="EH636" s="2609" t="e">
        <f t="shared" si="26"/>
        <v>#VALUE!</v>
      </c>
      <c r="EI636" s="2609"/>
      <c r="EJ636" s="2609"/>
      <c r="EK636" s="2609"/>
      <c r="EL636" s="2609"/>
      <c r="EM636" s="2609" t="e">
        <f t="shared" si="27"/>
        <v>#VALUE!</v>
      </c>
      <c r="EN636" s="2609"/>
      <c r="EO636" s="2609"/>
      <c r="EP636" s="2609"/>
      <c r="EQ636" s="2609"/>
      <c r="ER636" s="2609" t="e">
        <f t="shared" si="28"/>
        <v>#VALUE!</v>
      </c>
      <c r="ES636" s="2609"/>
      <c r="ET636" s="2609"/>
      <c r="EU636" s="2609"/>
      <c r="EV636" s="2609"/>
      <c r="EW636" s="2609" t="e">
        <f t="shared" si="29"/>
        <v>#VALUE!</v>
      </c>
      <c r="EX636" s="2609"/>
      <c r="EY636" s="2609"/>
      <c r="EZ636" s="2609"/>
      <c r="FA636" s="2609"/>
    </row>
    <row r="637" spans="1:157" ht="12.95" customHeight="1">
      <c r="B637" s="2430" t="s">
        <v>269</v>
      </c>
      <c r="C637" s="2307"/>
      <c r="D637" s="2307"/>
      <c r="E637" s="2307"/>
      <c r="F637" s="2307"/>
      <c r="G637" s="2307"/>
      <c r="H637" s="2307"/>
      <c r="I637" s="2307"/>
      <c r="J637" s="2307"/>
      <c r="K637" s="2307"/>
      <c r="L637" s="2307"/>
      <c r="M637" s="2307"/>
      <c r="N637" s="2307"/>
      <c r="O637" s="2307"/>
      <c r="P637" s="2307"/>
      <c r="Q637" s="2307"/>
      <c r="R637" s="2307"/>
      <c r="S637" s="2307"/>
      <c r="T637" s="2307"/>
      <c r="U637" s="2307"/>
      <c r="V637" s="2307"/>
      <c r="W637" s="2307"/>
      <c r="X637" s="2307"/>
      <c r="Y637" s="2307"/>
      <c r="Z637" s="2307"/>
      <c r="AA637" s="2307"/>
      <c r="AB637" s="2307"/>
      <c r="AC637" s="2307"/>
      <c r="AD637" s="2307"/>
      <c r="AE637" s="2307"/>
      <c r="AF637" s="2307"/>
      <c r="AG637" s="2307"/>
      <c r="AH637" s="2307"/>
      <c r="AI637" s="2307"/>
      <c r="AJ637" s="2307"/>
      <c r="AK637" s="2307"/>
      <c r="AL637" s="2307"/>
      <c r="AM637" s="2307"/>
      <c r="AN637" s="2431"/>
      <c r="AO637" s="2243">
        <f>AO635+AO636</f>
        <v>44255888</v>
      </c>
      <c r="AP637" s="2244"/>
      <c r="AQ637" s="2244"/>
      <c r="AR637" s="2244"/>
      <c r="AS637" s="2245"/>
      <c r="AZ637" s="61"/>
      <c r="BA637" s="61"/>
      <c r="BB637" s="61"/>
      <c r="BC637" s="61"/>
      <c r="BD637" s="61"/>
      <c r="BE637" s="61"/>
      <c r="BF637" s="61"/>
      <c r="BG637" s="61"/>
      <c r="BH637" s="61"/>
      <c r="BI637" s="61"/>
      <c r="BJ637" s="61"/>
      <c r="BK637" s="61"/>
      <c r="BL637" s="61"/>
      <c r="BM637" s="61"/>
      <c r="BN637" s="2227">
        <f t="shared" si="31"/>
        <v>0</v>
      </c>
      <c r="BO637" s="2228"/>
      <c r="BP637" s="2228"/>
      <c r="BQ637" s="2228"/>
      <c r="BR637" s="2229"/>
      <c r="BS637" s="2114">
        <f t="shared" si="32"/>
        <v>0</v>
      </c>
      <c r="BT637" s="2114"/>
      <c r="BU637" s="2114"/>
      <c r="BV637" s="2114"/>
      <c r="BW637" s="2114"/>
      <c r="BX637" s="2114">
        <f t="shared" si="33"/>
        <v>0</v>
      </c>
      <c r="BY637" s="2114"/>
      <c r="BZ637" s="2114"/>
      <c r="CA637" s="2114"/>
      <c r="CB637" s="2114"/>
      <c r="CC637" s="2114">
        <f t="shared" si="34"/>
        <v>0</v>
      </c>
      <c r="CD637" s="2114"/>
      <c r="CE637" s="2114"/>
      <c r="CF637" s="2114"/>
      <c r="CG637" s="2114"/>
      <c r="CH637" s="2114">
        <f t="shared" si="35"/>
        <v>0</v>
      </c>
      <c r="CI637" s="2114"/>
      <c r="CJ637" s="2114"/>
      <c r="CK637" s="2114"/>
      <c r="CL637" s="2114"/>
      <c r="CM637" s="2114">
        <f t="shared" si="36"/>
        <v>0</v>
      </c>
      <c r="CN637" s="2114"/>
      <c r="CO637" s="2114"/>
      <c r="CP637" s="2114"/>
      <c r="CQ637" s="2114"/>
      <c r="CR637" s="264"/>
      <c r="CS637" s="2227">
        <f t="shared" si="37"/>
        <v>0</v>
      </c>
      <c r="CT637" s="2228"/>
      <c r="CU637" s="2228"/>
      <c r="CV637" s="2228"/>
      <c r="CW637" s="2229"/>
      <c r="CX637" s="2227">
        <f t="shared" si="38"/>
        <v>0</v>
      </c>
      <c r="CY637" s="2228"/>
      <c r="CZ637" s="2228"/>
      <c r="DA637" s="2228"/>
      <c r="DB637" s="2229"/>
      <c r="DC637" s="2227">
        <f t="shared" si="39"/>
        <v>0</v>
      </c>
      <c r="DD637" s="2228"/>
      <c r="DE637" s="2228"/>
      <c r="DF637" s="2228"/>
      <c r="DG637" s="2229"/>
      <c r="DH637" s="2227">
        <f t="shared" si="40"/>
        <v>0</v>
      </c>
      <c r="DI637" s="2228"/>
      <c r="DJ637" s="2228"/>
      <c r="DK637" s="2228"/>
      <c r="DL637" s="2229"/>
      <c r="DM637" s="2227">
        <f t="shared" si="41"/>
        <v>0</v>
      </c>
      <c r="DN637" s="2228"/>
      <c r="DO637" s="2228"/>
      <c r="DP637" s="2228"/>
      <c r="DQ637" s="2229"/>
      <c r="DR637" s="2227">
        <f t="shared" si="42"/>
        <v>0</v>
      </c>
      <c r="DS637" s="2228"/>
      <c r="DT637" s="2228"/>
      <c r="DU637" s="2228"/>
      <c r="DV637" s="2229"/>
      <c r="DX637" s="2609" t="e">
        <f t="shared" si="24"/>
        <v>#VALUE!</v>
      </c>
      <c r="DY637" s="2609"/>
      <c r="DZ637" s="2609"/>
      <c r="EA637" s="2609"/>
      <c r="EB637" s="2609"/>
      <c r="EC637" s="2609" t="e">
        <f t="shared" si="25"/>
        <v>#VALUE!</v>
      </c>
      <c r="ED637" s="2609"/>
      <c r="EE637" s="2609"/>
      <c r="EF637" s="2609"/>
      <c r="EG637" s="2609"/>
      <c r="EH637" s="2609" t="e">
        <f t="shared" si="26"/>
        <v>#VALUE!</v>
      </c>
      <c r="EI637" s="2609"/>
      <c r="EJ637" s="2609"/>
      <c r="EK637" s="2609"/>
      <c r="EL637" s="2609"/>
      <c r="EM637" s="2609" t="e">
        <f t="shared" si="27"/>
        <v>#VALUE!</v>
      </c>
      <c r="EN637" s="2609"/>
      <c r="EO637" s="2609"/>
      <c r="EP637" s="2609"/>
      <c r="EQ637" s="2609"/>
      <c r="ER637" s="2609" t="e">
        <f t="shared" si="28"/>
        <v>#VALUE!</v>
      </c>
      <c r="ES637" s="2609"/>
      <c r="ET637" s="2609"/>
      <c r="EU637" s="2609"/>
      <c r="EV637" s="2609"/>
      <c r="EW637" s="2609" t="e">
        <f t="shared" si="29"/>
        <v>#VALUE!</v>
      </c>
      <c r="EX637" s="2609"/>
      <c r="EY637" s="2609"/>
      <c r="EZ637" s="2609"/>
      <c r="FA637" s="2609"/>
    </row>
    <row r="638" spans="1:157" ht="12.95" customHeight="1">
      <c r="A638" s="25"/>
      <c r="B638" s="901"/>
      <c r="C638" s="25"/>
      <c r="D638" s="25"/>
      <c r="E638" s="25"/>
      <c r="F638" s="25"/>
      <c r="G638" s="25"/>
      <c r="H638" s="25"/>
      <c r="I638" s="25"/>
      <c r="J638" s="25"/>
      <c r="K638" s="89"/>
      <c r="L638" s="90"/>
      <c r="M638" s="90"/>
      <c r="N638" s="90"/>
      <c r="O638" s="90"/>
      <c r="P638" s="90"/>
      <c r="Q638" s="90"/>
      <c r="R638" s="90"/>
      <c r="S638" s="25"/>
      <c r="T638" s="25"/>
      <c r="U638" s="25"/>
      <c r="V638" s="25"/>
      <c r="W638" s="25"/>
      <c r="X638" s="25"/>
      <c r="Y638" s="25"/>
      <c r="Z638" s="25"/>
      <c r="AA638" s="25"/>
      <c r="AB638" s="25"/>
      <c r="AC638" s="89"/>
      <c r="AD638" s="90"/>
      <c r="AE638" s="90"/>
      <c r="AF638" s="90"/>
      <c r="AG638" s="90"/>
      <c r="AH638" s="90"/>
      <c r="AI638" s="90"/>
      <c r="AJ638" s="90"/>
      <c r="AZ638" s="61"/>
      <c r="BA638" s="61"/>
      <c r="BB638" s="61"/>
      <c r="BC638" s="61"/>
      <c r="BD638" s="61"/>
      <c r="BE638" s="61"/>
      <c r="BF638" s="61"/>
      <c r="BG638" s="61"/>
      <c r="BH638" s="61"/>
      <c r="BI638" s="61"/>
      <c r="BJ638" s="61"/>
      <c r="BK638" s="61"/>
      <c r="BL638" s="61"/>
      <c r="BM638" s="61"/>
      <c r="BN638" s="2227">
        <f t="shared" si="31"/>
        <v>0</v>
      </c>
      <c r="BO638" s="2228"/>
      <c r="BP638" s="2228"/>
      <c r="BQ638" s="2228"/>
      <c r="BR638" s="2229"/>
      <c r="BS638" s="2114">
        <f t="shared" si="32"/>
        <v>0</v>
      </c>
      <c r="BT638" s="2114"/>
      <c r="BU638" s="2114"/>
      <c r="BV638" s="2114"/>
      <c r="BW638" s="2114"/>
      <c r="BX638" s="2114">
        <f t="shared" si="33"/>
        <v>0</v>
      </c>
      <c r="BY638" s="2114"/>
      <c r="BZ638" s="2114"/>
      <c r="CA638" s="2114"/>
      <c r="CB638" s="2114"/>
      <c r="CC638" s="2114">
        <f t="shared" si="34"/>
        <v>0</v>
      </c>
      <c r="CD638" s="2114"/>
      <c r="CE638" s="2114"/>
      <c r="CF638" s="2114"/>
      <c r="CG638" s="2114"/>
      <c r="CH638" s="2114">
        <f t="shared" si="35"/>
        <v>0</v>
      </c>
      <c r="CI638" s="2114"/>
      <c r="CJ638" s="2114"/>
      <c r="CK638" s="2114"/>
      <c r="CL638" s="2114"/>
      <c r="CM638" s="2114">
        <f t="shared" si="36"/>
        <v>0</v>
      </c>
      <c r="CN638" s="2114"/>
      <c r="CO638" s="2114"/>
      <c r="CP638" s="2114"/>
      <c r="CQ638" s="2114"/>
      <c r="CR638" s="264"/>
      <c r="CS638" s="2227">
        <f t="shared" si="37"/>
        <v>0</v>
      </c>
      <c r="CT638" s="2228"/>
      <c r="CU638" s="2228"/>
      <c r="CV638" s="2228"/>
      <c r="CW638" s="2229"/>
      <c r="CX638" s="2227">
        <f t="shared" si="38"/>
        <v>0</v>
      </c>
      <c r="CY638" s="2228"/>
      <c r="CZ638" s="2228"/>
      <c r="DA638" s="2228"/>
      <c r="DB638" s="2229"/>
      <c r="DC638" s="2227">
        <f t="shared" si="39"/>
        <v>0</v>
      </c>
      <c r="DD638" s="2228"/>
      <c r="DE638" s="2228"/>
      <c r="DF638" s="2228"/>
      <c r="DG638" s="2229"/>
      <c r="DH638" s="2227">
        <f t="shared" si="40"/>
        <v>0</v>
      </c>
      <c r="DI638" s="2228"/>
      <c r="DJ638" s="2228"/>
      <c r="DK638" s="2228"/>
      <c r="DL638" s="2229"/>
      <c r="DM638" s="2227">
        <f t="shared" si="41"/>
        <v>0</v>
      </c>
      <c r="DN638" s="2228"/>
      <c r="DO638" s="2228"/>
      <c r="DP638" s="2228"/>
      <c r="DQ638" s="2229"/>
      <c r="DR638" s="2227">
        <f t="shared" si="42"/>
        <v>0</v>
      </c>
      <c r="DS638" s="2228"/>
      <c r="DT638" s="2228"/>
      <c r="DU638" s="2228"/>
      <c r="DV638" s="2229"/>
      <c r="DX638" s="2609" t="e">
        <f t="shared" si="24"/>
        <v>#VALUE!</v>
      </c>
      <c r="DY638" s="2609"/>
      <c r="DZ638" s="2609"/>
      <c r="EA638" s="2609"/>
      <c r="EB638" s="2609"/>
      <c r="EC638" s="2609" t="e">
        <f t="shared" si="25"/>
        <v>#VALUE!</v>
      </c>
      <c r="ED638" s="2609"/>
      <c r="EE638" s="2609"/>
      <c r="EF638" s="2609"/>
      <c r="EG638" s="2609"/>
      <c r="EH638" s="2609" t="e">
        <f t="shared" si="26"/>
        <v>#VALUE!</v>
      </c>
      <c r="EI638" s="2609"/>
      <c r="EJ638" s="2609"/>
      <c r="EK638" s="2609"/>
      <c r="EL638" s="2609"/>
      <c r="EM638" s="2609" t="e">
        <f t="shared" si="27"/>
        <v>#VALUE!</v>
      </c>
      <c r="EN638" s="2609"/>
      <c r="EO638" s="2609"/>
      <c r="EP638" s="2609"/>
      <c r="EQ638" s="2609"/>
      <c r="ER638" s="2609" t="e">
        <f t="shared" si="28"/>
        <v>#VALUE!</v>
      </c>
      <c r="ES638" s="2609"/>
      <c r="ET638" s="2609"/>
      <c r="EU638" s="2609"/>
      <c r="EV638" s="2609"/>
      <c r="EW638" s="2609" t="e">
        <f t="shared" si="29"/>
        <v>#VALUE!</v>
      </c>
      <c r="EX638" s="2609"/>
      <c r="EY638" s="2609"/>
      <c r="EZ638" s="2609"/>
      <c r="FA638" s="2609"/>
    </row>
    <row r="639" spans="1:157" ht="12.95" customHeight="1">
      <c r="A639" s="87" t="s">
        <v>113</v>
      </c>
      <c r="B639" s="12" t="s">
        <v>472</v>
      </c>
      <c r="G639" s="2238" t="str">
        <f>C623</f>
        <v>Chase - Permanent Loan</v>
      </c>
      <c r="H639" s="2238"/>
      <c r="I639" s="2238"/>
      <c r="J639" s="2238"/>
      <c r="K639" s="2238"/>
      <c r="L639" s="2238"/>
      <c r="M639" s="2238"/>
      <c r="N639" s="2238"/>
      <c r="O639" s="2238"/>
      <c r="P639" s="2238"/>
      <c r="Q639" s="2238"/>
      <c r="R639" s="2238"/>
      <c r="S639" s="14"/>
      <c r="T639" s="87" t="s">
        <v>114</v>
      </c>
      <c r="U639" s="12" t="s">
        <v>472</v>
      </c>
      <c r="Z639" s="2238" t="str">
        <f>C624</f>
        <v>HCD - No Place Like Home</v>
      </c>
      <c r="AA639" s="2238"/>
      <c r="AB639" s="2238"/>
      <c r="AC639" s="2238"/>
      <c r="AD639" s="2238"/>
      <c r="AE639" s="2238"/>
      <c r="AF639" s="2238"/>
      <c r="AG639" s="2238"/>
      <c r="AH639" s="2238"/>
      <c r="AI639" s="2238"/>
      <c r="AJ639" s="2238"/>
      <c r="AK639" s="2238"/>
      <c r="AZ639" s="61"/>
      <c r="BA639" s="61"/>
      <c r="BB639" s="61"/>
      <c r="BC639" s="61"/>
      <c r="BD639" s="61"/>
      <c r="BE639" s="61"/>
      <c r="BF639" s="61"/>
      <c r="BG639" s="61"/>
      <c r="BH639" s="61"/>
      <c r="BI639" s="61"/>
      <c r="BJ639" s="61"/>
      <c r="BK639" s="61"/>
      <c r="BL639" s="61"/>
      <c r="BM639" s="61"/>
      <c r="BN639" s="2227">
        <f t="shared" si="31"/>
        <v>0</v>
      </c>
      <c r="BO639" s="2228"/>
      <c r="BP639" s="2228"/>
      <c r="BQ639" s="2228"/>
      <c r="BR639" s="2229"/>
      <c r="BS639" s="2114">
        <f t="shared" si="32"/>
        <v>0</v>
      </c>
      <c r="BT639" s="2114"/>
      <c r="BU639" s="2114"/>
      <c r="BV639" s="2114"/>
      <c r="BW639" s="2114"/>
      <c r="BX639" s="2114">
        <f t="shared" si="33"/>
        <v>0</v>
      </c>
      <c r="BY639" s="2114"/>
      <c r="BZ639" s="2114"/>
      <c r="CA639" s="2114"/>
      <c r="CB639" s="2114"/>
      <c r="CC639" s="2114">
        <f t="shared" si="34"/>
        <v>0</v>
      </c>
      <c r="CD639" s="2114"/>
      <c r="CE639" s="2114"/>
      <c r="CF639" s="2114"/>
      <c r="CG639" s="2114"/>
      <c r="CH639" s="2114">
        <f t="shared" si="35"/>
        <v>0</v>
      </c>
      <c r="CI639" s="2114"/>
      <c r="CJ639" s="2114"/>
      <c r="CK639" s="2114"/>
      <c r="CL639" s="2114"/>
      <c r="CM639" s="2114">
        <f t="shared" si="36"/>
        <v>0</v>
      </c>
      <c r="CN639" s="2114"/>
      <c r="CO639" s="2114"/>
      <c r="CP639" s="2114"/>
      <c r="CQ639" s="2114"/>
      <c r="CR639" s="264"/>
      <c r="CS639" s="2227">
        <f t="shared" si="37"/>
        <v>0</v>
      </c>
      <c r="CT639" s="2228"/>
      <c r="CU639" s="2228"/>
      <c r="CV639" s="2228"/>
      <c r="CW639" s="2229"/>
      <c r="CX639" s="2227">
        <f t="shared" si="38"/>
        <v>0</v>
      </c>
      <c r="CY639" s="2228"/>
      <c r="CZ639" s="2228"/>
      <c r="DA639" s="2228"/>
      <c r="DB639" s="2229"/>
      <c r="DC639" s="2227">
        <f t="shared" si="39"/>
        <v>0</v>
      </c>
      <c r="DD639" s="2228"/>
      <c r="DE639" s="2228"/>
      <c r="DF639" s="2228"/>
      <c r="DG639" s="2229"/>
      <c r="DH639" s="2227">
        <f t="shared" si="40"/>
        <v>0</v>
      </c>
      <c r="DI639" s="2228"/>
      <c r="DJ639" s="2228"/>
      <c r="DK639" s="2228"/>
      <c r="DL639" s="2229"/>
      <c r="DM639" s="2227">
        <f t="shared" si="41"/>
        <v>0</v>
      </c>
      <c r="DN639" s="2228"/>
      <c r="DO639" s="2228"/>
      <c r="DP639" s="2228"/>
      <c r="DQ639" s="2229"/>
      <c r="DR639" s="2227">
        <f t="shared" si="42"/>
        <v>0</v>
      </c>
      <c r="DS639" s="2228"/>
      <c r="DT639" s="2228"/>
      <c r="DU639" s="2228"/>
      <c r="DV639" s="2229"/>
      <c r="DX639" s="2609" t="e">
        <f t="shared" si="24"/>
        <v>#VALUE!</v>
      </c>
      <c r="DY639" s="2609"/>
      <c r="DZ639" s="2609"/>
      <c r="EA639" s="2609"/>
      <c r="EB639" s="2609"/>
      <c r="EC639" s="2609" t="e">
        <f t="shared" si="25"/>
        <v>#VALUE!</v>
      </c>
      <c r="ED639" s="2609"/>
      <c r="EE639" s="2609"/>
      <c r="EF639" s="2609"/>
      <c r="EG639" s="2609"/>
      <c r="EH639" s="2609" t="e">
        <f t="shared" si="26"/>
        <v>#VALUE!</v>
      </c>
      <c r="EI639" s="2609"/>
      <c r="EJ639" s="2609"/>
      <c r="EK639" s="2609"/>
      <c r="EL639" s="2609"/>
      <c r="EM639" s="2609" t="e">
        <f t="shared" si="27"/>
        <v>#VALUE!</v>
      </c>
      <c r="EN639" s="2609"/>
      <c r="EO639" s="2609"/>
      <c r="EP639" s="2609"/>
      <c r="EQ639" s="2609"/>
      <c r="ER639" s="2609" t="e">
        <f t="shared" si="28"/>
        <v>#VALUE!</v>
      </c>
      <c r="ES639" s="2609"/>
      <c r="ET639" s="2609"/>
      <c r="EU639" s="2609"/>
      <c r="EV639" s="2609"/>
      <c r="EW639" s="2609" t="e">
        <f t="shared" si="29"/>
        <v>#VALUE!</v>
      </c>
      <c r="EX639" s="2609"/>
      <c r="EY639" s="2609"/>
      <c r="EZ639" s="2609"/>
      <c r="FA639" s="2609"/>
    </row>
    <row r="640" spans="1:157" ht="12.95" customHeight="1">
      <c r="A640" s="35"/>
      <c r="B640" s="12" t="s">
        <v>86</v>
      </c>
      <c r="G640" s="2113" t="str">
        <f>G565</f>
        <v>300 S. Grand Ave, Suite 300</v>
      </c>
      <c r="H640" s="2113"/>
      <c r="I640" s="2113"/>
      <c r="J640" s="2113"/>
      <c r="K640" s="2113"/>
      <c r="L640" s="2113"/>
      <c r="M640" s="2113"/>
      <c r="N640" s="2113"/>
      <c r="O640" s="2113"/>
      <c r="P640" s="2113"/>
      <c r="Q640" s="2113"/>
      <c r="R640" s="2113"/>
      <c r="S640" s="14"/>
      <c r="T640" s="35"/>
      <c r="U640" s="12" t="s">
        <v>86</v>
      </c>
      <c r="Z640" s="1911" t="s">
        <v>2747</v>
      </c>
      <c r="AA640" s="1911"/>
      <c r="AB640" s="1911"/>
      <c r="AC640" s="1911"/>
      <c r="AD640" s="1911"/>
      <c r="AE640" s="1911"/>
      <c r="AF640" s="1911"/>
      <c r="AG640" s="1911"/>
      <c r="AH640" s="1911"/>
      <c r="AI640" s="1911"/>
      <c r="AJ640" s="1911"/>
      <c r="AK640" s="1911"/>
      <c r="AZ640" s="61"/>
      <c r="BA640" s="61"/>
      <c r="BB640" s="61"/>
      <c r="BC640" s="61"/>
      <c r="BD640" s="61"/>
      <c r="BE640" s="61"/>
      <c r="BF640" s="61"/>
      <c r="BG640" s="61"/>
      <c r="BH640" s="61"/>
      <c r="BI640" s="61"/>
      <c r="BJ640" s="61"/>
      <c r="BK640" s="61"/>
      <c r="BL640" s="61"/>
      <c r="BM640" s="61"/>
      <c r="BN640" s="2227">
        <f t="shared" si="31"/>
        <v>0</v>
      </c>
      <c r="BO640" s="2228"/>
      <c r="BP640" s="2228"/>
      <c r="BQ640" s="2228"/>
      <c r="BR640" s="2229"/>
      <c r="BS640" s="2114">
        <f t="shared" si="32"/>
        <v>0</v>
      </c>
      <c r="BT640" s="2114"/>
      <c r="BU640" s="2114"/>
      <c r="BV640" s="2114"/>
      <c r="BW640" s="2114"/>
      <c r="BX640" s="2114">
        <f t="shared" si="33"/>
        <v>0</v>
      </c>
      <c r="BY640" s="2114"/>
      <c r="BZ640" s="2114"/>
      <c r="CA640" s="2114"/>
      <c r="CB640" s="2114"/>
      <c r="CC640" s="2114">
        <f t="shared" si="34"/>
        <v>0</v>
      </c>
      <c r="CD640" s="2114"/>
      <c r="CE640" s="2114"/>
      <c r="CF640" s="2114"/>
      <c r="CG640" s="2114"/>
      <c r="CH640" s="2114">
        <f t="shared" si="35"/>
        <v>0</v>
      </c>
      <c r="CI640" s="2114"/>
      <c r="CJ640" s="2114"/>
      <c r="CK640" s="2114"/>
      <c r="CL640" s="2114"/>
      <c r="CM640" s="2114">
        <f t="shared" si="36"/>
        <v>0</v>
      </c>
      <c r="CN640" s="2114"/>
      <c r="CO640" s="2114"/>
      <c r="CP640" s="2114"/>
      <c r="CQ640" s="2114"/>
      <c r="CR640" s="264"/>
      <c r="CS640" s="2227">
        <f t="shared" si="37"/>
        <v>0</v>
      </c>
      <c r="CT640" s="2228"/>
      <c r="CU640" s="2228"/>
      <c r="CV640" s="2228"/>
      <c r="CW640" s="2229"/>
      <c r="CX640" s="2227">
        <f t="shared" si="38"/>
        <v>0</v>
      </c>
      <c r="CY640" s="2228"/>
      <c r="CZ640" s="2228"/>
      <c r="DA640" s="2228"/>
      <c r="DB640" s="2229"/>
      <c r="DC640" s="2227">
        <f t="shared" si="39"/>
        <v>0</v>
      </c>
      <c r="DD640" s="2228"/>
      <c r="DE640" s="2228"/>
      <c r="DF640" s="2228"/>
      <c r="DG640" s="2229"/>
      <c r="DH640" s="2227">
        <f t="shared" si="40"/>
        <v>0</v>
      </c>
      <c r="DI640" s="2228"/>
      <c r="DJ640" s="2228"/>
      <c r="DK640" s="2228"/>
      <c r="DL640" s="2229"/>
      <c r="DM640" s="2227">
        <f t="shared" si="41"/>
        <v>0</v>
      </c>
      <c r="DN640" s="2228"/>
      <c r="DO640" s="2228"/>
      <c r="DP640" s="2228"/>
      <c r="DQ640" s="2229"/>
      <c r="DR640" s="2227">
        <f t="shared" si="42"/>
        <v>0</v>
      </c>
      <c r="DS640" s="2228"/>
      <c r="DT640" s="2228"/>
      <c r="DU640" s="2228"/>
      <c r="DV640" s="2229"/>
      <c r="DX640" s="2609" t="e">
        <f t="shared" si="24"/>
        <v>#VALUE!</v>
      </c>
      <c r="DY640" s="2609"/>
      <c r="DZ640" s="2609"/>
      <c r="EA640" s="2609"/>
      <c r="EB640" s="2609"/>
      <c r="EC640" s="2609" t="e">
        <f t="shared" si="25"/>
        <v>#VALUE!</v>
      </c>
      <c r="ED640" s="2609"/>
      <c r="EE640" s="2609"/>
      <c r="EF640" s="2609"/>
      <c r="EG640" s="2609"/>
      <c r="EH640" s="2609" t="e">
        <f t="shared" si="26"/>
        <v>#VALUE!</v>
      </c>
      <c r="EI640" s="2609"/>
      <c r="EJ640" s="2609"/>
      <c r="EK640" s="2609"/>
      <c r="EL640" s="2609"/>
      <c r="EM640" s="2609" t="e">
        <f t="shared" si="27"/>
        <v>#VALUE!</v>
      </c>
      <c r="EN640" s="2609"/>
      <c r="EO640" s="2609"/>
      <c r="EP640" s="2609"/>
      <c r="EQ640" s="2609"/>
      <c r="ER640" s="2609" t="e">
        <f t="shared" si="28"/>
        <v>#VALUE!</v>
      </c>
      <c r="ES640" s="2609"/>
      <c r="ET640" s="2609"/>
      <c r="EU640" s="2609"/>
      <c r="EV640" s="2609"/>
      <c r="EW640" s="2609" t="e">
        <f t="shared" si="29"/>
        <v>#VALUE!</v>
      </c>
      <c r="EX640" s="2609"/>
      <c r="EY640" s="2609"/>
      <c r="EZ640" s="2609"/>
      <c r="FA640" s="2609"/>
    </row>
    <row r="641" spans="1:157" ht="12.95" customHeight="1">
      <c r="A641" s="35"/>
      <c r="B641" s="12" t="s">
        <v>589</v>
      </c>
      <c r="G641" s="2113" t="str">
        <f>G566</f>
        <v>Los Angeles</v>
      </c>
      <c r="H641" s="2113"/>
      <c r="I641" s="2113"/>
      <c r="J641" s="2113"/>
      <c r="K641" s="2113"/>
      <c r="L641" s="2113"/>
      <c r="M641" s="2113"/>
      <c r="N641" s="2113"/>
      <c r="O641" s="2113"/>
      <c r="P641" s="2113"/>
      <c r="Q641" s="2113"/>
      <c r="R641" s="2113"/>
      <c r="S641" s="88"/>
      <c r="T641" s="35"/>
      <c r="U641" s="12" t="s">
        <v>589</v>
      </c>
      <c r="Z641" s="1909" t="s">
        <v>68</v>
      </c>
      <c r="AA641" s="1909"/>
      <c r="AB641" s="1909"/>
      <c r="AC641" s="1909"/>
      <c r="AD641" s="1909"/>
      <c r="AE641" s="1909"/>
      <c r="AF641" s="1909"/>
      <c r="AG641" s="1909"/>
      <c r="AH641" s="1909"/>
      <c r="AI641" s="1909"/>
      <c r="AJ641" s="1909"/>
      <c r="AK641" s="1909"/>
      <c r="AZ641" s="61"/>
      <c r="BA641" s="61"/>
      <c r="BB641" s="61"/>
      <c r="BC641" s="61"/>
      <c r="BD641" s="61"/>
      <c r="BE641" s="61"/>
      <c r="BF641" s="61"/>
      <c r="BG641" s="61"/>
      <c r="BH641" s="61"/>
      <c r="BI641" s="61"/>
      <c r="BJ641" s="61"/>
      <c r="BK641" s="61"/>
      <c r="BL641" s="61"/>
      <c r="BM641" s="61"/>
      <c r="BN641" s="2227">
        <f t="shared" si="31"/>
        <v>0</v>
      </c>
      <c r="BO641" s="2228"/>
      <c r="BP641" s="2228"/>
      <c r="BQ641" s="2228"/>
      <c r="BR641" s="2229"/>
      <c r="BS641" s="2114">
        <f t="shared" si="32"/>
        <v>0</v>
      </c>
      <c r="BT641" s="2114"/>
      <c r="BU641" s="2114"/>
      <c r="BV641" s="2114"/>
      <c r="BW641" s="2114"/>
      <c r="BX641" s="2114">
        <f t="shared" si="33"/>
        <v>0</v>
      </c>
      <c r="BY641" s="2114"/>
      <c r="BZ641" s="2114"/>
      <c r="CA641" s="2114"/>
      <c r="CB641" s="2114"/>
      <c r="CC641" s="2114">
        <f t="shared" si="34"/>
        <v>0</v>
      </c>
      <c r="CD641" s="2114"/>
      <c r="CE641" s="2114"/>
      <c r="CF641" s="2114"/>
      <c r="CG641" s="2114"/>
      <c r="CH641" s="2114">
        <f t="shared" si="35"/>
        <v>0</v>
      </c>
      <c r="CI641" s="2114"/>
      <c r="CJ641" s="2114"/>
      <c r="CK641" s="2114"/>
      <c r="CL641" s="2114"/>
      <c r="CM641" s="2114">
        <f t="shared" si="36"/>
        <v>0</v>
      </c>
      <c r="CN641" s="2114"/>
      <c r="CO641" s="2114"/>
      <c r="CP641" s="2114"/>
      <c r="CQ641" s="2114"/>
      <c r="CR641" s="264"/>
      <c r="CS641" s="2227">
        <f t="shared" si="37"/>
        <v>0</v>
      </c>
      <c r="CT641" s="2228"/>
      <c r="CU641" s="2228"/>
      <c r="CV641" s="2228"/>
      <c r="CW641" s="2229"/>
      <c r="CX641" s="2227">
        <f t="shared" si="38"/>
        <v>0</v>
      </c>
      <c r="CY641" s="2228"/>
      <c r="CZ641" s="2228"/>
      <c r="DA641" s="2228"/>
      <c r="DB641" s="2229"/>
      <c r="DC641" s="2227">
        <f t="shared" si="39"/>
        <v>0</v>
      </c>
      <c r="DD641" s="2228"/>
      <c r="DE641" s="2228"/>
      <c r="DF641" s="2228"/>
      <c r="DG641" s="2229"/>
      <c r="DH641" s="2227">
        <f t="shared" si="40"/>
        <v>0</v>
      </c>
      <c r="DI641" s="2228"/>
      <c r="DJ641" s="2228"/>
      <c r="DK641" s="2228"/>
      <c r="DL641" s="2229"/>
      <c r="DM641" s="2227">
        <f t="shared" si="41"/>
        <v>0</v>
      </c>
      <c r="DN641" s="2228"/>
      <c r="DO641" s="2228"/>
      <c r="DP641" s="2228"/>
      <c r="DQ641" s="2229"/>
      <c r="DR641" s="2227">
        <f t="shared" si="42"/>
        <v>0</v>
      </c>
      <c r="DS641" s="2228"/>
      <c r="DT641" s="2228"/>
      <c r="DU641" s="2228"/>
      <c r="DV641" s="2229"/>
      <c r="DX641" s="2609" t="e">
        <f t="shared" si="24"/>
        <v>#VALUE!</v>
      </c>
      <c r="DY641" s="2609"/>
      <c r="DZ641" s="2609"/>
      <c r="EA641" s="2609"/>
      <c r="EB641" s="2609"/>
      <c r="EC641" s="2609" t="e">
        <f t="shared" si="25"/>
        <v>#VALUE!</v>
      </c>
      <c r="ED641" s="2609"/>
      <c r="EE641" s="2609"/>
      <c r="EF641" s="2609"/>
      <c r="EG641" s="2609"/>
      <c r="EH641" s="2609" t="e">
        <f t="shared" si="26"/>
        <v>#VALUE!</v>
      </c>
      <c r="EI641" s="2609"/>
      <c r="EJ641" s="2609"/>
      <c r="EK641" s="2609"/>
      <c r="EL641" s="2609"/>
      <c r="EM641" s="2609" t="e">
        <f t="shared" si="27"/>
        <v>#VALUE!</v>
      </c>
      <c r="EN641" s="2609"/>
      <c r="EO641" s="2609"/>
      <c r="EP641" s="2609"/>
      <c r="EQ641" s="2609"/>
      <c r="ER641" s="2609" t="e">
        <f t="shared" si="28"/>
        <v>#VALUE!</v>
      </c>
      <c r="ES641" s="2609"/>
      <c r="ET641" s="2609"/>
      <c r="EU641" s="2609"/>
      <c r="EV641" s="2609"/>
      <c r="EW641" s="2609" t="e">
        <f t="shared" si="29"/>
        <v>#VALUE!</v>
      </c>
      <c r="EX641" s="2609"/>
      <c r="EY641" s="2609"/>
      <c r="EZ641" s="2609"/>
      <c r="FA641" s="2609"/>
    </row>
    <row r="642" spans="1:157" ht="12.95" customHeight="1">
      <c r="A642" s="35"/>
      <c r="B642" s="12" t="s">
        <v>17</v>
      </c>
      <c r="G642" s="2113" t="str">
        <f>G567</f>
        <v>Eri Kameyama</v>
      </c>
      <c r="H642" s="2113"/>
      <c r="I642" s="2113"/>
      <c r="J642" s="2113"/>
      <c r="K642" s="2113"/>
      <c r="L642" s="2113"/>
      <c r="M642" s="2113"/>
      <c r="N642" s="2113"/>
      <c r="O642" s="2113"/>
      <c r="P642" s="2113"/>
      <c r="Q642" s="2113"/>
      <c r="R642" s="2113"/>
      <c r="S642" s="14"/>
      <c r="T642" s="35"/>
      <c r="U642" s="12" t="s">
        <v>17</v>
      </c>
      <c r="Z642" s="1909" t="s">
        <v>2748</v>
      </c>
      <c r="AA642" s="1909"/>
      <c r="AB642" s="1909"/>
      <c r="AC642" s="1909"/>
      <c r="AD642" s="1909"/>
      <c r="AE642" s="1909"/>
      <c r="AF642" s="1909"/>
      <c r="AG642" s="1909"/>
      <c r="AH642" s="1909"/>
      <c r="AI642" s="1909"/>
      <c r="AJ642" s="1909"/>
      <c r="AK642" s="1909"/>
      <c r="AZ642" s="61"/>
      <c r="BA642" s="61"/>
      <c r="BB642" s="61"/>
      <c r="BC642" s="61"/>
      <c r="BD642" s="61"/>
      <c r="BE642" s="61"/>
      <c r="BF642" s="61"/>
      <c r="BG642" s="61"/>
      <c r="BH642" s="61"/>
      <c r="BI642" s="61"/>
      <c r="BJ642" s="61"/>
      <c r="BK642" s="61"/>
      <c r="BL642" s="61"/>
      <c r="BM642" s="61"/>
      <c r="BN642" s="2227">
        <f t="shared" si="31"/>
        <v>0</v>
      </c>
      <c r="BO642" s="2228"/>
      <c r="BP642" s="2228"/>
      <c r="BQ642" s="2228"/>
      <c r="BR642" s="2229"/>
      <c r="BS642" s="2114">
        <f t="shared" si="32"/>
        <v>0</v>
      </c>
      <c r="BT642" s="2114"/>
      <c r="BU642" s="2114"/>
      <c r="BV642" s="2114"/>
      <c r="BW642" s="2114"/>
      <c r="BX642" s="2114">
        <f t="shared" si="33"/>
        <v>0</v>
      </c>
      <c r="BY642" s="2114"/>
      <c r="BZ642" s="2114"/>
      <c r="CA642" s="2114"/>
      <c r="CB642" s="2114"/>
      <c r="CC642" s="2114">
        <f t="shared" si="34"/>
        <v>0</v>
      </c>
      <c r="CD642" s="2114"/>
      <c r="CE642" s="2114"/>
      <c r="CF642" s="2114"/>
      <c r="CG642" s="2114"/>
      <c r="CH642" s="2114">
        <f t="shared" si="35"/>
        <v>0</v>
      </c>
      <c r="CI642" s="2114"/>
      <c r="CJ642" s="2114"/>
      <c r="CK642" s="2114"/>
      <c r="CL642" s="2114"/>
      <c r="CM642" s="2114">
        <f t="shared" si="36"/>
        <v>0</v>
      </c>
      <c r="CN642" s="2114"/>
      <c r="CO642" s="2114"/>
      <c r="CP642" s="2114"/>
      <c r="CQ642" s="2114"/>
      <c r="CR642" s="264"/>
      <c r="CS642" s="2227">
        <f t="shared" si="37"/>
        <v>0</v>
      </c>
      <c r="CT642" s="2228"/>
      <c r="CU642" s="2228"/>
      <c r="CV642" s="2228"/>
      <c r="CW642" s="2229"/>
      <c r="CX642" s="2227">
        <f t="shared" si="38"/>
        <v>0</v>
      </c>
      <c r="CY642" s="2228"/>
      <c r="CZ642" s="2228"/>
      <c r="DA642" s="2228"/>
      <c r="DB642" s="2229"/>
      <c r="DC642" s="2227">
        <f t="shared" si="39"/>
        <v>0</v>
      </c>
      <c r="DD642" s="2228"/>
      <c r="DE642" s="2228"/>
      <c r="DF642" s="2228"/>
      <c r="DG642" s="2229"/>
      <c r="DH642" s="2227">
        <f t="shared" si="40"/>
        <v>0</v>
      </c>
      <c r="DI642" s="2228"/>
      <c r="DJ642" s="2228"/>
      <c r="DK642" s="2228"/>
      <c r="DL642" s="2229"/>
      <c r="DM642" s="2227">
        <f t="shared" si="41"/>
        <v>0</v>
      </c>
      <c r="DN642" s="2228"/>
      <c r="DO642" s="2228"/>
      <c r="DP642" s="2228"/>
      <c r="DQ642" s="2229"/>
      <c r="DR642" s="2227">
        <f t="shared" si="42"/>
        <v>0</v>
      </c>
      <c r="DS642" s="2228"/>
      <c r="DT642" s="2228"/>
      <c r="DU642" s="2228"/>
      <c r="DV642" s="2229"/>
      <c r="DX642" s="2609" t="e">
        <f t="shared" si="24"/>
        <v>#VALUE!</v>
      </c>
      <c r="DY642" s="2609"/>
      <c r="DZ642" s="2609"/>
      <c r="EA642" s="2609"/>
      <c r="EB642" s="2609"/>
      <c r="EC642" s="2609" t="e">
        <f t="shared" si="25"/>
        <v>#VALUE!</v>
      </c>
      <c r="ED642" s="2609"/>
      <c r="EE642" s="2609"/>
      <c r="EF642" s="2609"/>
      <c r="EG642" s="2609"/>
      <c r="EH642" s="2609" t="e">
        <f t="shared" si="26"/>
        <v>#VALUE!</v>
      </c>
      <c r="EI642" s="2609"/>
      <c r="EJ642" s="2609"/>
      <c r="EK642" s="2609"/>
      <c r="EL642" s="2609"/>
      <c r="EM642" s="2609" t="e">
        <f t="shared" si="27"/>
        <v>#VALUE!</v>
      </c>
      <c r="EN642" s="2609"/>
      <c r="EO642" s="2609"/>
      <c r="EP642" s="2609"/>
      <c r="EQ642" s="2609"/>
      <c r="ER642" s="2609" t="e">
        <f t="shared" si="28"/>
        <v>#VALUE!</v>
      </c>
      <c r="ES642" s="2609"/>
      <c r="ET642" s="2609"/>
      <c r="EU642" s="2609"/>
      <c r="EV642" s="2609"/>
      <c r="EW642" s="2609" t="e">
        <f t="shared" si="29"/>
        <v>#VALUE!</v>
      </c>
      <c r="EX642" s="2609"/>
      <c r="EY642" s="2609"/>
      <c r="EZ642" s="2609"/>
      <c r="FA642" s="2609"/>
    </row>
    <row r="643" spans="1:157" ht="12.95" customHeight="1">
      <c r="A643" s="35"/>
      <c r="B643" s="12" t="s">
        <v>317</v>
      </c>
      <c r="G643" s="2239" t="str">
        <f>G568</f>
        <v>213-621-8310</v>
      </c>
      <c r="H643" s="2159"/>
      <c r="I643" s="2159"/>
      <c r="J643" s="2159"/>
      <c r="K643" s="2159"/>
      <c r="L643" s="2159"/>
      <c r="O643" s="137" t="s">
        <v>207</v>
      </c>
      <c r="P643" s="2167"/>
      <c r="Q643" s="2167"/>
      <c r="R643" s="2167"/>
      <c r="S643" s="16"/>
      <c r="T643" s="35"/>
      <c r="U643" s="12" t="s">
        <v>317</v>
      </c>
      <c r="Z643" s="2239" t="s">
        <v>2749</v>
      </c>
      <c r="AA643" s="2159"/>
      <c r="AB643" s="2159"/>
      <c r="AC643" s="2159"/>
      <c r="AD643" s="2159"/>
      <c r="AE643" s="2159"/>
      <c r="AH643" s="137" t="s">
        <v>207</v>
      </c>
      <c r="AI643" s="2167"/>
      <c r="AJ643" s="2167"/>
      <c r="AK643" s="2167"/>
      <c r="AZ643" s="61"/>
      <c r="BA643" s="61"/>
      <c r="BB643" s="61"/>
      <c r="BC643" s="61"/>
      <c r="BD643" s="61"/>
      <c r="BE643" s="61"/>
      <c r="BF643" s="61"/>
      <c r="BG643" s="61"/>
      <c r="BH643" s="61"/>
      <c r="BI643" s="61"/>
      <c r="BJ643" s="61"/>
      <c r="BK643" s="61"/>
      <c r="BL643" s="61"/>
      <c r="BM643" s="61"/>
      <c r="BN643" s="2227">
        <f t="shared" si="31"/>
        <v>0</v>
      </c>
      <c r="BO643" s="2228"/>
      <c r="BP643" s="2228"/>
      <c r="BQ643" s="2228"/>
      <c r="BR643" s="2229"/>
      <c r="BS643" s="2114">
        <f t="shared" si="32"/>
        <v>0</v>
      </c>
      <c r="BT643" s="2114"/>
      <c r="BU643" s="2114"/>
      <c r="BV643" s="2114"/>
      <c r="BW643" s="2114"/>
      <c r="BX643" s="2114">
        <f t="shared" si="33"/>
        <v>0</v>
      </c>
      <c r="BY643" s="2114"/>
      <c r="BZ643" s="2114"/>
      <c r="CA643" s="2114"/>
      <c r="CB643" s="2114"/>
      <c r="CC643" s="2114">
        <f t="shared" si="34"/>
        <v>0</v>
      </c>
      <c r="CD643" s="2114"/>
      <c r="CE643" s="2114"/>
      <c r="CF643" s="2114"/>
      <c r="CG643" s="2114"/>
      <c r="CH643" s="2114">
        <f t="shared" si="35"/>
        <v>0</v>
      </c>
      <c r="CI643" s="2114"/>
      <c r="CJ643" s="2114"/>
      <c r="CK643" s="2114"/>
      <c r="CL643" s="2114"/>
      <c r="CM643" s="2114">
        <f t="shared" si="36"/>
        <v>0</v>
      </c>
      <c r="CN643" s="2114"/>
      <c r="CO643" s="2114"/>
      <c r="CP643" s="2114"/>
      <c r="CQ643" s="2114"/>
      <c r="CR643" s="264"/>
      <c r="CS643" s="2227">
        <f t="shared" si="37"/>
        <v>0</v>
      </c>
      <c r="CT643" s="2228"/>
      <c r="CU643" s="2228"/>
      <c r="CV643" s="2228"/>
      <c r="CW643" s="2229"/>
      <c r="CX643" s="2227">
        <f t="shared" si="38"/>
        <v>0</v>
      </c>
      <c r="CY643" s="2228"/>
      <c r="CZ643" s="2228"/>
      <c r="DA643" s="2228"/>
      <c r="DB643" s="2229"/>
      <c r="DC643" s="2227">
        <f t="shared" si="39"/>
        <v>0</v>
      </c>
      <c r="DD643" s="2228"/>
      <c r="DE643" s="2228"/>
      <c r="DF643" s="2228"/>
      <c r="DG643" s="2229"/>
      <c r="DH643" s="2227">
        <f t="shared" si="40"/>
        <v>0</v>
      </c>
      <c r="DI643" s="2228"/>
      <c r="DJ643" s="2228"/>
      <c r="DK643" s="2228"/>
      <c r="DL643" s="2229"/>
      <c r="DM643" s="2227">
        <f t="shared" si="41"/>
        <v>0</v>
      </c>
      <c r="DN643" s="2228"/>
      <c r="DO643" s="2228"/>
      <c r="DP643" s="2228"/>
      <c r="DQ643" s="2229"/>
      <c r="DR643" s="2227">
        <f t="shared" si="42"/>
        <v>0</v>
      </c>
      <c r="DS643" s="2228"/>
      <c r="DT643" s="2228"/>
      <c r="DU643" s="2228"/>
      <c r="DV643" s="2229"/>
      <c r="DX643" s="2609" t="e">
        <f t="shared" si="24"/>
        <v>#VALUE!</v>
      </c>
      <c r="DY643" s="2609"/>
      <c r="DZ643" s="2609"/>
      <c r="EA643" s="2609"/>
      <c r="EB643" s="2609"/>
      <c r="EC643" s="2609" t="e">
        <f t="shared" si="25"/>
        <v>#VALUE!</v>
      </c>
      <c r="ED643" s="2609"/>
      <c r="EE643" s="2609"/>
      <c r="EF643" s="2609"/>
      <c r="EG643" s="2609"/>
      <c r="EH643" s="2609" t="e">
        <f t="shared" si="26"/>
        <v>#VALUE!</v>
      </c>
      <c r="EI643" s="2609"/>
      <c r="EJ643" s="2609"/>
      <c r="EK643" s="2609"/>
      <c r="EL643" s="2609"/>
      <c r="EM643" s="2609" t="e">
        <f t="shared" si="27"/>
        <v>#VALUE!</v>
      </c>
      <c r="EN643" s="2609"/>
      <c r="EO643" s="2609"/>
      <c r="EP643" s="2609"/>
      <c r="EQ643" s="2609"/>
      <c r="ER643" s="2609" t="e">
        <f t="shared" si="28"/>
        <v>#VALUE!</v>
      </c>
      <c r="ES643" s="2609"/>
      <c r="ET643" s="2609"/>
      <c r="EU643" s="2609"/>
      <c r="EV643" s="2609"/>
      <c r="EW643" s="2609" t="e">
        <f t="shared" si="29"/>
        <v>#VALUE!</v>
      </c>
      <c r="EX643" s="2609"/>
      <c r="EY643" s="2609"/>
      <c r="EZ643" s="2609"/>
      <c r="FA643" s="2609"/>
    </row>
    <row r="644" spans="1:157" ht="12.95" customHeight="1">
      <c r="A644" s="35"/>
      <c r="B644" s="12" t="s">
        <v>18</v>
      </c>
      <c r="H644" s="2113" t="s">
        <v>2746</v>
      </c>
      <c r="I644" s="2113"/>
      <c r="J644" s="2113"/>
      <c r="K644" s="2113"/>
      <c r="L644" s="2113"/>
      <c r="M644" s="2113"/>
      <c r="N644" s="2113"/>
      <c r="O644" s="2113"/>
      <c r="P644" s="2113"/>
      <c r="Q644" s="2113"/>
      <c r="R644" s="2113"/>
      <c r="S644" s="14"/>
      <c r="T644" s="35"/>
      <c r="U644" s="12" t="s">
        <v>18</v>
      </c>
      <c r="AA644" s="2113" t="s">
        <v>2737</v>
      </c>
      <c r="AB644" s="2113"/>
      <c r="AC644" s="2113"/>
      <c r="AD644" s="2113"/>
      <c r="AE644" s="2113"/>
      <c r="AF644" s="2113"/>
      <c r="AG644" s="2113"/>
      <c r="AH644" s="2113"/>
      <c r="AI644" s="2113"/>
      <c r="AJ644" s="2113"/>
      <c r="AK644" s="2113"/>
      <c r="AZ644" s="61"/>
      <c r="BA644" s="61"/>
      <c r="BB644" s="61"/>
      <c r="BC644" s="61"/>
      <c r="BD644" s="61"/>
      <c r="BE644" s="61"/>
      <c r="BF644" s="61"/>
      <c r="BG644" s="61"/>
      <c r="BH644" s="61"/>
      <c r="BI644" s="61"/>
      <c r="BJ644" s="61"/>
      <c r="BK644" s="61"/>
      <c r="BL644" s="61"/>
      <c r="BM644" s="61"/>
      <c r="BN644" s="2230">
        <f>SUM(BN634:BR643)</f>
        <v>0</v>
      </c>
      <c r="BO644" s="2232"/>
      <c r="BP644" s="2232"/>
      <c r="BQ644" s="2232"/>
      <c r="BR644" s="2231"/>
      <c r="BS644" s="2426">
        <f>SUM(BS634:BW643)</f>
        <v>0</v>
      </c>
      <c r="BT644" s="2427"/>
      <c r="BU644" s="2427"/>
      <c r="BV644" s="2427"/>
      <c r="BW644" s="2428"/>
      <c r="BX644" s="2426">
        <f>SUM(BX634:CB643)</f>
        <v>0</v>
      </c>
      <c r="BY644" s="2427"/>
      <c r="BZ644" s="2427"/>
      <c r="CA644" s="2427"/>
      <c r="CB644" s="2428"/>
      <c r="CC644" s="2426">
        <f>SUM(CC634:CG643)</f>
        <v>0</v>
      </c>
      <c r="CD644" s="2427"/>
      <c r="CE644" s="2427"/>
      <c r="CF644" s="2427"/>
      <c r="CG644" s="2428"/>
      <c r="CH644" s="2426">
        <f>SUM(CH634:CL643)</f>
        <v>0</v>
      </c>
      <c r="CI644" s="2427"/>
      <c r="CJ644" s="2427"/>
      <c r="CK644" s="2427"/>
      <c r="CL644" s="2428"/>
      <c r="CM644" s="2426">
        <f>SUM(CM634:CQ643)</f>
        <v>0</v>
      </c>
      <c r="CN644" s="2427"/>
      <c r="CO644" s="2427"/>
      <c r="CP644" s="2427"/>
      <c r="CQ644" s="2428"/>
      <c r="CR644" s="1638"/>
      <c r="CS644" s="2610">
        <f>SUM(CS634:CW643)</f>
        <v>0</v>
      </c>
      <c r="CT644" s="2610"/>
      <c r="CU644" s="2610"/>
      <c r="CV644" s="2610"/>
      <c r="CW644" s="2610"/>
      <c r="CX644" s="2610">
        <f>SUM(CX634:DB643)</f>
        <v>0</v>
      </c>
      <c r="CY644" s="2610"/>
      <c r="CZ644" s="2610"/>
      <c r="DA644" s="2610"/>
      <c r="DB644" s="2610"/>
      <c r="DC644" s="2610">
        <f>SUM(DC634:DG643)</f>
        <v>0</v>
      </c>
      <c r="DD644" s="2610"/>
      <c r="DE644" s="2610"/>
      <c r="DF644" s="2610"/>
      <c r="DG644" s="2610"/>
      <c r="DH644" s="2610">
        <f>SUM(DH634:DL643)</f>
        <v>0</v>
      </c>
      <c r="DI644" s="2610"/>
      <c r="DJ644" s="2610"/>
      <c r="DK644" s="2610"/>
      <c r="DL644" s="2610"/>
      <c r="DM644" s="2610">
        <f>SUM(DM634:DQ643)</f>
        <v>0</v>
      </c>
      <c r="DN644" s="2610"/>
      <c r="DO644" s="2610"/>
      <c r="DP644" s="2610"/>
      <c r="DQ644" s="2610"/>
      <c r="DR644" s="2610">
        <f>SUM(DR634:DV643)</f>
        <v>0</v>
      </c>
      <c r="DS644" s="2610"/>
      <c r="DT644" s="2610"/>
      <c r="DU644" s="2610"/>
      <c r="DV644" s="2610"/>
      <c r="DX644" s="2609" t="e">
        <f t="shared" si="24"/>
        <v>#VALUE!</v>
      </c>
      <c r="DY644" s="2609"/>
      <c r="DZ644" s="2609"/>
      <c r="EA644" s="2609"/>
      <c r="EB644" s="2609"/>
      <c r="EC644" s="2609" t="e">
        <f t="shared" si="25"/>
        <v>#VALUE!</v>
      </c>
      <c r="ED644" s="2609"/>
      <c r="EE644" s="2609"/>
      <c r="EF644" s="2609"/>
      <c r="EG644" s="2609"/>
      <c r="EH644" s="2609" t="e">
        <f t="shared" si="26"/>
        <v>#VALUE!</v>
      </c>
      <c r="EI644" s="2609"/>
      <c r="EJ644" s="2609"/>
      <c r="EK644" s="2609"/>
      <c r="EL644" s="2609"/>
      <c r="EM644" s="2609" t="e">
        <f t="shared" si="27"/>
        <v>#VALUE!</v>
      </c>
      <c r="EN644" s="2609"/>
      <c r="EO644" s="2609"/>
      <c r="EP644" s="2609"/>
      <c r="EQ644" s="2609"/>
      <c r="ER644" s="2609" t="e">
        <f t="shared" si="28"/>
        <v>#VALUE!</v>
      </c>
      <c r="ES644" s="2609"/>
      <c r="ET644" s="2609"/>
      <c r="EU644" s="2609"/>
      <c r="EV644" s="2609"/>
      <c r="EW644" s="2609" t="e">
        <f t="shared" si="29"/>
        <v>#VALUE!</v>
      </c>
      <c r="EX644" s="2609"/>
      <c r="EY644" s="2609"/>
      <c r="EZ644" s="2609"/>
      <c r="FA644" s="2609"/>
    </row>
    <row r="645" spans="1:157" ht="12.95" customHeight="1">
      <c r="A645" s="35"/>
      <c r="B645" s="12" t="s">
        <v>20</v>
      </c>
      <c r="N645" s="2095" t="s">
        <v>554</v>
      </c>
      <c r="O645" s="2095"/>
      <c r="T645" s="35"/>
      <c r="U645" s="12" t="s">
        <v>20</v>
      </c>
      <c r="AG645" s="2095" t="s">
        <v>554</v>
      </c>
      <c r="AH645" s="2095"/>
      <c r="AZ645" s="61"/>
      <c r="BA645" s="61"/>
      <c r="BB645" s="61"/>
      <c r="BC645" s="61"/>
      <c r="BD645" s="61"/>
      <c r="BE645" s="61"/>
      <c r="BF645" s="61"/>
      <c r="BG645" s="61"/>
      <c r="BH645" s="61"/>
      <c r="BI645" s="61"/>
      <c r="BJ645" s="61"/>
      <c r="BK645" s="61"/>
      <c r="BL645" s="61"/>
      <c r="BM645" s="61"/>
      <c r="BN645" s="708"/>
      <c r="BO645" s="708"/>
      <c r="BP645" s="708"/>
      <c r="BQ645" s="708"/>
      <c r="BR645" s="1358">
        <f>BN644*1</f>
        <v>0</v>
      </c>
      <c r="BS645" s="58"/>
      <c r="BT645" s="58"/>
      <c r="BU645" s="58"/>
      <c r="BV645" s="58"/>
      <c r="BW645" s="1358">
        <f>BS644*1</f>
        <v>0</v>
      </c>
      <c r="BX645" s="58"/>
      <c r="BY645" s="58"/>
      <c r="BZ645" s="58"/>
      <c r="CA645" s="58"/>
      <c r="CB645" s="1358">
        <f>BX644*2</f>
        <v>0</v>
      </c>
      <c r="CC645" s="58"/>
      <c r="CD645" s="58"/>
      <c r="CE645" s="58"/>
      <c r="CF645" s="58"/>
      <c r="CG645" s="1358">
        <f>CC644*3</f>
        <v>0</v>
      </c>
      <c r="CH645" s="58"/>
      <c r="CI645" s="58"/>
      <c r="CJ645" s="58"/>
      <c r="CK645" s="58"/>
      <c r="CL645" s="1358">
        <f>CH644*4</f>
        <v>0</v>
      </c>
      <c r="CM645" s="58"/>
      <c r="CN645" s="58"/>
      <c r="CO645" s="58"/>
      <c r="CP645" s="58"/>
      <c r="CQ645" s="1358">
        <f>CM644*5</f>
        <v>0</v>
      </c>
      <c r="CR645" s="177"/>
      <c r="CS645" s="708"/>
      <c r="CT645" s="708"/>
      <c r="CU645" s="708"/>
      <c r="CV645" s="708"/>
      <c r="CW645" s="177"/>
      <c r="CX645" s="177"/>
      <c r="CY645" s="177"/>
      <c r="CZ645" s="177"/>
      <c r="DA645" s="177"/>
      <c r="DB645" s="177"/>
      <c r="DC645" s="177"/>
      <c r="DD645" s="177"/>
      <c r="DE645" s="177"/>
      <c r="DF645" s="177"/>
      <c r="DG645" s="177"/>
      <c r="DH645" s="177"/>
      <c r="DI645" s="177"/>
      <c r="DJ645" s="177"/>
      <c r="DK645" s="177"/>
      <c r="DL645" s="177"/>
      <c r="DM645" s="177"/>
      <c r="DN645" s="177"/>
      <c r="DO645" s="177"/>
      <c r="DP645" s="177"/>
      <c r="DQ645" s="177"/>
      <c r="DR645" s="177"/>
      <c r="DS645" s="177"/>
      <c r="DT645" s="177"/>
      <c r="DU645" s="177"/>
      <c r="DV645" s="177"/>
      <c r="DX645" s="2609" t="e">
        <f t="shared" si="24"/>
        <v>#VALUE!</v>
      </c>
      <c r="DY645" s="2609"/>
      <c r="DZ645" s="2609"/>
      <c r="EA645" s="2609"/>
      <c r="EB645" s="2609"/>
      <c r="EC645" s="2609" t="e">
        <f t="shared" si="25"/>
        <v>#VALUE!</v>
      </c>
      <c r="ED645" s="2609"/>
      <c r="EE645" s="2609"/>
      <c r="EF645" s="2609"/>
      <c r="EG645" s="2609"/>
      <c r="EH645" s="2609" t="e">
        <f t="shared" si="26"/>
        <v>#VALUE!</v>
      </c>
      <c r="EI645" s="2609"/>
      <c r="EJ645" s="2609"/>
      <c r="EK645" s="2609"/>
      <c r="EL645" s="2609"/>
      <c r="EM645" s="2609" t="e">
        <f t="shared" si="27"/>
        <v>#VALUE!</v>
      </c>
      <c r="EN645" s="2609"/>
      <c r="EO645" s="2609"/>
      <c r="EP645" s="2609"/>
      <c r="EQ645" s="2609"/>
      <c r="ER645" s="2609" t="e">
        <f t="shared" si="28"/>
        <v>#VALUE!</v>
      </c>
      <c r="ES645" s="2609"/>
      <c r="ET645" s="2609"/>
      <c r="EU645" s="2609"/>
      <c r="EV645" s="2609"/>
      <c r="EW645" s="2609" t="e">
        <f t="shared" si="29"/>
        <v>#VALUE!</v>
      </c>
      <c r="EX645" s="2609"/>
      <c r="EY645" s="2609"/>
      <c r="EZ645" s="2609"/>
      <c r="FA645" s="2609"/>
    </row>
    <row r="646" spans="1:157" ht="12.95" customHeight="1">
      <c r="A646" s="35"/>
      <c r="T646" s="35"/>
      <c r="AZ646" s="61"/>
      <c r="BA646" s="61"/>
      <c r="BB646" s="61"/>
      <c r="BC646" s="61"/>
      <c r="BD646" s="61"/>
      <c r="BE646" s="61"/>
      <c r="BF646" s="61"/>
      <c r="BG646" s="61"/>
      <c r="BH646" s="61"/>
      <c r="BI646" s="61"/>
      <c r="BJ646" s="61"/>
      <c r="BK646" s="61"/>
      <c r="BL646" s="61"/>
      <c r="BM646" s="61"/>
      <c r="CR646" s="177"/>
      <c r="CS646" s="1358">
        <f>BN644+BS644+BX644+CC644+CH644+CM644</f>
        <v>0</v>
      </c>
      <c r="CT646" s="134" t="s">
        <v>2115</v>
      </c>
      <c r="CU646" s="58"/>
      <c r="CV646" s="58"/>
      <c r="CW646" s="58"/>
      <c r="CX646" s="58"/>
      <c r="CY646" s="58"/>
      <c r="CZ646" s="58"/>
      <c r="DA646" s="58"/>
      <c r="DB646" s="58"/>
      <c r="DC646" s="58"/>
      <c r="DD646" s="58"/>
      <c r="DE646" s="58"/>
      <c r="DF646" s="58"/>
      <c r="DQ646" s="136" t="s">
        <v>2127</v>
      </c>
      <c r="DR646" s="2609">
        <f>SUM(CS644:DV644)</f>
        <v>0</v>
      </c>
      <c r="DS646" s="2609"/>
      <c r="DT646" s="2609"/>
      <c r="DU646" s="2609"/>
      <c r="DV646" s="2609"/>
      <c r="DX646" s="2609" t="e">
        <f t="shared" si="24"/>
        <v>#VALUE!</v>
      </c>
      <c r="DY646" s="2609"/>
      <c r="DZ646" s="2609"/>
      <c r="EA646" s="2609"/>
      <c r="EB646" s="2609"/>
      <c r="EC646" s="2609" t="e">
        <f t="shared" si="25"/>
        <v>#VALUE!</v>
      </c>
      <c r="ED646" s="2609"/>
      <c r="EE646" s="2609"/>
      <c r="EF646" s="2609"/>
      <c r="EG646" s="2609"/>
      <c r="EH646" s="2609" t="e">
        <f t="shared" si="26"/>
        <v>#VALUE!</v>
      </c>
      <c r="EI646" s="2609"/>
      <c r="EJ646" s="2609"/>
      <c r="EK646" s="2609"/>
      <c r="EL646" s="2609"/>
      <c r="EM646" s="2609" t="e">
        <f t="shared" si="27"/>
        <v>#VALUE!</v>
      </c>
      <c r="EN646" s="2609"/>
      <c r="EO646" s="2609"/>
      <c r="EP646" s="2609"/>
      <c r="EQ646" s="2609"/>
      <c r="ER646" s="2609" t="e">
        <f t="shared" si="28"/>
        <v>#VALUE!</v>
      </c>
      <c r="ES646" s="2609"/>
      <c r="ET646" s="2609"/>
      <c r="EU646" s="2609"/>
      <c r="EV646" s="2609"/>
      <c r="EW646" s="2609" t="e">
        <f t="shared" si="29"/>
        <v>#VALUE!</v>
      </c>
      <c r="EX646" s="2609"/>
      <c r="EY646" s="2609"/>
      <c r="EZ646" s="2609"/>
      <c r="FA646" s="2609"/>
    </row>
    <row r="647" spans="1:157" ht="12.95" customHeight="1">
      <c r="A647" s="87" t="s">
        <v>120</v>
      </c>
      <c r="B647" s="12" t="s">
        <v>472</v>
      </c>
      <c r="G647" s="2238" t="str">
        <f>C625</f>
        <v>City of Palm Springs</v>
      </c>
      <c r="H647" s="2238"/>
      <c r="I647" s="2238"/>
      <c r="J647" s="2238"/>
      <c r="K647" s="2238"/>
      <c r="L647" s="2238"/>
      <c r="M647" s="2238"/>
      <c r="N647" s="2238"/>
      <c r="O647" s="2238"/>
      <c r="P647" s="2238"/>
      <c r="Q647" s="2238"/>
      <c r="R647" s="2238"/>
      <c r="T647" s="87" t="s">
        <v>590</v>
      </c>
      <c r="U647" s="12" t="s">
        <v>472</v>
      </c>
      <c r="Z647" s="2238" t="str">
        <f>C626</f>
        <v>FHLBSF AHP</v>
      </c>
      <c r="AA647" s="2238"/>
      <c r="AB647" s="2238"/>
      <c r="AC647" s="2238"/>
      <c r="AD647" s="2238"/>
      <c r="AE647" s="2238"/>
      <c r="AF647" s="2238"/>
      <c r="AG647" s="2238"/>
      <c r="AH647" s="2238"/>
      <c r="AI647" s="2238"/>
      <c r="AJ647" s="2238"/>
      <c r="AK647" s="2238"/>
      <c r="AZ647" s="61"/>
      <c r="BA647" s="61"/>
      <c r="BB647" s="61"/>
      <c r="BC647" s="61"/>
      <c r="BD647" s="61"/>
      <c r="BE647" s="61"/>
      <c r="BF647" s="61"/>
      <c r="BG647" s="61"/>
      <c r="BH647" s="61"/>
      <c r="BI647" s="61"/>
      <c r="BJ647" s="61"/>
      <c r="BK647" s="61"/>
      <c r="BL647" s="61"/>
      <c r="BM647" s="61"/>
      <c r="CR647" s="177"/>
      <c r="CS647" s="1358">
        <f>BR645+BW645+CB645+CG645+CL645+CQ645</f>
        <v>0</v>
      </c>
      <c r="CT647" s="134" t="s">
        <v>1808</v>
      </c>
      <c r="CU647" s="58"/>
      <c r="CV647" s="58"/>
      <c r="CW647" s="58"/>
      <c r="CX647" s="58"/>
      <c r="CY647" s="58"/>
      <c r="CZ647" s="58"/>
      <c r="DA647" s="58"/>
      <c r="DB647" s="58"/>
      <c r="DC647" s="58"/>
      <c r="DD647" s="58"/>
      <c r="DE647" s="58"/>
      <c r="DF647" s="58"/>
      <c r="DX647" s="2609" t="e">
        <f t="shared" si="24"/>
        <v>#VALUE!</v>
      </c>
      <c r="DY647" s="2609"/>
      <c r="DZ647" s="2609"/>
      <c r="EA647" s="2609"/>
      <c r="EB647" s="2609"/>
      <c r="EC647" s="2609" t="e">
        <f t="shared" si="25"/>
        <v>#VALUE!</v>
      </c>
      <c r="ED647" s="2609"/>
      <c r="EE647" s="2609"/>
      <c r="EF647" s="2609"/>
      <c r="EG647" s="2609"/>
      <c r="EH647" s="2609" t="e">
        <f t="shared" si="26"/>
        <v>#VALUE!</v>
      </c>
      <c r="EI647" s="2609"/>
      <c r="EJ647" s="2609"/>
      <c r="EK647" s="2609"/>
      <c r="EL647" s="2609"/>
      <c r="EM647" s="2609" t="e">
        <f t="shared" si="27"/>
        <v>#VALUE!</v>
      </c>
      <c r="EN647" s="2609"/>
      <c r="EO647" s="2609"/>
      <c r="EP647" s="2609"/>
      <c r="EQ647" s="2609"/>
      <c r="ER647" s="2609" t="e">
        <f t="shared" si="28"/>
        <v>#VALUE!</v>
      </c>
      <c r="ES647" s="2609"/>
      <c r="ET647" s="2609"/>
      <c r="EU647" s="2609"/>
      <c r="EV647" s="2609"/>
      <c r="EW647" s="2609" t="e">
        <f t="shared" si="29"/>
        <v>#VALUE!</v>
      </c>
      <c r="EX647" s="2609"/>
      <c r="EY647" s="2609"/>
      <c r="EZ647" s="2609"/>
      <c r="FA647" s="2609"/>
    </row>
    <row r="648" spans="1:157" ht="12.95" customHeight="1">
      <c r="A648" s="35"/>
      <c r="B648" s="12" t="s">
        <v>86</v>
      </c>
      <c r="G648" s="1911" t="s">
        <v>2735</v>
      </c>
      <c r="H648" s="1911"/>
      <c r="I648" s="1911"/>
      <c r="J648" s="1911"/>
      <c r="K648" s="1911"/>
      <c r="L648" s="1911"/>
      <c r="M648" s="1911"/>
      <c r="N648" s="1911"/>
      <c r="O648" s="1911"/>
      <c r="P648" s="1911"/>
      <c r="Q648" s="1911"/>
      <c r="R648" s="1911"/>
      <c r="T648" s="35"/>
      <c r="U648" s="12" t="s">
        <v>86</v>
      </c>
      <c r="Z648" s="2429" t="s">
        <v>2741</v>
      </c>
      <c r="AA648" s="2429"/>
      <c r="AB648" s="2429"/>
      <c r="AC648" s="2429"/>
      <c r="AD648" s="2429"/>
      <c r="AE648" s="2429"/>
      <c r="AF648" s="2429"/>
      <c r="AG648" s="2429"/>
      <c r="AH648" s="2429"/>
      <c r="AI648" s="2429"/>
      <c r="AJ648" s="2429"/>
      <c r="AK648" s="2429"/>
      <c r="AZ648" s="61"/>
      <c r="BA648" s="61"/>
      <c r="BB648" s="61"/>
      <c r="BC648" s="61"/>
      <c r="BD648" s="61"/>
      <c r="BE648" s="61"/>
      <c r="BF648" s="61"/>
      <c r="BG648" s="61"/>
      <c r="BH648" s="61"/>
      <c r="BI648" s="61"/>
      <c r="BJ648" s="61"/>
      <c r="BK648" s="61"/>
      <c r="BL648" s="61"/>
      <c r="BM648" s="61"/>
      <c r="BN648" s="61" t="s">
        <v>106</v>
      </c>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177"/>
      <c r="CV648" s="58"/>
      <c r="CW648" s="58"/>
      <c r="CX648" s="58"/>
      <c r="CY648" s="58"/>
      <c r="CZ648" s="58"/>
      <c r="DA648" s="58"/>
      <c r="DB648" s="58"/>
      <c r="DC648" s="58"/>
      <c r="DD648" s="58"/>
      <c r="DE648" s="58"/>
      <c r="DF648" s="58"/>
      <c r="DX648" s="2609" t="e">
        <f t="shared" si="24"/>
        <v>#VALUE!</v>
      </c>
      <c r="DY648" s="2609"/>
      <c r="DZ648" s="2609"/>
      <c r="EA648" s="2609"/>
      <c r="EB648" s="2609"/>
      <c r="EC648" s="2609" t="e">
        <f t="shared" si="25"/>
        <v>#VALUE!</v>
      </c>
      <c r="ED648" s="2609"/>
      <c r="EE648" s="2609"/>
      <c r="EF648" s="2609"/>
      <c r="EG648" s="2609"/>
      <c r="EH648" s="2609" t="e">
        <f t="shared" si="26"/>
        <v>#VALUE!</v>
      </c>
      <c r="EI648" s="2609"/>
      <c r="EJ648" s="2609"/>
      <c r="EK648" s="2609"/>
      <c r="EL648" s="2609"/>
      <c r="EM648" s="2609" t="e">
        <f t="shared" si="27"/>
        <v>#VALUE!</v>
      </c>
      <c r="EN648" s="2609"/>
      <c r="EO648" s="2609"/>
      <c r="EP648" s="2609"/>
      <c r="EQ648" s="2609"/>
      <c r="ER648" s="2609" t="e">
        <f t="shared" si="28"/>
        <v>#VALUE!</v>
      </c>
      <c r="ES648" s="2609"/>
      <c r="ET648" s="2609"/>
      <c r="EU648" s="2609"/>
      <c r="EV648" s="2609"/>
      <c r="EW648" s="2609" t="e">
        <f t="shared" si="29"/>
        <v>#VALUE!</v>
      </c>
      <c r="EX648" s="2609"/>
      <c r="EY648" s="2609"/>
      <c r="EZ648" s="2609"/>
      <c r="FA648" s="2609"/>
    </row>
    <row r="649" spans="1:157" ht="12.95" customHeight="1">
      <c r="A649" s="35"/>
      <c r="B649" s="12" t="s">
        <v>589</v>
      </c>
      <c r="G649" s="1909" t="s">
        <v>2618</v>
      </c>
      <c r="H649" s="1909"/>
      <c r="I649" s="1909"/>
      <c r="J649" s="1909"/>
      <c r="K649" s="1909"/>
      <c r="L649" s="1909"/>
      <c r="M649" s="1909"/>
      <c r="N649" s="1909"/>
      <c r="O649" s="1909"/>
      <c r="P649" s="1909"/>
      <c r="Q649" s="1909"/>
      <c r="R649" s="1909"/>
      <c r="T649" s="35"/>
      <c r="U649" s="12" t="s">
        <v>589</v>
      </c>
      <c r="Z649" s="2236" t="s">
        <v>742</v>
      </c>
      <c r="AA649" s="2236"/>
      <c r="AB649" s="2236"/>
      <c r="AC649" s="2236"/>
      <c r="AD649" s="2236"/>
      <c r="AE649" s="2236"/>
      <c r="AF649" s="2236"/>
      <c r="AG649" s="2236"/>
      <c r="AH649" s="2236"/>
      <c r="AI649" s="2236"/>
      <c r="AJ649" s="2236"/>
      <c r="AK649" s="2236"/>
      <c r="AZ649" s="61"/>
      <c r="BA649" s="61"/>
      <c r="BB649" s="61"/>
      <c r="BC649" s="61"/>
      <c r="BD649" s="61"/>
      <c r="BE649" s="61"/>
      <c r="BF649" s="61"/>
      <c r="BG649" s="61"/>
      <c r="BH649" s="61"/>
      <c r="BI649" s="61"/>
      <c r="BJ649" s="61"/>
      <c r="BK649" s="61"/>
      <c r="BL649" s="61"/>
      <c r="BM649" s="61"/>
      <c r="BN649" s="2426">
        <f>BN621+BN630+BN644</f>
        <v>0</v>
      </c>
      <c r="BO649" s="2427"/>
      <c r="BP649" s="2427"/>
      <c r="BQ649" s="2427"/>
      <c r="BR649" s="2428"/>
      <c r="BS649" s="2426">
        <f>BS621+BS630+BS644</f>
        <v>71</v>
      </c>
      <c r="BT649" s="2427"/>
      <c r="BU649" s="2427"/>
      <c r="BV649" s="2427"/>
      <c r="BW649" s="2428"/>
      <c r="BX649" s="2426">
        <f>BX621+BX630+BX644</f>
        <v>0</v>
      </c>
      <c r="BY649" s="2427"/>
      <c r="BZ649" s="2427"/>
      <c r="CA649" s="2427"/>
      <c r="CB649" s="2428"/>
      <c r="CC649" s="2426">
        <f>CC621+CC630+CC644</f>
        <v>0</v>
      </c>
      <c r="CD649" s="2427"/>
      <c r="CE649" s="2427"/>
      <c r="CF649" s="2427"/>
      <c r="CG649" s="2428"/>
      <c r="CH649" s="2426">
        <f>CH621+CH630+CH644</f>
        <v>0</v>
      </c>
      <c r="CI649" s="2427"/>
      <c r="CJ649" s="2427"/>
      <c r="CK649" s="2427"/>
      <c r="CL649" s="2428"/>
      <c r="CM649" s="2136">
        <f>CM644+CM630+CM621</f>
        <v>0</v>
      </c>
      <c r="CN649" s="2605"/>
      <c r="CO649" s="2605"/>
      <c r="CP649" s="2605"/>
      <c r="CQ649" s="2137"/>
      <c r="CR649" s="177"/>
      <c r="CS649" s="1358">
        <f>CS623+CS647</f>
        <v>69</v>
      </c>
      <c r="CT649" s="134" t="s">
        <v>2120</v>
      </c>
      <c r="CU649" s="58"/>
      <c r="CV649" s="58"/>
      <c r="CW649" s="58"/>
      <c r="CX649" s="58"/>
      <c r="CY649" s="58"/>
      <c r="CZ649" s="58"/>
      <c r="DA649" s="58"/>
      <c r="DB649" s="58"/>
      <c r="DC649" s="58"/>
      <c r="DD649" s="58"/>
      <c r="DE649" s="58"/>
      <c r="DF649" s="58"/>
      <c r="DX649" s="2609">
        <f>SUMIF(DX624:EB648,"&gt;0")</f>
        <v>0</v>
      </c>
      <c r="DY649" s="2609"/>
      <c r="DZ649" s="2609"/>
      <c r="EA649" s="2609"/>
      <c r="EB649" s="2609"/>
      <c r="EC649" s="2609">
        <f>SUMIF(EC624:EG648,"&gt;0")</f>
        <v>739.695652173913</v>
      </c>
      <c r="ED649" s="2609"/>
      <c r="EE649" s="2609"/>
      <c r="EF649" s="2609"/>
      <c r="EG649" s="2609"/>
      <c r="EH649" s="2609">
        <f>SUMIF(EH624:EL648,"&gt;0")</f>
        <v>0</v>
      </c>
      <c r="EI649" s="2609"/>
      <c r="EJ649" s="2609"/>
      <c r="EK649" s="2609"/>
      <c r="EL649" s="2609"/>
      <c r="EM649" s="2609">
        <f>SUMIF(EM624:EQ648,"&gt;0")</f>
        <v>0</v>
      </c>
      <c r="EN649" s="2609"/>
      <c r="EO649" s="2609"/>
      <c r="EP649" s="2609"/>
      <c r="EQ649" s="2609"/>
      <c r="ER649" s="2609">
        <f>SUMIF(ER624:EV648,"&gt;0")</f>
        <v>0</v>
      </c>
      <c r="ES649" s="2609"/>
      <c r="ET649" s="2609"/>
      <c r="EU649" s="2609"/>
      <c r="EV649" s="2609"/>
      <c r="EW649" s="2609">
        <f>SUMIF(EW624:FA648,"&gt;0")</f>
        <v>0</v>
      </c>
      <c r="EX649" s="2609"/>
      <c r="EY649" s="2609"/>
      <c r="EZ649" s="2609"/>
      <c r="FA649" s="2609"/>
    </row>
    <row r="650" spans="1:157" ht="12.95" customHeight="1">
      <c r="A650" s="35"/>
      <c r="B650" s="12" t="s">
        <v>17</v>
      </c>
      <c r="G650" s="1909" t="s">
        <v>2704</v>
      </c>
      <c r="H650" s="1909"/>
      <c r="I650" s="1909"/>
      <c r="J650" s="1909"/>
      <c r="K650" s="1909"/>
      <c r="L650" s="1909"/>
      <c r="M650" s="1909"/>
      <c r="N650" s="1909"/>
      <c r="O650" s="1909"/>
      <c r="P650" s="1909"/>
      <c r="Q650" s="1909"/>
      <c r="R650" s="1909"/>
      <c r="T650" s="35"/>
      <c r="U650" s="12" t="s">
        <v>17</v>
      </c>
      <c r="Z650" s="2236" t="s">
        <v>2742</v>
      </c>
      <c r="AA650" s="2236"/>
      <c r="AB650" s="2236"/>
      <c r="AC650" s="2236"/>
      <c r="AD650" s="2236"/>
      <c r="AE650" s="2236"/>
      <c r="AF650" s="2236"/>
      <c r="AG650" s="2236"/>
      <c r="AH650" s="2236"/>
      <c r="AI650" s="2236"/>
      <c r="AJ650" s="2236"/>
      <c r="AK650" s="2236"/>
      <c r="AZ650" s="61"/>
      <c r="BA650" s="61"/>
      <c r="BB650" s="61"/>
      <c r="BC650" s="61"/>
      <c r="BD650" s="61"/>
      <c r="BE650" s="61"/>
      <c r="BF650" s="61"/>
      <c r="BG650" s="61"/>
      <c r="BH650" s="61"/>
      <c r="BI650" s="61"/>
      <c r="BJ650" s="61"/>
      <c r="BK650" s="61"/>
      <c r="BL650" s="61"/>
      <c r="BM650" s="61"/>
      <c r="BN650" s="61"/>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177"/>
      <c r="CS650" s="58"/>
      <c r="CT650" s="58"/>
      <c r="CU650" s="58"/>
      <c r="CV650" s="58"/>
      <c r="CW650" s="58"/>
      <c r="CX650" s="58"/>
      <c r="CY650" s="58"/>
      <c r="CZ650" s="58"/>
      <c r="DA650" s="58"/>
      <c r="DB650" s="58"/>
      <c r="DC650" s="58"/>
      <c r="DD650" s="58"/>
      <c r="DE650" s="58"/>
      <c r="DF650" s="58"/>
      <c r="DX650" s="708"/>
      <c r="DY650" s="708"/>
      <c r="DZ650" s="708"/>
      <c r="EA650" s="708"/>
      <c r="EB650" s="708"/>
      <c r="EC650" s="708"/>
      <c r="ED650" s="708"/>
      <c r="EE650" s="708"/>
      <c r="EF650" s="708"/>
      <c r="EG650" s="708"/>
      <c r="EH650" s="708"/>
      <c r="EI650" s="708"/>
      <c r="EJ650" s="708"/>
      <c r="EK650" s="708"/>
      <c r="EL650" s="708"/>
      <c r="EM650" s="708"/>
      <c r="EN650" s="708"/>
      <c r="EO650" s="708"/>
      <c r="EP650" s="708"/>
      <c r="EQ650" s="708"/>
      <c r="ER650" s="708"/>
      <c r="ES650" s="708"/>
      <c r="ET650" s="708"/>
      <c r="EU650" s="708"/>
      <c r="EV650" s="708"/>
      <c r="EW650" s="708"/>
      <c r="EX650" s="708"/>
      <c r="EY650" s="708"/>
      <c r="EZ650" s="708"/>
      <c r="FA650" s="708"/>
    </row>
    <row r="651" spans="1:157" ht="12.95" customHeight="1">
      <c r="A651" s="35"/>
      <c r="B651" s="12" t="s">
        <v>317</v>
      </c>
      <c r="G651" s="2239" t="s">
        <v>2736</v>
      </c>
      <c r="H651" s="2159"/>
      <c r="I651" s="2159"/>
      <c r="J651" s="2159"/>
      <c r="K651" s="2159"/>
      <c r="L651" s="2159"/>
      <c r="O651" s="137" t="s">
        <v>207</v>
      </c>
      <c r="P651" s="2167"/>
      <c r="Q651" s="2167"/>
      <c r="R651" s="2167"/>
      <c r="T651" s="35"/>
      <c r="U651" s="12" t="s">
        <v>317</v>
      </c>
      <c r="Z651" s="2239" t="s">
        <v>2743</v>
      </c>
      <c r="AA651" s="2159"/>
      <c r="AB651" s="2159"/>
      <c r="AC651" s="2159"/>
      <c r="AD651" s="2159"/>
      <c r="AE651" s="2159"/>
      <c r="AH651" s="137" t="s">
        <v>207</v>
      </c>
      <c r="AI651" s="2167"/>
      <c r="AJ651" s="2167"/>
      <c r="AK651" s="2167"/>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177"/>
      <c r="CS651" s="58"/>
      <c r="CT651" s="58"/>
      <c r="CU651" s="58"/>
      <c r="CV651" s="58"/>
      <c r="CW651" s="58"/>
      <c r="CX651" s="58"/>
      <c r="CY651" s="58"/>
      <c r="CZ651" s="58"/>
      <c r="DA651" s="58"/>
      <c r="DB651" s="58"/>
      <c r="DC651" s="58"/>
      <c r="DD651" s="58"/>
      <c r="DE651" s="58"/>
      <c r="DF651" s="58"/>
      <c r="DX651" s="708"/>
      <c r="DY651" s="708"/>
      <c r="DZ651" s="708"/>
      <c r="EA651" s="708"/>
      <c r="EB651" s="708"/>
      <c r="EC651" s="708"/>
      <c r="ED651" s="708"/>
      <c r="EE651" s="708"/>
      <c r="EF651" s="708"/>
      <c r="EG651" s="708"/>
      <c r="EH651" s="708"/>
      <c r="EI651" s="708"/>
      <c r="EJ651" s="708"/>
      <c r="EK651" s="708"/>
      <c r="EL651" s="708"/>
      <c r="EM651" s="708"/>
      <c r="EN651" s="708"/>
      <c r="EO651" s="708"/>
      <c r="EP651" s="708"/>
      <c r="EQ651" s="708"/>
      <c r="ER651" s="708"/>
      <c r="ES651" s="708"/>
      <c r="ET651" s="708"/>
      <c r="EU651" s="708"/>
      <c r="EV651" s="708"/>
      <c r="EW651" s="708"/>
      <c r="EX651" s="708"/>
      <c r="EY651" s="708"/>
      <c r="EZ651" s="708"/>
      <c r="FA651" s="708"/>
    </row>
    <row r="652" spans="1:157" ht="12.95" customHeight="1">
      <c r="A652" s="35"/>
      <c r="B652" s="12" t="s">
        <v>18</v>
      </c>
      <c r="H652" s="2113" t="s">
        <v>2737</v>
      </c>
      <c r="I652" s="2113"/>
      <c r="J652" s="2113"/>
      <c r="K652" s="2113"/>
      <c r="L652" s="2113"/>
      <c r="M652" s="2113"/>
      <c r="N652" s="2113"/>
      <c r="O652" s="2113"/>
      <c r="P652" s="2113"/>
      <c r="Q652" s="2113"/>
      <c r="R652" s="2113"/>
      <c r="T652" s="35"/>
      <c r="U652" s="12" t="s">
        <v>18</v>
      </c>
      <c r="AA652" s="2113" t="s">
        <v>2750</v>
      </c>
      <c r="AB652" s="2113"/>
      <c r="AC652" s="2113"/>
      <c r="AD652" s="2113"/>
      <c r="AE652" s="2113"/>
      <c r="AF652" s="2113"/>
      <c r="AG652" s="2113"/>
      <c r="AH652" s="2113"/>
      <c r="AI652" s="2113"/>
      <c r="AJ652" s="2113"/>
      <c r="AK652" s="2113"/>
      <c r="AZ652" s="58"/>
      <c r="BA652" s="58"/>
      <c r="BB652" s="58"/>
      <c r="BC652" s="58"/>
      <c r="BD652" s="58"/>
      <c r="BE652" s="58"/>
      <c r="BF652" s="58"/>
      <c r="BG652" s="58"/>
      <c r="BH652" s="58"/>
      <c r="BI652" s="58"/>
      <c r="BJ652" s="58"/>
      <c r="BK652" s="58"/>
      <c r="BL652" s="58"/>
      <c r="BM652" s="58"/>
      <c r="BN652" s="58"/>
      <c r="BO652" s="58"/>
      <c r="BP652" s="305" t="s">
        <v>2302</v>
      </c>
      <c r="BQ652" s="306"/>
      <c r="BR652" s="306"/>
      <c r="BS652" s="306"/>
      <c r="BT652" s="306"/>
      <c r="BU652" s="306"/>
      <c r="BV652" s="306"/>
      <c r="BW652" s="58"/>
      <c r="BX652" s="305" t="s">
        <v>2305</v>
      </c>
      <c r="BY652" s="58"/>
      <c r="BZ652" s="58"/>
      <c r="CA652" s="58"/>
      <c r="CB652" s="58"/>
      <c r="CC652" s="58"/>
      <c r="CD652" s="58"/>
      <c r="CE652" s="58"/>
      <c r="CF652" s="58"/>
      <c r="CG652" s="58"/>
      <c r="CH652" s="58"/>
      <c r="CI652" s="58"/>
      <c r="CJ652" s="58"/>
      <c r="CK652" s="58"/>
      <c r="CL652" s="58"/>
      <c r="CM652" s="58"/>
      <c r="CN652" s="58"/>
      <c r="CO652" s="58"/>
      <c r="CP652" s="58"/>
      <c r="CQ652" s="58"/>
      <c r="CR652" s="177"/>
      <c r="CS652" s="58"/>
      <c r="CT652" s="58"/>
      <c r="CU652" s="58"/>
      <c r="CV652" s="58"/>
      <c r="CW652" s="58"/>
      <c r="CX652" s="58"/>
      <c r="CY652" s="58"/>
      <c r="CZ652" s="58"/>
      <c r="DA652" s="58"/>
      <c r="DB652" s="58"/>
      <c r="DC652" s="58"/>
      <c r="DD652" s="58"/>
      <c r="DX652" s="708"/>
      <c r="DY652" s="708"/>
      <c r="DZ652" s="708"/>
      <c r="EA652" s="708"/>
      <c r="EB652" s="708"/>
      <c r="EC652" s="708"/>
      <c r="ED652" s="708"/>
      <c r="EE652" s="708"/>
      <c r="EF652" s="708"/>
      <c r="EG652" s="708"/>
      <c r="EH652" s="708"/>
      <c r="EI652" s="708"/>
      <c r="EJ652" s="708"/>
      <c r="EK652" s="708"/>
      <c r="EL652" s="708"/>
      <c r="EM652" s="708"/>
      <c r="EN652" s="708"/>
      <c r="EO652" s="708"/>
      <c r="EP652" s="708"/>
      <c r="EQ652" s="708"/>
      <c r="ER652" s="708"/>
      <c r="ES652" s="708"/>
      <c r="ET652" s="708"/>
      <c r="EU652" s="708"/>
      <c r="EV652" s="708"/>
      <c r="EW652" s="708"/>
      <c r="EX652" s="708"/>
      <c r="EY652" s="708"/>
      <c r="EZ652" s="708"/>
      <c r="FA652" s="708"/>
    </row>
    <row r="653" spans="1:157" ht="12.95" customHeight="1">
      <c r="A653" s="35"/>
      <c r="B653" s="12" t="s">
        <v>20</v>
      </c>
      <c r="N653" s="2095" t="s">
        <v>554</v>
      </c>
      <c r="O653" s="2095"/>
      <c r="T653" s="35"/>
      <c r="U653" s="12" t="s">
        <v>20</v>
      </c>
      <c r="AG653" s="2095" t="s">
        <v>678</v>
      </c>
      <c r="AH653" s="2095"/>
      <c r="AZ653" s="58"/>
      <c r="BA653" s="58"/>
      <c r="BB653" s="58"/>
      <c r="BC653" s="58"/>
      <c r="BD653" s="58"/>
      <c r="BE653" s="58"/>
      <c r="BF653" s="58"/>
      <c r="BG653" s="58"/>
      <c r="BH653" s="58"/>
      <c r="BI653" s="58"/>
      <c r="BJ653" s="58"/>
      <c r="BK653" s="58"/>
      <c r="BL653" s="58"/>
      <c r="BM653" s="58"/>
      <c r="BN653" s="58"/>
      <c r="BO653" s="58"/>
      <c r="BP653" s="443" t="s">
        <v>656</v>
      </c>
      <c r="BQ653" s="306"/>
      <c r="BR653" s="306"/>
      <c r="BS653" s="306"/>
      <c r="BT653" s="306"/>
      <c r="BU653" s="306"/>
      <c r="BV653" s="306"/>
      <c r="BW653" s="58"/>
      <c r="BX653" s="443" t="s">
        <v>2306</v>
      </c>
      <c r="BY653" s="58"/>
      <c r="BZ653" s="58"/>
      <c r="CA653" s="58"/>
      <c r="CB653" s="58"/>
      <c r="CC653" s="58"/>
      <c r="CD653" s="58"/>
      <c r="CE653" s="58"/>
      <c r="CF653" s="58"/>
      <c r="CG653" s="58"/>
      <c r="CH653" s="58"/>
      <c r="CI653" s="58"/>
      <c r="CJ653" s="58"/>
      <c r="CK653" s="58"/>
      <c r="CL653" s="58"/>
      <c r="CM653" s="58"/>
      <c r="CN653" s="58"/>
      <c r="CO653" s="58"/>
      <c r="CP653" s="58"/>
      <c r="CQ653" s="58"/>
      <c r="CR653" s="177"/>
      <c r="CS653" s="58"/>
      <c r="CT653" s="58"/>
      <c r="CU653" s="58"/>
      <c r="CV653" s="58"/>
      <c r="CW653" s="58"/>
      <c r="CX653" s="58"/>
      <c r="CY653" s="58"/>
      <c r="CZ653" s="58"/>
      <c r="DA653" s="58"/>
      <c r="DB653" s="58"/>
      <c r="DC653" s="58"/>
      <c r="DD653" s="58"/>
    </row>
    <row r="654" spans="1:157" ht="12.95" customHeight="1">
      <c r="A654" s="35"/>
      <c r="T654" s="35"/>
      <c r="AZ654" s="58"/>
      <c r="BA654" s="58"/>
      <c r="BB654" s="58"/>
      <c r="BC654" s="58"/>
      <c r="BD654" s="58"/>
      <c r="BE654" s="58"/>
      <c r="BF654" s="58"/>
      <c r="BG654" s="58"/>
      <c r="BH654" s="58"/>
      <c r="BI654" s="58"/>
      <c r="BJ654" s="58"/>
      <c r="BK654" s="58"/>
      <c r="BL654" s="58"/>
      <c r="BM654" s="58"/>
      <c r="BN654" s="58"/>
      <c r="BO654" s="58"/>
      <c r="BP654" s="440"/>
      <c r="BQ654" s="307"/>
      <c r="BR654" s="442"/>
      <c r="BS654" s="442"/>
      <c r="BT654" s="442"/>
      <c r="BU654" s="442"/>
      <c r="BV654" s="442"/>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177"/>
      <c r="CS654" s="58"/>
      <c r="CT654" s="58"/>
      <c r="CU654" s="58"/>
      <c r="CV654" s="58"/>
      <c r="CW654" s="58"/>
      <c r="CX654" s="58"/>
      <c r="CY654" s="58"/>
      <c r="CZ654" s="58"/>
      <c r="DA654" s="58"/>
      <c r="DB654" s="58"/>
      <c r="DC654" s="58"/>
      <c r="DD654" s="58"/>
    </row>
    <row r="655" spans="1:157" ht="12.95" customHeight="1" thickBot="1">
      <c r="A655" s="87" t="s">
        <v>787</v>
      </c>
      <c r="B655" s="12" t="s">
        <v>472</v>
      </c>
      <c r="G655" s="2238" t="str">
        <f>C627</f>
        <v>Deferred Fee</v>
      </c>
      <c r="H655" s="2238"/>
      <c r="I655" s="2238"/>
      <c r="J655" s="2238"/>
      <c r="K655" s="2238"/>
      <c r="L655" s="2238"/>
      <c r="M655" s="2238"/>
      <c r="N655" s="2238"/>
      <c r="O655" s="2238"/>
      <c r="P655" s="2238"/>
      <c r="Q655" s="2238"/>
      <c r="R655" s="2238"/>
      <c r="T655" s="87" t="s">
        <v>593</v>
      </c>
      <c r="U655" s="12" t="s">
        <v>472</v>
      </c>
      <c r="Z655" s="2238" t="str">
        <f>C628</f>
        <v>GP Equity</v>
      </c>
      <c r="AA655" s="2238"/>
      <c r="AB655" s="2238"/>
      <c r="AC655" s="2238"/>
      <c r="AD655" s="2238"/>
      <c r="AE655" s="2238"/>
      <c r="AF655" s="2238"/>
      <c r="AG655" s="2238"/>
      <c r="AH655" s="2238"/>
      <c r="AI655" s="2238"/>
      <c r="AJ655" s="2238"/>
      <c r="AK655" s="2238"/>
      <c r="AZ655" s="58"/>
      <c r="BA655" s="309" t="s">
        <v>658</v>
      </c>
      <c r="BB655" s="58"/>
      <c r="BC655" s="58"/>
      <c r="BD655" s="58"/>
      <c r="BE655" s="58"/>
      <c r="BF655" s="377"/>
      <c r="BG655" s="333" t="s">
        <v>928</v>
      </c>
      <c r="BH655" s="377"/>
      <c r="BI655" s="377"/>
      <c r="BJ655" s="58"/>
      <c r="BK655" s="58"/>
      <c r="BL655" s="58"/>
      <c r="BM655" s="58"/>
      <c r="BN655" s="58"/>
      <c r="BO655" s="58"/>
      <c r="BP655" s="530" t="s">
        <v>657</v>
      </c>
      <c r="BQ655" s="531" t="s">
        <v>325</v>
      </c>
      <c r="BR655" s="531" t="s">
        <v>326</v>
      </c>
      <c r="BS655" s="531" t="s">
        <v>164</v>
      </c>
      <c r="BT655" s="531" t="s">
        <v>165</v>
      </c>
      <c r="BU655" s="531" t="s">
        <v>166</v>
      </c>
      <c r="BV655" s="531" t="s">
        <v>30</v>
      </c>
      <c r="BW655" s="58"/>
      <c r="BX655" s="531" t="s">
        <v>325</v>
      </c>
      <c r="BY655" s="531" t="s">
        <v>326</v>
      </c>
      <c r="BZ655" s="531" t="s">
        <v>164</v>
      </c>
      <c r="CA655" s="531" t="s">
        <v>165</v>
      </c>
      <c r="CB655" s="531" t="s">
        <v>166</v>
      </c>
      <c r="CC655" s="58"/>
      <c r="CD655" s="58"/>
      <c r="CE655" s="58"/>
      <c r="CF655" s="58"/>
      <c r="CG655" s="58"/>
      <c r="CH655" s="58"/>
      <c r="CI655" s="58"/>
      <c r="CJ655" s="58"/>
      <c r="CK655" s="58"/>
      <c r="CL655" s="58"/>
      <c r="CM655" s="58"/>
      <c r="CN655" s="58"/>
      <c r="CO655" s="58"/>
      <c r="CP655" s="58"/>
      <c r="CQ655" s="58"/>
      <c r="CR655" s="177"/>
      <c r="CS655" s="58"/>
      <c r="CT655" s="58"/>
      <c r="CU655" s="58"/>
      <c r="CV655" s="58"/>
      <c r="CW655" s="58"/>
      <c r="CX655" s="58"/>
      <c r="CY655" s="58"/>
      <c r="CZ655" s="58"/>
      <c r="DA655" s="58"/>
      <c r="DB655" s="58"/>
      <c r="DC655" s="58"/>
      <c r="DD655" s="58"/>
    </row>
    <row r="656" spans="1:157" ht="12.95" customHeight="1">
      <c r="A656" s="35"/>
      <c r="B656" s="12" t="s">
        <v>86</v>
      </c>
      <c r="G656" s="1915" t="s">
        <v>2626</v>
      </c>
      <c r="H656" s="1915"/>
      <c r="I656" s="1915"/>
      <c r="J656" s="1915"/>
      <c r="K656" s="1915"/>
      <c r="L656" s="1915"/>
      <c r="M656" s="1911"/>
      <c r="N656" s="1911"/>
      <c r="O656" s="1911"/>
      <c r="P656" s="1911"/>
      <c r="Q656" s="1911"/>
      <c r="R656" s="1911"/>
      <c r="T656" s="35"/>
      <c r="U656" s="12" t="s">
        <v>86</v>
      </c>
      <c r="Z656" s="1911" t="s">
        <v>2626</v>
      </c>
      <c r="AA656" s="1911"/>
      <c r="AB656" s="1911"/>
      <c r="AC656" s="1911"/>
      <c r="AD656" s="1911"/>
      <c r="AE656" s="1911"/>
      <c r="AF656" s="1911"/>
      <c r="AG656" s="1911"/>
      <c r="AH656" s="1911"/>
      <c r="AI656" s="1911"/>
      <c r="AJ656" s="1911"/>
      <c r="AK656" s="1911"/>
      <c r="AZ656" s="58"/>
      <c r="BA656" s="441">
        <f t="shared" ref="BA656:BA680" si="43">IF($G714=0,"N/A",VLOOKUP($T$189,TC_Rent,(MATCH($B714,bedrooms,FALSE))))</f>
        <v>1650</v>
      </c>
      <c r="BB656" s="58"/>
      <c r="BC656" s="58"/>
      <c r="BD656" s="58"/>
      <c r="BE656" s="58"/>
      <c r="BF656" s="377"/>
      <c r="BG656" s="449" t="s">
        <v>929</v>
      </c>
      <c r="BH656" s="454" t="s">
        <v>930</v>
      </c>
      <c r="BI656" s="453" t="s">
        <v>931</v>
      </c>
      <c r="BJ656" s="58"/>
      <c r="BK656" s="58"/>
      <c r="BL656" s="58"/>
      <c r="BM656" s="58"/>
      <c r="BN656" s="58"/>
      <c r="BO656" s="58"/>
      <c r="BP656" s="532" t="s">
        <v>485</v>
      </c>
      <c r="BQ656" s="738">
        <v>2500</v>
      </c>
      <c r="BR656" s="739">
        <v>2678</v>
      </c>
      <c r="BS656" s="740">
        <v>3214</v>
      </c>
      <c r="BT656" s="739">
        <v>3712</v>
      </c>
      <c r="BU656" s="740">
        <v>4142</v>
      </c>
      <c r="BV656" s="741">
        <v>4570</v>
      </c>
      <c r="BW656" s="58"/>
      <c r="BX656" s="1358">
        <v>1538</v>
      </c>
      <c r="BY656" s="1358">
        <v>1854</v>
      </c>
      <c r="BZ656" s="1358">
        <v>2274</v>
      </c>
      <c r="CA656" s="1358">
        <v>3006</v>
      </c>
      <c r="CB656" s="1358">
        <v>3578</v>
      </c>
      <c r="CC656" s="58"/>
      <c r="CD656" s="58"/>
      <c r="CE656" s="58"/>
      <c r="CF656" s="58"/>
      <c r="CG656" s="58"/>
      <c r="CH656" s="58"/>
      <c r="CI656" s="58"/>
      <c r="CJ656" s="58"/>
      <c r="CK656" s="58"/>
      <c r="CL656" s="58"/>
      <c r="CM656" s="58"/>
      <c r="CN656" s="58"/>
      <c r="CO656" s="58"/>
      <c r="CP656" s="58"/>
      <c r="CQ656" s="58"/>
      <c r="CR656" s="177"/>
      <c r="CS656" s="58"/>
      <c r="CT656" s="58"/>
      <c r="CU656" s="58"/>
      <c r="CV656" s="58"/>
      <c r="CW656" s="58"/>
      <c r="CX656" s="58"/>
      <c r="CY656" s="58"/>
      <c r="CZ656" s="58"/>
      <c r="DA656" s="58"/>
      <c r="DB656" s="58"/>
      <c r="DC656" s="58"/>
      <c r="DD656" s="58"/>
    </row>
    <row r="657" spans="1:108" ht="12.95" customHeight="1">
      <c r="A657" s="35"/>
      <c r="B657" s="12" t="s">
        <v>589</v>
      </c>
      <c r="G657" s="1916" t="s">
        <v>2627</v>
      </c>
      <c r="H657" s="1916"/>
      <c r="I657" s="1916"/>
      <c r="J657" s="1916"/>
      <c r="K657" s="1916"/>
      <c r="L657" s="1916"/>
      <c r="M657" s="1909"/>
      <c r="N657" s="1909"/>
      <c r="O657" s="1909"/>
      <c r="P657" s="1909"/>
      <c r="Q657" s="1909"/>
      <c r="R657" s="1909"/>
      <c r="T657" s="35"/>
      <c r="U657" s="12" t="s">
        <v>589</v>
      </c>
      <c r="Z657" s="1909" t="s">
        <v>2627</v>
      </c>
      <c r="AA657" s="1909"/>
      <c r="AB657" s="1909"/>
      <c r="AC657" s="1909"/>
      <c r="AD657" s="1909"/>
      <c r="AE657" s="1909"/>
      <c r="AF657" s="1909"/>
      <c r="AG657" s="1909"/>
      <c r="AH657" s="1909"/>
      <c r="AI657" s="1909"/>
      <c r="AJ657" s="1909"/>
      <c r="AK657" s="1909"/>
      <c r="AZ657" s="58"/>
      <c r="BA657" s="441">
        <f t="shared" si="43"/>
        <v>1650</v>
      </c>
      <c r="BB657" s="58"/>
      <c r="BC657" s="58"/>
      <c r="BD657" s="58"/>
      <c r="BE657" s="58"/>
      <c r="BF657" s="377"/>
      <c r="BG657" s="451">
        <f t="shared" ref="BG657:BG681" si="44">G714</f>
        <v>25</v>
      </c>
      <c r="BH657" s="455">
        <f>BG657/$BG$682</f>
        <v>0.36231884057971014</v>
      </c>
      <c r="BI657" s="456">
        <f t="shared" ref="BI657:BI681" si="45">IF(BH657=0," ",BH657*AC714)</f>
        <v>7.2463768115942032E-2</v>
      </c>
      <c r="BJ657" s="58"/>
      <c r="BK657" s="58"/>
      <c r="BL657" s="58"/>
      <c r="BM657" s="58"/>
      <c r="BN657" s="58"/>
      <c r="BO657" s="58"/>
      <c r="BP657" s="533" t="s">
        <v>486</v>
      </c>
      <c r="BQ657" s="742">
        <v>1590</v>
      </c>
      <c r="BR657" s="743">
        <v>1702</v>
      </c>
      <c r="BS657" s="742">
        <v>2044</v>
      </c>
      <c r="BT657" s="743">
        <v>2360</v>
      </c>
      <c r="BU657" s="743">
        <v>2634</v>
      </c>
      <c r="BV657" s="744">
        <v>2906</v>
      </c>
      <c r="BW657" s="58"/>
      <c r="BX657" s="1358">
        <v>725</v>
      </c>
      <c r="BY657" s="1358">
        <v>822</v>
      </c>
      <c r="BZ657" s="1358">
        <v>1073</v>
      </c>
      <c r="CA657" s="1358">
        <v>1524</v>
      </c>
      <c r="CB657" s="1358">
        <v>1705</v>
      </c>
      <c r="CC657" s="58"/>
      <c r="CD657" s="58"/>
      <c r="CE657" s="58"/>
      <c r="CF657" s="58"/>
      <c r="CG657" s="58"/>
      <c r="CH657" s="58"/>
      <c r="CI657" s="58"/>
      <c r="CJ657" s="58"/>
      <c r="CK657" s="58"/>
      <c r="CL657" s="58"/>
      <c r="CM657" s="58"/>
      <c r="CN657" s="58"/>
      <c r="CO657" s="58"/>
      <c r="CP657" s="58"/>
      <c r="CQ657" s="58"/>
      <c r="CR657" s="177"/>
      <c r="CS657" s="58"/>
      <c r="CT657" s="58"/>
      <c r="CU657" s="58"/>
      <c r="CV657" s="58"/>
      <c r="CW657" s="58"/>
      <c r="CX657" s="58"/>
      <c r="CY657" s="58"/>
      <c r="CZ657" s="58"/>
      <c r="DA657" s="58"/>
      <c r="DB657" s="58"/>
      <c r="DC657" s="58"/>
      <c r="DD657" s="58"/>
    </row>
    <row r="658" spans="1:108" ht="12.95" customHeight="1">
      <c r="A658" s="35"/>
      <c r="B658" s="12" t="s">
        <v>17</v>
      </c>
      <c r="G658" s="1916" t="s">
        <v>2629</v>
      </c>
      <c r="H658" s="1916"/>
      <c r="I658" s="1916"/>
      <c r="J658" s="1916"/>
      <c r="K658" s="1916"/>
      <c r="L658" s="1916"/>
      <c r="M658" s="1909"/>
      <c r="N658" s="1909"/>
      <c r="O658" s="1909"/>
      <c r="P658" s="1909"/>
      <c r="Q658" s="1909"/>
      <c r="R658" s="1909"/>
      <c r="T658" s="35"/>
      <c r="U658" s="12" t="s">
        <v>17</v>
      </c>
      <c r="Z658" s="1909" t="s">
        <v>2629</v>
      </c>
      <c r="AA658" s="1909"/>
      <c r="AB658" s="1909"/>
      <c r="AC658" s="1909"/>
      <c r="AD658" s="1909"/>
      <c r="AE658" s="1909"/>
      <c r="AF658" s="1909"/>
      <c r="AG658" s="1909"/>
      <c r="AH658" s="1909"/>
      <c r="AI658" s="1909"/>
      <c r="AJ658" s="1909"/>
      <c r="AK658" s="1909"/>
      <c r="AZ658" s="58"/>
      <c r="BA658" s="441">
        <f t="shared" si="43"/>
        <v>1650</v>
      </c>
      <c r="BB658" s="58"/>
      <c r="BC658" s="58"/>
      <c r="BD658" s="58"/>
      <c r="BE658" s="58"/>
      <c r="BF658" s="377"/>
      <c r="BG658" s="452">
        <f t="shared" si="44"/>
        <v>7</v>
      </c>
      <c r="BH658" s="455">
        <f t="shared" ref="BH658:BH681" si="46">BG658/$BG$682</f>
        <v>0.10144927536231885</v>
      </c>
      <c r="BI658" s="456">
        <f t="shared" si="45"/>
        <v>3.0434782608695653E-2</v>
      </c>
      <c r="BJ658" s="58"/>
      <c r="BK658" s="58"/>
      <c r="BL658" s="58"/>
      <c r="BM658" s="58"/>
      <c r="BN658" s="58"/>
      <c r="BO658" s="58"/>
      <c r="BP658" s="533" t="s">
        <v>487</v>
      </c>
      <c r="BQ658" s="745">
        <v>1516</v>
      </c>
      <c r="BR658" s="746">
        <v>1624</v>
      </c>
      <c r="BS658" s="745">
        <v>1950</v>
      </c>
      <c r="BT658" s="746">
        <v>2252</v>
      </c>
      <c r="BU658" s="746">
        <v>2512</v>
      </c>
      <c r="BV658" s="747">
        <v>2772</v>
      </c>
      <c r="BW658" s="58"/>
      <c r="BX658" s="1358">
        <v>920</v>
      </c>
      <c r="BY658" s="1358">
        <v>926</v>
      </c>
      <c r="BZ658" s="1358">
        <v>1148</v>
      </c>
      <c r="CA658" s="1358">
        <v>1631</v>
      </c>
      <c r="CB658" s="1358">
        <v>1965</v>
      </c>
      <c r="CC658" s="58"/>
      <c r="CD658" s="58"/>
      <c r="CE658" s="58"/>
      <c r="CF658" s="58"/>
      <c r="CG658" s="58"/>
      <c r="CH658" s="58"/>
      <c r="CI658" s="58"/>
      <c r="CJ658" s="58"/>
      <c r="CK658" s="58"/>
      <c r="CL658" s="58"/>
      <c r="CM658" s="58"/>
      <c r="CN658" s="58"/>
      <c r="CO658" s="58"/>
      <c r="CP658" s="58"/>
      <c r="CQ658" s="58"/>
      <c r="CR658" s="177"/>
      <c r="CS658" s="58"/>
      <c r="CT658" s="58"/>
      <c r="CU658" s="58"/>
      <c r="CV658" s="58"/>
      <c r="CW658" s="58"/>
      <c r="CX658" s="58"/>
      <c r="CY658" s="58"/>
      <c r="CZ658" s="58"/>
      <c r="DA658" s="58"/>
      <c r="DB658" s="58"/>
      <c r="DC658" s="58"/>
      <c r="DD658" s="58"/>
    </row>
    <row r="659" spans="1:108" ht="12.95" customHeight="1">
      <c r="A659" s="35"/>
      <c r="B659" s="12" t="s">
        <v>317</v>
      </c>
      <c r="G659" s="2239" t="s">
        <v>2630</v>
      </c>
      <c r="H659" s="2159"/>
      <c r="I659" s="2159"/>
      <c r="J659" s="2159"/>
      <c r="K659" s="2159"/>
      <c r="L659" s="2159"/>
      <c r="O659" s="137" t="s">
        <v>207</v>
      </c>
      <c r="P659" s="2167">
        <v>127</v>
      </c>
      <c r="Q659" s="2167"/>
      <c r="R659" s="2167"/>
      <c r="T659" s="35"/>
      <c r="U659" s="12" t="s">
        <v>317</v>
      </c>
      <c r="Z659" s="2239" t="s">
        <v>2630</v>
      </c>
      <c r="AA659" s="2159"/>
      <c r="AB659" s="2159"/>
      <c r="AC659" s="2159"/>
      <c r="AD659" s="2159"/>
      <c r="AE659" s="2159"/>
      <c r="AH659" s="137" t="s">
        <v>207</v>
      </c>
      <c r="AI659" s="2167">
        <v>127</v>
      </c>
      <c r="AJ659" s="2167"/>
      <c r="AK659" s="2167"/>
      <c r="AZ659" s="58"/>
      <c r="BA659" s="441">
        <f t="shared" si="43"/>
        <v>1650</v>
      </c>
      <c r="BB659" s="58"/>
      <c r="BC659" s="58"/>
      <c r="BD659" s="58"/>
      <c r="BE659" s="58"/>
      <c r="BF659" s="377"/>
      <c r="BG659" s="452">
        <f t="shared" si="44"/>
        <v>3</v>
      </c>
      <c r="BH659" s="455">
        <f t="shared" si="46"/>
        <v>4.3478260869565216E-2</v>
      </c>
      <c r="BI659" s="456">
        <f t="shared" si="45"/>
        <v>2.1739130434782608E-2</v>
      </c>
      <c r="BJ659" s="58"/>
      <c r="BK659" s="58"/>
      <c r="BL659" s="58"/>
      <c r="BM659" s="58"/>
      <c r="BN659" s="58"/>
      <c r="BO659" s="58"/>
      <c r="BP659" s="533" t="s">
        <v>488</v>
      </c>
      <c r="BQ659" s="745">
        <v>1364</v>
      </c>
      <c r="BR659" s="746">
        <v>1462</v>
      </c>
      <c r="BS659" s="745">
        <v>1754</v>
      </c>
      <c r="BT659" s="746">
        <v>2026</v>
      </c>
      <c r="BU659" s="746">
        <v>2260</v>
      </c>
      <c r="BV659" s="747">
        <v>2492</v>
      </c>
      <c r="BW659" s="58"/>
      <c r="BX659" s="1358">
        <v>826</v>
      </c>
      <c r="BY659" s="1358">
        <v>895</v>
      </c>
      <c r="BZ659" s="1358">
        <v>1177</v>
      </c>
      <c r="CA659" s="1358">
        <v>1662</v>
      </c>
      <c r="CB659" s="1358">
        <v>2015</v>
      </c>
      <c r="CC659" s="58"/>
      <c r="CD659" s="58"/>
      <c r="CE659" s="58"/>
      <c r="CF659" s="58"/>
      <c r="CG659" s="58"/>
      <c r="CH659" s="58"/>
      <c r="CI659" s="58"/>
      <c r="CJ659" s="58"/>
      <c r="CK659" s="58"/>
      <c r="CL659" s="58"/>
      <c r="CM659" s="58"/>
      <c r="CN659" s="58"/>
      <c r="CO659" s="58"/>
      <c r="CP659" s="58"/>
      <c r="CQ659" s="58"/>
      <c r="CR659" s="177"/>
      <c r="CS659" s="58"/>
      <c r="CT659" s="58"/>
      <c r="CU659" s="58"/>
      <c r="CV659" s="58"/>
      <c r="CW659" s="58"/>
      <c r="CX659" s="58"/>
      <c r="CY659" s="58"/>
      <c r="CZ659" s="58"/>
      <c r="DA659" s="58"/>
      <c r="DB659" s="58"/>
      <c r="DC659" s="58"/>
      <c r="DD659" s="58"/>
    </row>
    <row r="660" spans="1:108" ht="12.95" customHeight="1">
      <c r="A660" s="35"/>
      <c r="B660" s="12" t="s">
        <v>18</v>
      </c>
      <c r="H660" s="2113" t="s">
        <v>2745</v>
      </c>
      <c r="I660" s="2113"/>
      <c r="J660" s="2113"/>
      <c r="K660" s="2113"/>
      <c r="L660" s="2113"/>
      <c r="M660" s="2113"/>
      <c r="N660" s="2113"/>
      <c r="O660" s="2113"/>
      <c r="P660" s="2113"/>
      <c r="Q660" s="2113"/>
      <c r="R660" s="2113"/>
      <c r="T660" s="35"/>
      <c r="U660" s="12" t="s">
        <v>18</v>
      </c>
      <c r="AA660" s="2113" t="s">
        <v>2794</v>
      </c>
      <c r="AB660" s="2113"/>
      <c r="AC660" s="2113"/>
      <c r="AD660" s="2113"/>
      <c r="AE660" s="2113"/>
      <c r="AF660" s="2113"/>
      <c r="AG660" s="2113"/>
      <c r="AH660" s="2113"/>
      <c r="AI660" s="2113"/>
      <c r="AJ660" s="2113"/>
      <c r="AK660" s="2113"/>
      <c r="AZ660" s="58"/>
      <c r="BA660" s="441">
        <f t="shared" si="43"/>
        <v>1650</v>
      </c>
      <c r="BB660" s="58"/>
      <c r="BC660" s="58"/>
      <c r="BD660" s="58"/>
      <c r="BE660" s="58"/>
      <c r="BF660" s="377"/>
      <c r="BG660" s="452">
        <f t="shared" si="44"/>
        <v>12</v>
      </c>
      <c r="BH660" s="455">
        <f t="shared" si="46"/>
        <v>0.17391304347826086</v>
      </c>
      <c r="BI660" s="456">
        <f t="shared" si="45"/>
        <v>0.10434782608695652</v>
      </c>
      <c r="BJ660" s="58"/>
      <c r="BK660" s="58"/>
      <c r="BL660" s="58"/>
      <c r="BM660" s="58"/>
      <c r="BN660" s="58"/>
      <c r="BO660" s="58"/>
      <c r="BP660" s="533" t="s">
        <v>489</v>
      </c>
      <c r="BQ660" s="745">
        <v>1574</v>
      </c>
      <c r="BR660" s="746">
        <v>1686</v>
      </c>
      <c r="BS660" s="745">
        <v>2024</v>
      </c>
      <c r="BT660" s="746">
        <v>2340</v>
      </c>
      <c r="BU660" s="746">
        <v>2610</v>
      </c>
      <c r="BV660" s="747">
        <v>2880</v>
      </c>
      <c r="BW660" s="58"/>
      <c r="BX660" s="1358">
        <v>739</v>
      </c>
      <c r="BY660" s="1358">
        <v>857</v>
      </c>
      <c r="BZ660" s="1358">
        <v>1094</v>
      </c>
      <c r="CA660" s="1358">
        <v>1554</v>
      </c>
      <c r="CB660" s="1358">
        <v>1785</v>
      </c>
      <c r="CC660" s="58"/>
      <c r="CD660" s="58"/>
      <c r="CE660" s="58"/>
      <c r="CF660" s="58"/>
      <c r="CG660" s="58"/>
      <c r="CH660" s="58"/>
      <c r="CI660" s="58"/>
      <c r="CJ660" s="58"/>
      <c r="CK660" s="58"/>
      <c r="CL660" s="58"/>
      <c r="CM660" s="58"/>
      <c r="CN660" s="58"/>
      <c r="CO660" s="58"/>
      <c r="CP660" s="58"/>
      <c r="CQ660" s="58"/>
      <c r="CR660" s="177"/>
      <c r="CS660" s="58"/>
      <c r="CT660" s="58"/>
      <c r="CU660" s="58"/>
      <c r="CV660" s="58"/>
      <c r="CW660" s="58"/>
      <c r="CX660" s="58"/>
      <c r="CY660" s="58"/>
      <c r="CZ660" s="58"/>
      <c r="DA660" s="58"/>
      <c r="DB660" s="58"/>
      <c r="DC660" s="58"/>
      <c r="DD660" s="58"/>
    </row>
    <row r="661" spans="1:108" ht="12.95" customHeight="1">
      <c r="A661" s="35"/>
      <c r="B661" s="12" t="s">
        <v>20</v>
      </c>
      <c r="N661" s="2095" t="s">
        <v>554</v>
      </c>
      <c r="O661" s="2095"/>
      <c r="T661" s="35"/>
      <c r="U661" s="12" t="s">
        <v>20</v>
      </c>
      <c r="AG661" s="2095" t="s">
        <v>554</v>
      </c>
      <c r="AH661" s="2095"/>
      <c r="AZ661" s="58"/>
      <c r="BA661" s="441" t="str">
        <f t="shared" si="43"/>
        <v>N/A</v>
      </c>
      <c r="BB661" s="58"/>
      <c r="BC661" s="58"/>
      <c r="BD661" s="58"/>
      <c r="BE661" s="58"/>
      <c r="BF661" s="377"/>
      <c r="BG661" s="452">
        <f t="shared" si="44"/>
        <v>22</v>
      </c>
      <c r="BH661" s="455">
        <f t="shared" si="46"/>
        <v>0.3188405797101449</v>
      </c>
      <c r="BI661" s="456">
        <f t="shared" si="45"/>
        <v>0.25507246376811593</v>
      </c>
      <c r="BJ661" s="58"/>
      <c r="BK661" s="58"/>
      <c r="BL661" s="58"/>
      <c r="BM661" s="58"/>
      <c r="BN661" s="58"/>
      <c r="BO661" s="58"/>
      <c r="BP661" s="533" t="s">
        <v>490</v>
      </c>
      <c r="BQ661" s="745">
        <v>1364</v>
      </c>
      <c r="BR661" s="746">
        <v>1462</v>
      </c>
      <c r="BS661" s="745">
        <v>1754</v>
      </c>
      <c r="BT661" s="746">
        <v>2026</v>
      </c>
      <c r="BU661" s="746">
        <v>2260</v>
      </c>
      <c r="BV661" s="747">
        <v>2492</v>
      </c>
      <c r="BW661" s="58"/>
      <c r="BX661" s="1358">
        <v>713</v>
      </c>
      <c r="BY661" s="1358">
        <v>717</v>
      </c>
      <c r="BZ661" s="1358">
        <v>944</v>
      </c>
      <c r="CA661" s="1358">
        <v>1341</v>
      </c>
      <c r="CB661" s="1358">
        <v>1506</v>
      </c>
      <c r="CC661" s="58"/>
      <c r="CD661" s="58"/>
      <c r="CE661" s="58"/>
      <c r="CF661" s="58"/>
      <c r="CG661" s="58"/>
      <c r="CH661" s="58"/>
      <c r="CI661" s="58"/>
      <c r="CJ661" s="58"/>
      <c r="CK661" s="58"/>
      <c r="CL661" s="58"/>
      <c r="CM661" s="58"/>
      <c r="CN661" s="58"/>
      <c r="CO661" s="58"/>
      <c r="CP661" s="58"/>
      <c r="CQ661" s="58"/>
      <c r="CR661" s="177"/>
      <c r="CS661" s="58"/>
      <c r="CT661" s="58"/>
      <c r="CU661" s="58"/>
      <c r="CV661" s="58"/>
      <c r="CW661" s="58"/>
      <c r="CX661" s="58"/>
      <c r="CY661" s="58"/>
      <c r="CZ661" s="58"/>
      <c r="DA661" s="58"/>
      <c r="DB661" s="58"/>
      <c r="DC661" s="58"/>
      <c r="DD661" s="58"/>
    </row>
    <row r="662" spans="1:108" ht="12.95" customHeight="1">
      <c r="A662" s="35"/>
      <c r="T662" s="35"/>
      <c r="AZ662" s="58"/>
      <c r="BA662" s="441" t="str">
        <f t="shared" si="43"/>
        <v>N/A</v>
      </c>
      <c r="BB662" s="58"/>
      <c r="BC662" s="58"/>
      <c r="BD662" s="58"/>
      <c r="BE662" s="58"/>
      <c r="BF662" s="377"/>
      <c r="BG662" s="452">
        <f t="shared" si="44"/>
        <v>0</v>
      </c>
      <c r="BH662" s="455">
        <f t="shared" si="46"/>
        <v>0</v>
      </c>
      <c r="BI662" s="456" t="str">
        <f t="shared" si="45"/>
        <v xml:space="preserve"> </v>
      </c>
      <c r="BJ662" s="58"/>
      <c r="BK662" s="58"/>
      <c r="BL662" s="58"/>
      <c r="BM662" s="58"/>
      <c r="BN662" s="58"/>
      <c r="BO662" s="58"/>
      <c r="BP662" s="533" t="s">
        <v>491</v>
      </c>
      <c r="BQ662" s="745">
        <v>2500</v>
      </c>
      <c r="BR662" s="746">
        <v>2678</v>
      </c>
      <c r="BS662" s="745">
        <v>3214</v>
      </c>
      <c r="BT662" s="746">
        <v>3712</v>
      </c>
      <c r="BU662" s="746">
        <v>4142</v>
      </c>
      <c r="BV662" s="747">
        <v>4570</v>
      </c>
      <c r="BW662" s="58"/>
      <c r="BX662" s="1358">
        <v>1538</v>
      </c>
      <c r="BY662" s="1358">
        <v>1854</v>
      </c>
      <c r="BZ662" s="1358">
        <v>2274</v>
      </c>
      <c r="CA662" s="1358">
        <v>3006</v>
      </c>
      <c r="CB662" s="1358">
        <v>3578</v>
      </c>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row>
    <row r="663" spans="1:108" ht="12.95" customHeight="1">
      <c r="A663" s="87" t="s">
        <v>464</v>
      </c>
      <c r="B663" s="12" t="s">
        <v>472</v>
      </c>
      <c r="G663" s="2238">
        <f>C629</f>
        <v>0</v>
      </c>
      <c r="H663" s="2238"/>
      <c r="I663" s="2238"/>
      <c r="J663" s="2238"/>
      <c r="K663" s="2238"/>
      <c r="L663" s="2238"/>
      <c r="M663" s="2238"/>
      <c r="N663" s="2238"/>
      <c r="O663" s="2238"/>
      <c r="P663" s="2238"/>
      <c r="Q663" s="2238"/>
      <c r="R663" s="2238"/>
      <c r="T663" s="87" t="s">
        <v>465</v>
      </c>
      <c r="U663" s="12" t="s">
        <v>472</v>
      </c>
      <c r="Z663" s="2238">
        <f>C630</f>
        <v>0</v>
      </c>
      <c r="AA663" s="2238"/>
      <c r="AB663" s="2238"/>
      <c r="AC663" s="2238"/>
      <c r="AD663" s="2238"/>
      <c r="AE663" s="2238"/>
      <c r="AF663" s="2238"/>
      <c r="AG663" s="2238"/>
      <c r="AH663" s="2238"/>
      <c r="AI663" s="2238"/>
      <c r="AJ663" s="2238"/>
      <c r="AK663" s="2238"/>
      <c r="AZ663" s="58"/>
      <c r="BA663" s="441" t="str">
        <f t="shared" si="43"/>
        <v>N/A</v>
      </c>
      <c r="BB663" s="58"/>
      <c r="BC663" s="58"/>
      <c r="BD663" s="58"/>
      <c r="BE663" s="58"/>
      <c r="BF663" s="377"/>
      <c r="BG663" s="452">
        <f t="shared" si="44"/>
        <v>0</v>
      </c>
      <c r="BH663" s="455">
        <f t="shared" si="46"/>
        <v>0</v>
      </c>
      <c r="BI663" s="456" t="str">
        <f t="shared" si="45"/>
        <v xml:space="preserve"> </v>
      </c>
      <c r="BJ663" s="58"/>
      <c r="BK663" s="58"/>
      <c r="BL663" s="58"/>
      <c r="BM663" s="58"/>
      <c r="BN663" s="58"/>
      <c r="BO663" s="58"/>
      <c r="BP663" s="533" t="s">
        <v>492</v>
      </c>
      <c r="BQ663" s="745">
        <v>1364</v>
      </c>
      <c r="BR663" s="746">
        <v>1462</v>
      </c>
      <c r="BS663" s="745">
        <v>1754</v>
      </c>
      <c r="BT663" s="746">
        <v>2026</v>
      </c>
      <c r="BU663" s="746">
        <v>2260</v>
      </c>
      <c r="BV663" s="747">
        <v>2492</v>
      </c>
      <c r="BW663" s="58"/>
      <c r="BX663" s="1358">
        <v>651</v>
      </c>
      <c r="BY663" s="1358">
        <v>831</v>
      </c>
      <c r="BZ663" s="1358">
        <v>980</v>
      </c>
      <c r="CA663" s="1358">
        <v>1355</v>
      </c>
      <c r="CB663" s="1358">
        <v>1677</v>
      </c>
      <c r="CC663" s="58"/>
      <c r="CD663" s="58"/>
      <c r="CE663" s="58"/>
      <c r="CF663" s="58"/>
      <c r="CG663" s="58"/>
      <c r="CH663" s="58"/>
      <c r="CI663" s="58"/>
      <c r="CJ663" s="58"/>
      <c r="CK663" s="58"/>
      <c r="CL663" s="58"/>
      <c r="CM663" s="58"/>
      <c r="CN663" s="58"/>
      <c r="CO663" s="58"/>
      <c r="CP663" s="58"/>
      <c r="CQ663" s="58"/>
      <c r="CR663" s="177"/>
      <c r="CS663" s="58"/>
      <c r="CT663" s="58"/>
      <c r="CU663" s="58"/>
      <c r="CV663" s="58"/>
      <c r="CW663" s="58"/>
      <c r="CX663" s="58"/>
      <c r="CY663" s="58"/>
      <c r="CZ663" s="58"/>
      <c r="DA663" s="58"/>
      <c r="DB663" s="58"/>
      <c r="DC663" s="58"/>
      <c r="DD663" s="58"/>
    </row>
    <row r="664" spans="1:108" ht="12.95" customHeight="1">
      <c r="A664" s="35"/>
      <c r="B664" s="12" t="s">
        <v>86</v>
      </c>
      <c r="G664" s="2113"/>
      <c r="H664" s="2113"/>
      <c r="I664" s="2113"/>
      <c r="J664" s="2113"/>
      <c r="K664" s="2113"/>
      <c r="L664" s="2113"/>
      <c r="M664" s="2113"/>
      <c r="N664" s="2113"/>
      <c r="O664" s="2113"/>
      <c r="P664" s="2113"/>
      <c r="Q664" s="2113"/>
      <c r="R664" s="2113"/>
      <c r="T664" s="35"/>
      <c r="U664" s="12" t="s">
        <v>86</v>
      </c>
      <c r="Z664" s="2113"/>
      <c r="AA664" s="2113"/>
      <c r="AB664" s="2113"/>
      <c r="AC664" s="2113"/>
      <c r="AD664" s="2113"/>
      <c r="AE664" s="2113"/>
      <c r="AF664" s="2113"/>
      <c r="AG664" s="2113"/>
      <c r="AH664" s="2113"/>
      <c r="AI664" s="2113"/>
      <c r="AJ664" s="2113"/>
      <c r="AK664" s="2113"/>
      <c r="AZ664" s="58"/>
      <c r="BA664" s="441" t="str">
        <f t="shared" si="43"/>
        <v>N/A</v>
      </c>
      <c r="BB664" s="58"/>
      <c r="BC664" s="58"/>
      <c r="BD664" s="58"/>
      <c r="BE664" s="58"/>
      <c r="BF664" s="377"/>
      <c r="BG664" s="452">
        <f t="shared" si="44"/>
        <v>0</v>
      </c>
      <c r="BH664" s="455">
        <f t="shared" si="46"/>
        <v>0</v>
      </c>
      <c r="BI664" s="456" t="str">
        <f t="shared" si="45"/>
        <v xml:space="preserve"> </v>
      </c>
      <c r="BJ664" s="58"/>
      <c r="BK664" s="58"/>
      <c r="BL664" s="58"/>
      <c r="BM664" s="58"/>
      <c r="BN664" s="58"/>
      <c r="BO664" s="58"/>
      <c r="BP664" s="533" t="s">
        <v>493</v>
      </c>
      <c r="BQ664" s="745">
        <v>1774</v>
      </c>
      <c r="BR664" s="746">
        <v>1900</v>
      </c>
      <c r="BS664" s="745">
        <v>2280</v>
      </c>
      <c r="BT664" s="746">
        <v>2634</v>
      </c>
      <c r="BU664" s="746">
        <v>2940</v>
      </c>
      <c r="BV664" s="747">
        <v>3242</v>
      </c>
      <c r="BW664" s="58"/>
      <c r="BX664" s="1358">
        <v>1108</v>
      </c>
      <c r="BY664" s="1358">
        <v>1228</v>
      </c>
      <c r="BZ664" s="1358">
        <v>1543</v>
      </c>
      <c r="CA664" s="1358">
        <v>2192</v>
      </c>
      <c r="CB664" s="1358">
        <v>2625</v>
      </c>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row>
    <row r="665" spans="1:108" ht="12.95" customHeight="1">
      <c r="A665" s="35"/>
      <c r="B665" s="12" t="s">
        <v>589</v>
      </c>
      <c r="G665" s="2113"/>
      <c r="H665" s="2113"/>
      <c r="I665" s="2113"/>
      <c r="J665" s="2113"/>
      <c r="K665" s="2113"/>
      <c r="L665" s="2113"/>
      <c r="M665" s="2113"/>
      <c r="N665" s="2113"/>
      <c r="O665" s="2113"/>
      <c r="P665" s="2113"/>
      <c r="Q665" s="2113"/>
      <c r="R665" s="2113"/>
      <c r="T665" s="35"/>
      <c r="U665" s="12" t="s">
        <v>589</v>
      </c>
      <c r="Z665" s="2091"/>
      <c r="AA665" s="2091"/>
      <c r="AB665" s="2091"/>
      <c r="AC665" s="2091"/>
      <c r="AD665" s="2091"/>
      <c r="AE665" s="2091"/>
      <c r="AF665" s="2091"/>
      <c r="AG665" s="2091"/>
      <c r="AH665" s="2091"/>
      <c r="AI665" s="2091"/>
      <c r="AJ665" s="2091"/>
      <c r="AK665" s="2091"/>
      <c r="AZ665" s="58"/>
      <c r="BA665" s="441" t="str">
        <f t="shared" si="43"/>
        <v>N/A</v>
      </c>
      <c r="BB665" s="58"/>
      <c r="BC665" s="58"/>
      <c r="BD665" s="58"/>
      <c r="BE665" s="58"/>
      <c r="BF665" s="377"/>
      <c r="BG665" s="452">
        <f t="shared" si="44"/>
        <v>0</v>
      </c>
      <c r="BH665" s="455">
        <f t="shared" si="46"/>
        <v>0</v>
      </c>
      <c r="BI665" s="456" t="str">
        <f t="shared" si="45"/>
        <v xml:space="preserve"> </v>
      </c>
      <c r="BJ665" s="58"/>
      <c r="BK665" s="58"/>
      <c r="BL665" s="58"/>
      <c r="BM665" s="58"/>
      <c r="BN665" s="58"/>
      <c r="BO665" s="58"/>
      <c r="BP665" s="533" t="s">
        <v>494</v>
      </c>
      <c r="BQ665" s="745">
        <v>1364</v>
      </c>
      <c r="BR665" s="746">
        <v>1462</v>
      </c>
      <c r="BS665" s="745">
        <v>1754</v>
      </c>
      <c r="BT665" s="746">
        <v>2026</v>
      </c>
      <c r="BU665" s="746">
        <v>2260</v>
      </c>
      <c r="BV665" s="747">
        <v>2492</v>
      </c>
      <c r="BW665" s="58"/>
      <c r="BX665" s="1358">
        <v>899</v>
      </c>
      <c r="BY665" s="1358">
        <v>904</v>
      </c>
      <c r="BZ665" s="1358">
        <v>1137</v>
      </c>
      <c r="CA665" s="1358">
        <v>1607</v>
      </c>
      <c r="CB665" s="1358">
        <v>1847</v>
      </c>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row>
    <row r="666" spans="1:108" ht="12.95" customHeight="1">
      <c r="A666" s="35"/>
      <c r="B666" s="12" t="s">
        <v>17</v>
      </c>
      <c r="G666" s="2113"/>
      <c r="H666" s="2113"/>
      <c r="I666" s="2113"/>
      <c r="J666" s="2113"/>
      <c r="K666" s="2113"/>
      <c r="L666" s="2113"/>
      <c r="M666" s="2113"/>
      <c r="N666" s="2113"/>
      <c r="O666" s="2113"/>
      <c r="P666" s="2113"/>
      <c r="Q666" s="2113"/>
      <c r="R666" s="2113"/>
      <c r="T666" s="35"/>
      <c r="U666" s="12" t="s">
        <v>17</v>
      </c>
      <c r="Z666" s="2091"/>
      <c r="AA666" s="2091"/>
      <c r="AB666" s="2091"/>
      <c r="AC666" s="2091"/>
      <c r="AD666" s="2091"/>
      <c r="AE666" s="2091"/>
      <c r="AF666" s="2091"/>
      <c r="AG666" s="2091"/>
      <c r="AH666" s="2091"/>
      <c r="AI666" s="2091"/>
      <c r="AJ666" s="2091"/>
      <c r="AK666" s="2091"/>
      <c r="AZ666" s="58"/>
      <c r="BA666" s="441" t="str">
        <f t="shared" si="43"/>
        <v>N/A</v>
      </c>
      <c r="BB666" s="58"/>
      <c r="BC666" s="58"/>
      <c r="BD666" s="58"/>
      <c r="BE666" s="58"/>
      <c r="BF666" s="377"/>
      <c r="BG666" s="452">
        <f t="shared" si="44"/>
        <v>0</v>
      </c>
      <c r="BH666" s="455">
        <f t="shared" si="46"/>
        <v>0</v>
      </c>
      <c r="BI666" s="456" t="str">
        <f t="shared" si="45"/>
        <v xml:space="preserve"> </v>
      </c>
      <c r="BJ666" s="58"/>
      <c r="BK666" s="58"/>
      <c r="BL666" s="58"/>
      <c r="BM666" s="58"/>
      <c r="BN666" s="58"/>
      <c r="BO666" s="58"/>
      <c r="BP666" s="533" t="s">
        <v>495</v>
      </c>
      <c r="BQ666" s="745">
        <v>1364</v>
      </c>
      <c r="BR666" s="746">
        <v>1462</v>
      </c>
      <c r="BS666" s="745">
        <v>1754</v>
      </c>
      <c r="BT666" s="746">
        <v>2026</v>
      </c>
      <c r="BU666" s="746">
        <v>2260</v>
      </c>
      <c r="BV666" s="747">
        <v>2492</v>
      </c>
      <c r="BW666" s="58"/>
      <c r="BX666" s="1358">
        <v>627</v>
      </c>
      <c r="BY666" s="1358">
        <v>717</v>
      </c>
      <c r="BZ666" s="1358">
        <v>944</v>
      </c>
      <c r="CA666" s="1358">
        <v>1167</v>
      </c>
      <c r="CB666" s="1358">
        <v>1280</v>
      </c>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row>
    <row r="667" spans="1:108" ht="12.95" customHeight="1">
      <c r="A667" s="35"/>
      <c r="B667" s="12" t="s">
        <v>317</v>
      </c>
      <c r="G667" s="2159"/>
      <c r="H667" s="2159"/>
      <c r="I667" s="2159"/>
      <c r="J667" s="2159"/>
      <c r="K667" s="2159"/>
      <c r="L667" s="2159"/>
      <c r="O667" s="137" t="s">
        <v>207</v>
      </c>
      <c r="P667" s="2167"/>
      <c r="Q667" s="2167"/>
      <c r="R667" s="2167"/>
      <c r="T667" s="35"/>
      <c r="U667" s="12" t="s">
        <v>317</v>
      </c>
      <c r="Z667" s="2159"/>
      <c r="AA667" s="2159"/>
      <c r="AB667" s="2159"/>
      <c r="AC667" s="2159"/>
      <c r="AD667" s="2159"/>
      <c r="AE667" s="2159"/>
      <c r="AH667" s="137" t="s">
        <v>207</v>
      </c>
      <c r="AI667" s="2167"/>
      <c r="AJ667" s="2167"/>
      <c r="AK667" s="2167"/>
      <c r="AZ667" s="58"/>
      <c r="BA667" s="441" t="str">
        <f t="shared" si="43"/>
        <v>N/A</v>
      </c>
      <c r="BB667" s="58"/>
      <c r="BC667" s="58"/>
      <c r="BD667" s="58"/>
      <c r="BE667" s="58"/>
      <c r="BF667" s="377"/>
      <c r="BG667" s="452">
        <f t="shared" si="44"/>
        <v>0</v>
      </c>
      <c r="BH667" s="455">
        <f t="shared" si="46"/>
        <v>0</v>
      </c>
      <c r="BI667" s="456" t="str">
        <f t="shared" si="45"/>
        <v xml:space="preserve"> </v>
      </c>
      <c r="BJ667" s="58"/>
      <c r="BK667" s="58"/>
      <c r="BL667" s="58"/>
      <c r="BM667" s="58"/>
      <c r="BN667" s="58"/>
      <c r="BO667" s="58"/>
      <c r="BP667" s="533" t="s">
        <v>496</v>
      </c>
      <c r="BQ667" s="745">
        <v>1364</v>
      </c>
      <c r="BR667" s="746">
        <v>1462</v>
      </c>
      <c r="BS667" s="745">
        <v>1754</v>
      </c>
      <c r="BT667" s="746">
        <v>2026</v>
      </c>
      <c r="BU667" s="746">
        <v>2260</v>
      </c>
      <c r="BV667" s="747">
        <v>2492</v>
      </c>
      <c r="BW667" s="58"/>
      <c r="BX667" s="1358">
        <v>741</v>
      </c>
      <c r="BY667" s="1358">
        <v>862</v>
      </c>
      <c r="BZ667" s="1358">
        <v>1112</v>
      </c>
      <c r="CA667" s="1358">
        <v>1580</v>
      </c>
      <c r="CB667" s="1358">
        <v>1903</v>
      </c>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08" ht="12.95" customHeight="1">
      <c r="A668" s="35"/>
      <c r="B668" s="12" t="s">
        <v>18</v>
      </c>
      <c r="H668" s="2113"/>
      <c r="I668" s="2113"/>
      <c r="J668" s="2113"/>
      <c r="K668" s="2113"/>
      <c r="L668" s="2113"/>
      <c r="M668" s="2113"/>
      <c r="N668" s="2113"/>
      <c r="O668" s="2113"/>
      <c r="P668" s="2113"/>
      <c r="Q668" s="2113"/>
      <c r="R668" s="2113"/>
      <c r="T668" s="35"/>
      <c r="U668" s="12" t="s">
        <v>18</v>
      </c>
      <c r="AA668" s="2113"/>
      <c r="AB668" s="2113"/>
      <c r="AC668" s="2113"/>
      <c r="AD668" s="2113"/>
      <c r="AE668" s="2113"/>
      <c r="AF668" s="2113"/>
      <c r="AG668" s="2113"/>
      <c r="AH668" s="2113"/>
      <c r="AI668" s="2113"/>
      <c r="AJ668" s="2113"/>
      <c r="AK668" s="2113"/>
      <c r="AZ668" s="58"/>
      <c r="BA668" s="441" t="str">
        <f t="shared" si="43"/>
        <v>N/A</v>
      </c>
      <c r="BB668" s="58"/>
      <c r="BC668" s="58"/>
      <c r="BD668" s="58"/>
      <c r="BE668" s="58"/>
      <c r="BF668" s="377"/>
      <c r="BG668" s="452">
        <f t="shared" si="44"/>
        <v>0</v>
      </c>
      <c r="BH668" s="455">
        <f t="shared" si="46"/>
        <v>0</v>
      </c>
      <c r="BI668" s="456" t="str">
        <f t="shared" si="45"/>
        <v xml:space="preserve"> </v>
      </c>
      <c r="BJ668" s="58"/>
      <c r="BK668" s="58"/>
      <c r="BL668" s="58"/>
      <c r="BM668" s="58"/>
      <c r="BN668" s="58"/>
      <c r="BO668" s="58"/>
      <c r="BP668" s="533" t="s">
        <v>497</v>
      </c>
      <c r="BQ668" s="745">
        <v>1364</v>
      </c>
      <c r="BR668" s="746">
        <v>1462</v>
      </c>
      <c r="BS668" s="745">
        <v>1754</v>
      </c>
      <c r="BT668" s="746">
        <v>2026</v>
      </c>
      <c r="BU668" s="746">
        <v>2260</v>
      </c>
      <c r="BV668" s="747">
        <v>2492</v>
      </c>
      <c r="BW668" s="58"/>
      <c r="BX668" s="1358">
        <v>716</v>
      </c>
      <c r="BY668" s="1358">
        <v>815</v>
      </c>
      <c r="BZ668" s="1358">
        <v>1065</v>
      </c>
      <c r="CA668" s="1358">
        <v>1486</v>
      </c>
      <c r="CB668" s="1358">
        <v>1793</v>
      </c>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08" ht="12.95" customHeight="1">
      <c r="A669" s="35"/>
      <c r="B669" s="12" t="s">
        <v>20</v>
      </c>
      <c r="N669" s="2095" t="s">
        <v>678</v>
      </c>
      <c r="O669" s="2095"/>
      <c r="T669" s="35"/>
      <c r="U669" s="12" t="s">
        <v>20</v>
      </c>
      <c r="AG669" s="2095" t="s">
        <v>678</v>
      </c>
      <c r="AH669" s="2095"/>
      <c r="AZ669" s="58"/>
      <c r="BA669" s="441" t="str">
        <f t="shared" si="43"/>
        <v>N/A</v>
      </c>
      <c r="BB669" s="58"/>
      <c r="BC669" s="58"/>
      <c r="BD669" s="58"/>
      <c r="BE669" s="58"/>
      <c r="BF669" s="377"/>
      <c r="BG669" s="452">
        <f t="shared" si="44"/>
        <v>0</v>
      </c>
      <c r="BH669" s="455">
        <f t="shared" si="46"/>
        <v>0</v>
      </c>
      <c r="BI669" s="456" t="str">
        <f t="shared" si="45"/>
        <v xml:space="preserve"> </v>
      </c>
      <c r="BJ669" s="58"/>
      <c r="BK669" s="58"/>
      <c r="BL669" s="58"/>
      <c r="BM669" s="58"/>
      <c r="BN669" s="58"/>
      <c r="BO669" s="58"/>
      <c r="BP669" s="533" t="s">
        <v>498</v>
      </c>
      <c r="BQ669" s="745">
        <v>1446</v>
      </c>
      <c r="BR669" s="746">
        <v>1550</v>
      </c>
      <c r="BS669" s="745">
        <v>1862</v>
      </c>
      <c r="BT669" s="746">
        <v>2150</v>
      </c>
      <c r="BU669" s="746">
        <v>2400</v>
      </c>
      <c r="BV669" s="747">
        <v>2646</v>
      </c>
      <c r="BW669" s="58"/>
      <c r="BX669" s="1358">
        <v>754</v>
      </c>
      <c r="BY669" s="1358">
        <v>874</v>
      </c>
      <c r="BZ669" s="1358">
        <v>1077</v>
      </c>
      <c r="CA669" s="1358">
        <v>1530</v>
      </c>
      <c r="CB669" s="1358">
        <v>1712</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08" ht="12.95" customHeight="1">
      <c r="A670" s="35"/>
      <c r="T670" s="35"/>
      <c r="AZ670" s="58"/>
      <c r="BA670" s="441" t="str">
        <f t="shared" si="43"/>
        <v>N/A</v>
      </c>
      <c r="BB670" s="58"/>
      <c r="BC670" s="58"/>
      <c r="BD670" s="58"/>
      <c r="BE670" s="58"/>
      <c r="BF670" s="377"/>
      <c r="BG670" s="452">
        <f t="shared" si="44"/>
        <v>0</v>
      </c>
      <c r="BH670" s="455">
        <f t="shared" si="46"/>
        <v>0</v>
      </c>
      <c r="BI670" s="456" t="str">
        <f t="shared" si="45"/>
        <v xml:space="preserve"> </v>
      </c>
      <c r="BJ670" s="58"/>
      <c r="BK670" s="58"/>
      <c r="BL670" s="58"/>
      <c r="BM670" s="58"/>
      <c r="BN670" s="58"/>
      <c r="BO670" s="58"/>
      <c r="BP670" s="533" t="s">
        <v>499</v>
      </c>
      <c r="BQ670" s="745">
        <v>1364</v>
      </c>
      <c r="BR670" s="746">
        <v>1462</v>
      </c>
      <c r="BS670" s="745">
        <v>1754</v>
      </c>
      <c r="BT670" s="746">
        <v>2026</v>
      </c>
      <c r="BU670" s="746">
        <v>2260</v>
      </c>
      <c r="BV670" s="747">
        <v>2492</v>
      </c>
      <c r="BW670" s="58"/>
      <c r="BX670" s="1358">
        <v>763</v>
      </c>
      <c r="BY670" s="1358">
        <v>772</v>
      </c>
      <c r="BZ670" s="1358">
        <v>1013</v>
      </c>
      <c r="CA670" s="1358">
        <v>1439</v>
      </c>
      <c r="CB670" s="1358">
        <v>1734</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08" ht="12.95" customHeight="1">
      <c r="A671" s="87" t="s">
        <v>470</v>
      </c>
      <c r="B671" s="12" t="s">
        <v>472</v>
      </c>
      <c r="G671" s="2238">
        <f>C631</f>
        <v>0</v>
      </c>
      <c r="H671" s="2238"/>
      <c r="I671" s="2238"/>
      <c r="J671" s="2238"/>
      <c r="K671" s="2238"/>
      <c r="L671" s="2238"/>
      <c r="M671" s="2238"/>
      <c r="N671" s="2238"/>
      <c r="O671" s="2238"/>
      <c r="P671" s="2238"/>
      <c r="Q671" s="2238"/>
      <c r="R671" s="2238"/>
      <c r="T671" s="87" t="s">
        <v>655</v>
      </c>
      <c r="U671" s="12" t="s">
        <v>472</v>
      </c>
      <c r="Z671" s="2238">
        <f>C632</f>
        <v>0</v>
      </c>
      <c r="AA671" s="2238"/>
      <c r="AB671" s="2238"/>
      <c r="AC671" s="2238"/>
      <c r="AD671" s="2238"/>
      <c r="AE671" s="2238"/>
      <c r="AF671" s="2238"/>
      <c r="AG671" s="2238"/>
      <c r="AH671" s="2238"/>
      <c r="AI671" s="2238"/>
      <c r="AJ671" s="2238"/>
      <c r="AK671" s="2238"/>
      <c r="AZ671" s="58"/>
      <c r="BA671" s="441" t="str">
        <f t="shared" si="43"/>
        <v>N/A</v>
      </c>
      <c r="BB671" s="58"/>
      <c r="BC671" s="58"/>
      <c r="BD671" s="58"/>
      <c r="BE671" s="58"/>
      <c r="BF671" s="377"/>
      <c r="BG671" s="452">
        <f t="shared" si="44"/>
        <v>0</v>
      </c>
      <c r="BH671" s="455">
        <f t="shared" si="46"/>
        <v>0</v>
      </c>
      <c r="BI671" s="456" t="str">
        <f t="shared" si="45"/>
        <v xml:space="preserve"> </v>
      </c>
      <c r="BJ671" s="58"/>
      <c r="BK671" s="58"/>
      <c r="BL671" s="58"/>
      <c r="BM671" s="58"/>
      <c r="BN671" s="58"/>
      <c r="BO671" s="58"/>
      <c r="BP671" s="533" t="s">
        <v>500</v>
      </c>
      <c r="BQ671" s="745">
        <v>1364</v>
      </c>
      <c r="BR671" s="746">
        <v>1462</v>
      </c>
      <c r="BS671" s="745">
        <v>1754</v>
      </c>
      <c r="BT671" s="746">
        <v>2026</v>
      </c>
      <c r="BU671" s="746">
        <v>2260</v>
      </c>
      <c r="BV671" s="747">
        <v>2492</v>
      </c>
      <c r="BW671" s="58"/>
      <c r="BX671" s="1358">
        <v>924</v>
      </c>
      <c r="BY671" s="1358">
        <v>930</v>
      </c>
      <c r="BZ671" s="1358">
        <v>1162</v>
      </c>
      <c r="CA671" s="1358">
        <v>1651</v>
      </c>
      <c r="CB671" s="1358">
        <v>1799</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row>
    <row r="672" spans="1:108" ht="12.95" customHeight="1">
      <c r="A672" s="35"/>
      <c r="B672" s="12" t="s">
        <v>86</v>
      </c>
      <c r="G672" s="2113"/>
      <c r="H672" s="2113"/>
      <c r="I672" s="2113"/>
      <c r="J672" s="2113"/>
      <c r="K672" s="2113"/>
      <c r="L672" s="2113"/>
      <c r="M672" s="2113"/>
      <c r="N672" s="2113"/>
      <c r="O672" s="2113"/>
      <c r="P672" s="2113"/>
      <c r="Q672" s="2113"/>
      <c r="R672" s="2113"/>
      <c r="T672" s="35"/>
      <c r="U672" s="12" t="s">
        <v>86</v>
      </c>
      <c r="Z672" s="2113"/>
      <c r="AA672" s="2113"/>
      <c r="AB672" s="2113"/>
      <c r="AC672" s="2113"/>
      <c r="AD672" s="2113"/>
      <c r="AE672" s="2113"/>
      <c r="AF672" s="2113"/>
      <c r="AG672" s="2113"/>
      <c r="AH672" s="2113"/>
      <c r="AI672" s="2113"/>
      <c r="AJ672" s="2113"/>
      <c r="AK672" s="2113"/>
      <c r="AZ672" s="58"/>
      <c r="BA672" s="441" t="str">
        <f t="shared" si="43"/>
        <v>N/A</v>
      </c>
      <c r="BB672" s="58"/>
      <c r="BC672" s="58"/>
      <c r="BD672" s="58"/>
      <c r="BE672" s="58"/>
      <c r="BF672" s="377"/>
      <c r="BG672" s="452">
        <f t="shared" si="44"/>
        <v>0</v>
      </c>
      <c r="BH672" s="455">
        <f t="shared" si="46"/>
        <v>0</v>
      </c>
      <c r="BI672" s="456" t="str">
        <f t="shared" si="45"/>
        <v xml:space="preserve"> </v>
      </c>
      <c r="BJ672" s="58"/>
      <c r="BK672" s="58"/>
      <c r="BL672" s="58"/>
      <c r="BM672" s="58"/>
      <c r="BN672" s="58"/>
      <c r="BO672" s="58"/>
      <c r="BP672" s="533" t="s">
        <v>501</v>
      </c>
      <c r="BQ672" s="745">
        <v>1364</v>
      </c>
      <c r="BR672" s="746">
        <v>1462</v>
      </c>
      <c r="BS672" s="745">
        <v>1754</v>
      </c>
      <c r="BT672" s="746">
        <v>2026</v>
      </c>
      <c r="BU672" s="746">
        <v>2260</v>
      </c>
      <c r="BV672" s="747">
        <v>2492</v>
      </c>
      <c r="BW672" s="58"/>
      <c r="BX672" s="1358">
        <v>678</v>
      </c>
      <c r="BY672" s="1358">
        <v>776</v>
      </c>
      <c r="BZ672" s="1358">
        <v>1021</v>
      </c>
      <c r="CA672" s="1358">
        <v>1450</v>
      </c>
      <c r="CB672" s="1358">
        <v>1544</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row>
    <row r="673" spans="1:110" ht="12.95" customHeight="1">
      <c r="A673" s="35"/>
      <c r="B673" s="12" t="s">
        <v>589</v>
      </c>
      <c r="G673" s="2113"/>
      <c r="H673" s="2113"/>
      <c r="I673" s="2113"/>
      <c r="J673" s="2113"/>
      <c r="K673" s="2113"/>
      <c r="L673" s="2113"/>
      <c r="M673" s="2113"/>
      <c r="N673" s="2113"/>
      <c r="O673" s="2113"/>
      <c r="P673" s="2113"/>
      <c r="Q673" s="2113"/>
      <c r="R673" s="2113"/>
      <c r="T673" s="35"/>
      <c r="U673" s="12" t="s">
        <v>589</v>
      </c>
      <c r="Z673" s="2091"/>
      <c r="AA673" s="2091"/>
      <c r="AB673" s="2091"/>
      <c r="AC673" s="2091"/>
      <c r="AD673" s="2091"/>
      <c r="AE673" s="2091"/>
      <c r="AF673" s="2091"/>
      <c r="AG673" s="2091"/>
      <c r="AH673" s="2091"/>
      <c r="AI673" s="2091"/>
      <c r="AJ673" s="2091"/>
      <c r="AK673" s="2091"/>
      <c r="AZ673" s="58"/>
      <c r="BA673" s="441" t="str">
        <f t="shared" si="43"/>
        <v>N/A</v>
      </c>
      <c r="BB673" s="58"/>
      <c r="BC673" s="58"/>
      <c r="BD673" s="58"/>
      <c r="BE673" s="58"/>
      <c r="BF673" s="377"/>
      <c r="BG673" s="452">
        <f t="shared" si="44"/>
        <v>0</v>
      </c>
      <c r="BH673" s="455">
        <f t="shared" si="46"/>
        <v>0</v>
      </c>
      <c r="BI673" s="456" t="str">
        <f t="shared" si="45"/>
        <v xml:space="preserve"> </v>
      </c>
      <c r="BJ673" s="58"/>
      <c r="BK673" s="58"/>
      <c r="BL673" s="58"/>
      <c r="BM673" s="58"/>
      <c r="BN673" s="58"/>
      <c r="BO673" s="58"/>
      <c r="BP673" s="533" t="s">
        <v>502</v>
      </c>
      <c r="BQ673" s="745">
        <v>1406</v>
      </c>
      <c r="BR673" s="746">
        <v>1506</v>
      </c>
      <c r="BS673" s="745">
        <v>1806</v>
      </c>
      <c r="BT673" s="746">
        <v>2088</v>
      </c>
      <c r="BU673" s="746">
        <v>2330</v>
      </c>
      <c r="BV673" s="747">
        <v>2570</v>
      </c>
      <c r="BW673" s="58"/>
      <c r="BX673" s="1358">
        <v>623</v>
      </c>
      <c r="BY673" s="1358">
        <v>712</v>
      </c>
      <c r="BZ673" s="1358">
        <v>937</v>
      </c>
      <c r="CA673" s="1358">
        <v>1331</v>
      </c>
      <c r="CB673" s="1358">
        <v>1372</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row>
    <row r="674" spans="1:110" ht="12.95" customHeight="1">
      <c r="A674" s="35"/>
      <c r="B674" s="12" t="s">
        <v>17</v>
      </c>
      <c r="G674" s="2113"/>
      <c r="H674" s="2113"/>
      <c r="I674" s="2113"/>
      <c r="J674" s="2113"/>
      <c r="K674" s="2113"/>
      <c r="L674" s="2113"/>
      <c r="M674" s="2113"/>
      <c r="N674" s="2113"/>
      <c r="O674" s="2113"/>
      <c r="P674" s="2113"/>
      <c r="Q674" s="2113"/>
      <c r="R674" s="2113"/>
      <c r="T674" s="35"/>
      <c r="U674" s="12" t="s">
        <v>17</v>
      </c>
      <c r="Z674" s="2091"/>
      <c r="AA674" s="2091"/>
      <c r="AB674" s="2091"/>
      <c r="AC674" s="2091"/>
      <c r="AD674" s="2091"/>
      <c r="AE674" s="2091"/>
      <c r="AF674" s="2091"/>
      <c r="AG674" s="2091"/>
      <c r="AH674" s="2091"/>
      <c r="AI674" s="2091"/>
      <c r="AJ674" s="2091"/>
      <c r="AK674" s="2091"/>
      <c r="AZ674" s="58"/>
      <c r="BA674" s="441" t="str">
        <f t="shared" si="43"/>
        <v>N/A</v>
      </c>
      <c r="BB674" s="58"/>
      <c r="BC674" s="58"/>
      <c r="BD674" s="58"/>
      <c r="BE674" s="58"/>
      <c r="BF674" s="377"/>
      <c r="BG674" s="452">
        <f t="shared" si="44"/>
        <v>0</v>
      </c>
      <c r="BH674" s="455">
        <f t="shared" si="46"/>
        <v>0</v>
      </c>
      <c r="BI674" s="456" t="str">
        <f t="shared" si="45"/>
        <v xml:space="preserve"> </v>
      </c>
      <c r="BJ674" s="58"/>
      <c r="BK674" s="58"/>
      <c r="BL674" s="58"/>
      <c r="BM674" s="58"/>
      <c r="BN674" s="58"/>
      <c r="BO674" s="58"/>
      <c r="BP674" s="533" t="s">
        <v>503</v>
      </c>
      <c r="BQ674" s="745">
        <v>2084</v>
      </c>
      <c r="BR674" s="746">
        <v>2232</v>
      </c>
      <c r="BS674" s="745">
        <v>2680</v>
      </c>
      <c r="BT674" s="746">
        <v>3096</v>
      </c>
      <c r="BU674" s="746">
        <v>3454</v>
      </c>
      <c r="BV674" s="747">
        <v>3812</v>
      </c>
      <c r="BW674" s="58"/>
      <c r="BX674" s="1358">
        <v>1384</v>
      </c>
      <c r="BY674" s="1358">
        <v>1604</v>
      </c>
      <c r="BZ674" s="1358">
        <v>2044</v>
      </c>
      <c r="CA674" s="1358">
        <v>2693</v>
      </c>
      <c r="CB674" s="1358">
        <v>2933</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row>
    <row r="675" spans="1:110" ht="12.95" customHeight="1">
      <c r="A675" s="35"/>
      <c r="B675" s="12" t="s">
        <v>317</v>
      </c>
      <c r="G675" s="2159"/>
      <c r="H675" s="2159"/>
      <c r="I675" s="2159"/>
      <c r="J675" s="2159"/>
      <c r="K675" s="2159"/>
      <c r="L675" s="2159"/>
      <c r="O675" s="137" t="s">
        <v>207</v>
      </c>
      <c r="P675" s="2167"/>
      <c r="Q675" s="2167"/>
      <c r="R675" s="2167"/>
      <c r="T675" s="35"/>
      <c r="U675" s="12" t="s">
        <v>317</v>
      </c>
      <c r="Z675" s="2159"/>
      <c r="AA675" s="2159"/>
      <c r="AB675" s="2159"/>
      <c r="AC675" s="2159"/>
      <c r="AD675" s="2159"/>
      <c r="AE675" s="2159"/>
      <c r="AH675" s="137" t="s">
        <v>207</v>
      </c>
      <c r="AI675" s="2167"/>
      <c r="AJ675" s="2167"/>
      <c r="AK675" s="2167"/>
      <c r="AZ675" s="58"/>
      <c r="BA675" s="441" t="str">
        <f t="shared" si="43"/>
        <v>N/A</v>
      </c>
      <c r="BB675" s="58"/>
      <c r="BC675" s="58"/>
      <c r="BD675" s="58"/>
      <c r="BE675" s="58"/>
      <c r="BF675" s="377"/>
      <c r="BG675" s="452">
        <f t="shared" si="44"/>
        <v>0</v>
      </c>
      <c r="BH675" s="455">
        <f t="shared" si="46"/>
        <v>0</v>
      </c>
      <c r="BI675" s="456" t="str">
        <f t="shared" si="45"/>
        <v xml:space="preserve"> </v>
      </c>
      <c r="BJ675" s="58"/>
      <c r="BK675" s="58"/>
      <c r="BL675" s="58"/>
      <c r="BM675" s="58"/>
      <c r="BN675" s="58"/>
      <c r="BO675" s="58"/>
      <c r="BP675" s="533" t="s">
        <v>504</v>
      </c>
      <c r="BQ675" s="745">
        <v>1364</v>
      </c>
      <c r="BR675" s="746">
        <v>1462</v>
      </c>
      <c r="BS675" s="745">
        <v>1754</v>
      </c>
      <c r="BT675" s="746">
        <v>2026</v>
      </c>
      <c r="BU675" s="746">
        <v>2260</v>
      </c>
      <c r="BV675" s="747">
        <v>2492</v>
      </c>
      <c r="BW675" s="58"/>
      <c r="BX675" s="1358">
        <v>913</v>
      </c>
      <c r="BY675" s="1358">
        <v>919</v>
      </c>
      <c r="BZ675" s="1358">
        <v>1198</v>
      </c>
      <c r="CA675" s="1358">
        <v>1702</v>
      </c>
      <c r="CB675" s="1358">
        <v>1870</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row>
    <row r="676" spans="1:110" ht="12.95" customHeight="1">
      <c r="A676" s="35"/>
      <c r="B676" s="12" t="s">
        <v>18</v>
      </c>
      <c r="H676" s="2113"/>
      <c r="I676" s="2113"/>
      <c r="J676" s="2113"/>
      <c r="K676" s="2113"/>
      <c r="L676" s="2113"/>
      <c r="M676" s="2113"/>
      <c r="N676" s="2113"/>
      <c r="O676" s="2113"/>
      <c r="P676" s="2113"/>
      <c r="Q676" s="2113"/>
      <c r="R676" s="2113"/>
      <c r="T676" s="35"/>
      <c r="U676" s="12" t="s">
        <v>18</v>
      </c>
      <c r="AA676" s="2113"/>
      <c r="AB676" s="2113"/>
      <c r="AC676" s="2113"/>
      <c r="AD676" s="2113"/>
      <c r="AE676" s="2113"/>
      <c r="AF676" s="2113"/>
      <c r="AG676" s="2113"/>
      <c r="AH676" s="2113"/>
      <c r="AI676" s="2113"/>
      <c r="AJ676" s="2113"/>
      <c r="AK676" s="2113"/>
      <c r="AZ676" s="58"/>
      <c r="BA676" s="441" t="str">
        <f t="shared" si="43"/>
        <v>N/A</v>
      </c>
      <c r="BB676" s="58"/>
      <c r="BC676" s="58"/>
      <c r="BD676" s="58"/>
      <c r="BE676" s="58"/>
      <c r="BF676" s="377"/>
      <c r="BG676" s="452">
        <f t="shared" si="44"/>
        <v>0</v>
      </c>
      <c r="BH676" s="455">
        <f t="shared" si="46"/>
        <v>0</v>
      </c>
      <c r="BI676" s="456" t="str">
        <f t="shared" si="45"/>
        <v xml:space="preserve"> </v>
      </c>
      <c r="BJ676" s="58"/>
      <c r="BK676" s="58"/>
      <c r="BL676" s="58"/>
      <c r="BM676" s="58"/>
      <c r="BN676" s="58"/>
      <c r="BO676" s="58"/>
      <c r="BP676" s="533" t="s">
        <v>505</v>
      </c>
      <c r="BQ676" s="745">
        <v>3262</v>
      </c>
      <c r="BR676" s="746">
        <v>3496</v>
      </c>
      <c r="BS676" s="745">
        <v>4194</v>
      </c>
      <c r="BT676" s="746">
        <v>4846</v>
      </c>
      <c r="BU676" s="746">
        <v>5406</v>
      </c>
      <c r="BV676" s="747">
        <v>5966</v>
      </c>
      <c r="BW676" s="58"/>
      <c r="BX676" s="1358">
        <v>2115</v>
      </c>
      <c r="BY676" s="1358">
        <v>2631</v>
      </c>
      <c r="BZ676" s="1358">
        <v>3198</v>
      </c>
      <c r="CA676" s="1358">
        <v>4111</v>
      </c>
      <c r="CB676" s="1358">
        <v>4473</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row>
    <row r="677" spans="1:110" ht="12.95" customHeight="1">
      <c r="A677" s="35"/>
      <c r="B677" s="12" t="s">
        <v>20</v>
      </c>
      <c r="N677" s="2095" t="s">
        <v>678</v>
      </c>
      <c r="O677" s="2095"/>
      <c r="T677" s="35"/>
      <c r="U677" s="12" t="s">
        <v>20</v>
      </c>
      <c r="AG677" s="2095" t="s">
        <v>678</v>
      </c>
      <c r="AH677" s="2095"/>
      <c r="AZ677" s="58"/>
      <c r="BA677" s="441" t="str">
        <f t="shared" si="43"/>
        <v>N/A</v>
      </c>
      <c r="BB677" s="58"/>
      <c r="BF677" s="377"/>
      <c r="BG677" s="452">
        <f t="shared" si="44"/>
        <v>0</v>
      </c>
      <c r="BH677" s="455">
        <f t="shared" si="46"/>
        <v>0</v>
      </c>
      <c r="BI677" s="456" t="str">
        <f t="shared" si="45"/>
        <v xml:space="preserve"> </v>
      </c>
      <c r="BL677" s="58"/>
      <c r="BM677" s="58"/>
      <c r="BN677" s="58"/>
      <c r="BO677" s="58"/>
      <c r="BP677" s="533" t="s">
        <v>53</v>
      </c>
      <c r="BQ677" s="745">
        <v>1364</v>
      </c>
      <c r="BR677" s="746">
        <v>1462</v>
      </c>
      <c r="BS677" s="745">
        <v>1754</v>
      </c>
      <c r="BT677" s="746">
        <v>2026</v>
      </c>
      <c r="BU677" s="746">
        <v>2260</v>
      </c>
      <c r="BV677" s="747">
        <v>2492</v>
      </c>
      <c r="BW677" s="58"/>
      <c r="BX677" s="1358">
        <v>718</v>
      </c>
      <c r="BY677" s="1358">
        <v>808</v>
      </c>
      <c r="BZ677" s="1358">
        <v>1063</v>
      </c>
      <c r="CA677" s="1358">
        <v>1423</v>
      </c>
      <c r="CB677" s="1358">
        <v>1819</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row>
    <row r="678" spans="1:110" ht="12.95" customHeight="1">
      <c r="A678" s="35"/>
      <c r="T678" s="35"/>
      <c r="AZ678" s="58"/>
      <c r="BA678" s="441" t="str">
        <f t="shared" si="43"/>
        <v>N/A</v>
      </c>
      <c r="BB678" s="58"/>
      <c r="BF678" s="377"/>
      <c r="BG678" s="452">
        <f t="shared" si="44"/>
        <v>0</v>
      </c>
      <c r="BH678" s="455">
        <f t="shared" si="46"/>
        <v>0</v>
      </c>
      <c r="BI678" s="456" t="str">
        <f t="shared" si="45"/>
        <v xml:space="preserve"> </v>
      </c>
      <c r="BL678" s="58"/>
      <c r="BM678" s="58"/>
      <c r="BN678" s="58"/>
      <c r="BO678" s="58"/>
      <c r="BP678" s="533" t="s">
        <v>54</v>
      </c>
      <c r="BQ678" s="745">
        <v>1406</v>
      </c>
      <c r="BR678" s="746">
        <v>1506</v>
      </c>
      <c r="BS678" s="745">
        <v>1806</v>
      </c>
      <c r="BT678" s="746">
        <v>2088</v>
      </c>
      <c r="BU678" s="746">
        <v>2330</v>
      </c>
      <c r="BV678" s="747">
        <v>2570</v>
      </c>
      <c r="BW678" s="58"/>
      <c r="BX678" s="1358">
        <v>945</v>
      </c>
      <c r="BY678" s="1358">
        <v>954</v>
      </c>
      <c r="BZ678" s="1358">
        <v>1245</v>
      </c>
      <c r="CA678" s="1358">
        <v>1729</v>
      </c>
      <c r="CB678" s="1358">
        <v>2131</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row>
    <row r="679" spans="1:110" ht="12.95" customHeight="1">
      <c r="A679" s="87" t="s">
        <v>363</v>
      </c>
      <c r="B679" s="12" t="s">
        <v>472</v>
      </c>
      <c r="G679" s="2238">
        <f>C633</f>
        <v>0</v>
      </c>
      <c r="H679" s="2238"/>
      <c r="I679" s="2238"/>
      <c r="J679" s="2238"/>
      <c r="K679" s="2238"/>
      <c r="L679" s="2238"/>
      <c r="M679" s="2238"/>
      <c r="N679" s="2238"/>
      <c r="O679" s="2238"/>
      <c r="P679" s="2238"/>
      <c r="Q679" s="2238"/>
      <c r="R679" s="2238"/>
      <c r="T679" s="87" t="s">
        <v>364</v>
      </c>
      <c r="U679" s="12" t="s">
        <v>472</v>
      </c>
      <c r="Z679" s="2238">
        <f>C634</f>
        <v>0</v>
      </c>
      <c r="AA679" s="2238"/>
      <c r="AB679" s="2238"/>
      <c r="AC679" s="2238"/>
      <c r="AD679" s="2238"/>
      <c r="AE679" s="2238"/>
      <c r="AF679" s="2238"/>
      <c r="AG679" s="2238"/>
      <c r="AH679" s="2238"/>
      <c r="AI679" s="2238"/>
      <c r="AJ679" s="2238"/>
      <c r="AK679" s="2238"/>
      <c r="AZ679" s="58"/>
      <c r="BA679" s="441" t="str">
        <f t="shared" si="43"/>
        <v>N/A</v>
      </c>
      <c r="BB679" s="58"/>
      <c r="BF679" s="377"/>
      <c r="BG679" s="452">
        <f t="shared" si="44"/>
        <v>0</v>
      </c>
      <c r="BH679" s="455">
        <f t="shared" si="46"/>
        <v>0</v>
      </c>
      <c r="BI679" s="456" t="str">
        <f t="shared" si="45"/>
        <v xml:space="preserve"> </v>
      </c>
      <c r="BL679" s="58"/>
      <c r="BM679" s="58"/>
      <c r="BN679" s="58"/>
      <c r="BO679" s="58"/>
      <c r="BP679" s="533" t="s">
        <v>55</v>
      </c>
      <c r="BQ679" s="745">
        <v>1364</v>
      </c>
      <c r="BR679" s="746">
        <v>1462</v>
      </c>
      <c r="BS679" s="745">
        <v>1754</v>
      </c>
      <c r="BT679" s="746">
        <v>2026</v>
      </c>
      <c r="BU679" s="746">
        <v>2260</v>
      </c>
      <c r="BV679" s="747">
        <v>2492</v>
      </c>
      <c r="BW679" s="58"/>
      <c r="BX679" s="1358">
        <v>766</v>
      </c>
      <c r="BY679" s="1358">
        <v>914</v>
      </c>
      <c r="BZ679" s="1358">
        <v>1120</v>
      </c>
      <c r="CA679" s="1358">
        <v>1591</v>
      </c>
      <c r="CB679" s="1358">
        <v>1917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row>
    <row r="680" spans="1:110" ht="12.95" customHeight="1">
      <c r="B680" s="12" t="s">
        <v>86</v>
      </c>
      <c r="G680" s="2113"/>
      <c r="H680" s="2113"/>
      <c r="I680" s="2113"/>
      <c r="J680" s="2113"/>
      <c r="K680" s="2113"/>
      <c r="L680" s="2113"/>
      <c r="M680" s="2113"/>
      <c r="N680" s="2113"/>
      <c r="O680" s="2113"/>
      <c r="P680" s="2113"/>
      <c r="Q680" s="2113"/>
      <c r="R680" s="2113"/>
      <c r="T680" s="35"/>
      <c r="U680" s="12" t="s">
        <v>86</v>
      </c>
      <c r="Z680" s="2113"/>
      <c r="AA680" s="2113"/>
      <c r="AB680" s="2113"/>
      <c r="AC680" s="2113"/>
      <c r="AD680" s="2113"/>
      <c r="AE680" s="2113"/>
      <c r="AF680" s="2113"/>
      <c r="AG680" s="2113"/>
      <c r="AH680" s="2113"/>
      <c r="AI680" s="2113"/>
      <c r="AJ680" s="2113"/>
      <c r="AK680" s="2113"/>
      <c r="AZ680" s="58"/>
      <c r="BA680" s="441" t="str">
        <f t="shared" si="43"/>
        <v>N/A</v>
      </c>
      <c r="BB680" s="58"/>
      <c r="BF680" s="377"/>
      <c r="BG680" s="452">
        <f t="shared" si="44"/>
        <v>0</v>
      </c>
      <c r="BH680" s="455">
        <f t="shared" si="46"/>
        <v>0</v>
      </c>
      <c r="BI680" s="456" t="str">
        <f t="shared" si="45"/>
        <v xml:space="preserve"> </v>
      </c>
      <c r="BL680" s="58"/>
      <c r="BM680" s="58"/>
      <c r="BN680" s="58"/>
      <c r="BO680" s="58"/>
      <c r="BP680" s="533" t="s">
        <v>56</v>
      </c>
      <c r="BQ680" s="745">
        <v>1364</v>
      </c>
      <c r="BR680" s="746">
        <v>1462</v>
      </c>
      <c r="BS680" s="745">
        <v>1754</v>
      </c>
      <c r="BT680" s="746">
        <v>2026</v>
      </c>
      <c r="BU680" s="746">
        <v>2260</v>
      </c>
      <c r="BV680" s="747">
        <v>2492</v>
      </c>
      <c r="BW680" s="58"/>
      <c r="BX680" s="1358">
        <v>605</v>
      </c>
      <c r="BY680" s="1358">
        <v>609</v>
      </c>
      <c r="BZ680" s="1358">
        <v>801</v>
      </c>
      <c r="CA680" s="1358">
        <v>1047</v>
      </c>
      <c r="CB680" s="1358">
        <v>1273</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row>
    <row r="681" spans="1:110" ht="12.95" customHeight="1">
      <c r="B681" s="12" t="s">
        <v>589</v>
      </c>
      <c r="G681" s="2113"/>
      <c r="H681" s="2113"/>
      <c r="I681" s="2113"/>
      <c r="J681" s="2113"/>
      <c r="K681" s="2113"/>
      <c r="L681" s="2113"/>
      <c r="M681" s="2113"/>
      <c r="N681" s="2113"/>
      <c r="O681" s="2113"/>
      <c r="P681" s="2113"/>
      <c r="Q681" s="2113"/>
      <c r="R681" s="2113"/>
      <c r="U681" s="12" t="s">
        <v>589</v>
      </c>
      <c r="Z681" s="2091"/>
      <c r="AA681" s="2091"/>
      <c r="AB681" s="2091"/>
      <c r="AC681" s="2091"/>
      <c r="AD681" s="2091"/>
      <c r="AE681" s="2091"/>
      <c r="AF681" s="2091"/>
      <c r="AG681" s="2091"/>
      <c r="AH681" s="2091"/>
      <c r="AI681" s="2091"/>
      <c r="AJ681" s="2091"/>
      <c r="AK681" s="2091"/>
      <c r="AZ681" s="58"/>
      <c r="BA681" s="58"/>
      <c r="BB681" s="58"/>
      <c r="BC681" s="58"/>
      <c r="BF681" s="377"/>
      <c r="BG681" s="452">
        <f t="shared" si="44"/>
        <v>0</v>
      </c>
      <c r="BH681" s="455">
        <f t="shared" si="46"/>
        <v>0</v>
      </c>
      <c r="BI681" s="456" t="str">
        <f t="shared" si="45"/>
        <v xml:space="preserve"> </v>
      </c>
      <c r="BM681" s="58"/>
      <c r="BN681" s="58"/>
      <c r="BO681" s="58"/>
      <c r="BP681" s="533" t="s">
        <v>60</v>
      </c>
      <c r="BQ681" s="745">
        <v>1406</v>
      </c>
      <c r="BR681" s="746">
        <v>1506</v>
      </c>
      <c r="BS681" s="745">
        <v>1806</v>
      </c>
      <c r="BT681" s="746">
        <v>2088</v>
      </c>
      <c r="BU681" s="746">
        <v>2330</v>
      </c>
      <c r="BV681" s="747">
        <v>2570</v>
      </c>
      <c r="BW681" s="58"/>
      <c r="BX681" s="1358">
        <v>1009</v>
      </c>
      <c r="BY681" s="1358">
        <v>1045</v>
      </c>
      <c r="BZ681" s="1358">
        <v>1319</v>
      </c>
      <c r="CA681" s="1358">
        <v>1829</v>
      </c>
      <c r="CB681" s="1358">
        <v>2096</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10" ht="12.95" customHeight="1">
      <c r="B682" s="12" t="s">
        <v>17</v>
      </c>
      <c r="G682" s="2113"/>
      <c r="H682" s="2113"/>
      <c r="I682" s="2113"/>
      <c r="J682" s="2113"/>
      <c r="K682" s="2113"/>
      <c r="L682" s="2113"/>
      <c r="M682" s="2113"/>
      <c r="N682" s="2113"/>
      <c r="O682" s="2113"/>
      <c r="P682" s="2113"/>
      <c r="Q682" s="2113"/>
      <c r="R682" s="2113"/>
      <c r="U682" s="12" t="s">
        <v>17</v>
      </c>
      <c r="Z682" s="2091"/>
      <c r="AA682" s="2091"/>
      <c r="AB682" s="2091"/>
      <c r="AC682" s="2091"/>
      <c r="AD682" s="2091"/>
      <c r="AE682" s="2091"/>
      <c r="AF682" s="2091"/>
      <c r="AG682" s="2091"/>
      <c r="AH682" s="2091"/>
      <c r="AI682" s="2091"/>
      <c r="AJ682" s="2091"/>
      <c r="AK682" s="2091"/>
      <c r="AZ682" s="58"/>
      <c r="BA682" s="58"/>
      <c r="BB682" s="58"/>
      <c r="BC682" s="58"/>
      <c r="BD682" s="58"/>
      <c r="BF682" s="448" t="s">
        <v>932</v>
      </c>
      <c r="BG682" s="457">
        <f>SUM(BG657:BG681)</f>
        <v>69</v>
      </c>
      <c r="BH682" s="458">
        <f>SUM(BH657:BH681)</f>
        <v>1</v>
      </c>
      <c r="BI682" s="458">
        <f>SUM(BI657:BI681)</f>
        <v>0.48405797101449277</v>
      </c>
      <c r="BN682" s="58"/>
      <c r="BO682" s="58"/>
      <c r="BP682" s="533" t="s">
        <v>61</v>
      </c>
      <c r="BQ682" s="745">
        <v>1990</v>
      </c>
      <c r="BR682" s="746">
        <v>2132</v>
      </c>
      <c r="BS682" s="745">
        <v>2560</v>
      </c>
      <c r="BT682" s="746">
        <v>2956</v>
      </c>
      <c r="BU682" s="746">
        <v>3296</v>
      </c>
      <c r="BV682" s="747">
        <v>3638</v>
      </c>
      <c r="BW682" s="58"/>
      <c r="BX682" s="1358">
        <v>1533</v>
      </c>
      <c r="BY682" s="1358">
        <v>1616</v>
      </c>
      <c r="BZ682" s="1358">
        <v>1967</v>
      </c>
      <c r="CA682" s="1358">
        <v>2794</v>
      </c>
      <c r="CB682" s="1358">
        <v>3081</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c r="DE682" s="58"/>
      <c r="DF682" s="58"/>
    </row>
    <row r="683" spans="1:110" ht="12.95" customHeight="1">
      <c r="B683" s="12" t="s">
        <v>317</v>
      </c>
      <c r="G683" s="2159"/>
      <c r="H683" s="2159"/>
      <c r="I683" s="2159"/>
      <c r="J683" s="2159"/>
      <c r="K683" s="2159"/>
      <c r="L683" s="2159"/>
      <c r="O683" s="137" t="s">
        <v>207</v>
      </c>
      <c r="P683" s="2167"/>
      <c r="Q683" s="2167"/>
      <c r="R683" s="2167"/>
      <c r="U683" s="12" t="s">
        <v>317</v>
      </c>
      <c r="Z683" s="2159"/>
      <c r="AA683" s="2159"/>
      <c r="AB683" s="2159"/>
      <c r="AC683" s="2159"/>
      <c r="AD683" s="2159"/>
      <c r="AE683" s="2159"/>
      <c r="AH683" s="137" t="s">
        <v>207</v>
      </c>
      <c r="AI683" s="2167"/>
      <c r="AJ683" s="2167"/>
      <c r="AK683" s="2167"/>
      <c r="AZ683" s="58"/>
      <c r="BA683" s="58"/>
      <c r="BB683" s="58"/>
      <c r="BC683" s="58"/>
      <c r="BD683" s="58"/>
      <c r="BE683" s="58"/>
      <c r="BF683" s="58"/>
      <c r="BG683" s="58"/>
      <c r="BH683" s="58"/>
      <c r="BI683" s="58"/>
      <c r="BJ683" s="58"/>
      <c r="BK683" s="58"/>
      <c r="BL683" s="58"/>
      <c r="BM683" s="58"/>
      <c r="BN683" s="58"/>
      <c r="BO683" s="58"/>
      <c r="BP683" s="533" t="s">
        <v>62</v>
      </c>
      <c r="BQ683" s="745">
        <v>2206</v>
      </c>
      <c r="BR683" s="746">
        <v>2364</v>
      </c>
      <c r="BS683" s="745">
        <v>2836</v>
      </c>
      <c r="BT683" s="746">
        <v>3278</v>
      </c>
      <c r="BU683" s="746">
        <v>3656</v>
      </c>
      <c r="BV683" s="747">
        <v>4036</v>
      </c>
      <c r="BW683" s="58"/>
      <c r="BX683" s="1358">
        <v>1438</v>
      </c>
      <c r="BY683" s="1358">
        <v>1645</v>
      </c>
      <c r="BZ683" s="1358">
        <v>2164</v>
      </c>
      <c r="CA683" s="1358">
        <v>2924</v>
      </c>
      <c r="CB683" s="1358">
        <v>2935</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c r="DE683" s="58"/>
      <c r="DF683" s="58"/>
    </row>
    <row r="684" spans="1:110" ht="12.95" customHeight="1">
      <c r="B684" s="12" t="s">
        <v>18</v>
      </c>
      <c r="H684" s="2113"/>
      <c r="I684" s="2113"/>
      <c r="J684" s="2113"/>
      <c r="K684" s="2113"/>
      <c r="L684" s="2113"/>
      <c r="M684" s="2113"/>
      <c r="N684" s="2113"/>
      <c r="O684" s="2113"/>
      <c r="P684" s="2113"/>
      <c r="Q684" s="2113"/>
      <c r="R684" s="2113"/>
      <c r="U684" s="12" t="s">
        <v>18</v>
      </c>
      <c r="AA684" s="2113"/>
      <c r="AB684" s="2113"/>
      <c r="AC684" s="2113"/>
      <c r="AD684" s="2113"/>
      <c r="AE684" s="2113"/>
      <c r="AF684" s="2113"/>
      <c r="AG684" s="2113"/>
      <c r="AH684" s="2113"/>
      <c r="AI684" s="2113"/>
      <c r="AJ684" s="2113"/>
      <c r="AK684" s="2113"/>
      <c r="AZ684" s="58"/>
      <c r="BA684" s="58"/>
      <c r="BB684" s="58"/>
      <c r="BC684" s="58"/>
      <c r="BD684" s="58"/>
      <c r="BE684" s="58"/>
      <c r="BF684" s="58"/>
      <c r="BG684" s="58"/>
      <c r="BH684" s="58"/>
      <c r="BI684" s="58"/>
      <c r="BJ684" s="58"/>
      <c r="BK684" s="58"/>
      <c r="BL684" s="58"/>
      <c r="BM684" s="58"/>
      <c r="BN684" s="58"/>
      <c r="BO684" s="58"/>
      <c r="BP684" s="533" t="s">
        <v>63</v>
      </c>
      <c r="BQ684" s="745">
        <v>1722</v>
      </c>
      <c r="BR684" s="746">
        <v>1846</v>
      </c>
      <c r="BS684" s="745">
        <v>2214</v>
      </c>
      <c r="BT684" s="746">
        <v>2558</v>
      </c>
      <c r="BU684" s="746">
        <v>2854</v>
      </c>
      <c r="BV684" s="747">
        <v>3150</v>
      </c>
      <c r="BW684" s="58"/>
      <c r="BX684" s="1358">
        <v>921</v>
      </c>
      <c r="BY684" s="1358">
        <v>993</v>
      </c>
      <c r="BZ684" s="1358">
        <v>1307</v>
      </c>
      <c r="CA684" s="1358">
        <v>1857</v>
      </c>
      <c r="CB684" s="1358">
        <v>2037</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c r="DE684" s="58"/>
      <c r="DF684" s="58"/>
    </row>
    <row r="685" spans="1:110" ht="12.95" customHeight="1">
      <c r="B685" s="12" t="s">
        <v>20</v>
      </c>
      <c r="N685" s="2095" t="s">
        <v>678</v>
      </c>
      <c r="O685" s="2095"/>
      <c r="U685" s="12" t="s">
        <v>20</v>
      </c>
      <c r="AG685" s="2095" t="s">
        <v>678</v>
      </c>
      <c r="AH685" s="2095"/>
      <c r="AZ685" s="61"/>
      <c r="BA685" s="61"/>
      <c r="BB685" s="61"/>
      <c r="BC685" s="61"/>
      <c r="BD685" s="61"/>
      <c r="BE685" s="61"/>
      <c r="BF685" s="61"/>
      <c r="BG685" s="61"/>
      <c r="BH685" s="61"/>
      <c r="BI685" s="61"/>
      <c r="BJ685" s="61"/>
      <c r="BK685" s="61"/>
      <c r="BL685" s="61"/>
      <c r="BM685" s="61"/>
      <c r="BN685" s="61"/>
      <c r="BO685" s="61"/>
      <c r="BP685" s="533" t="s">
        <v>64</v>
      </c>
      <c r="BQ685" s="745">
        <v>2372</v>
      </c>
      <c r="BR685" s="746">
        <v>2540</v>
      </c>
      <c r="BS685" s="745">
        <v>3050</v>
      </c>
      <c r="BT685" s="746">
        <v>3522</v>
      </c>
      <c r="BU685" s="746">
        <v>3930</v>
      </c>
      <c r="BV685" s="747">
        <v>4336</v>
      </c>
      <c r="BW685" s="61"/>
      <c r="BX685" s="1706">
        <v>1716</v>
      </c>
      <c r="BY685" s="1706">
        <v>1905</v>
      </c>
      <c r="BZ685" s="1706">
        <v>2324</v>
      </c>
      <c r="CA685" s="1706">
        <v>3178</v>
      </c>
      <c r="CB685" s="1706">
        <v>3674</v>
      </c>
      <c r="CC685" s="61"/>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c r="DD685" s="58"/>
      <c r="DE685" s="58"/>
      <c r="DF685" s="58"/>
    </row>
    <row r="686" spans="1:110" ht="12.95" customHeight="1">
      <c r="AZ686" s="61"/>
      <c r="BA686" s="61"/>
      <c r="BB686" s="61"/>
      <c r="BC686" s="61"/>
      <c r="BD686" s="61"/>
      <c r="BE686" s="61"/>
      <c r="BF686" s="61"/>
      <c r="BG686" s="61"/>
      <c r="BH686" s="61"/>
      <c r="BI686" s="61"/>
      <c r="BJ686" s="61"/>
      <c r="BK686" s="61"/>
      <c r="BL686" s="61"/>
      <c r="BM686" s="61"/>
      <c r="BN686" s="61"/>
      <c r="BO686" s="61"/>
      <c r="BP686" s="533" t="s">
        <v>65</v>
      </c>
      <c r="BQ686" s="745">
        <v>1774</v>
      </c>
      <c r="BR686" s="746">
        <v>1900</v>
      </c>
      <c r="BS686" s="745">
        <v>2280</v>
      </c>
      <c r="BT686" s="746">
        <v>2634</v>
      </c>
      <c r="BU686" s="746">
        <v>2940</v>
      </c>
      <c r="BV686" s="747">
        <v>3242</v>
      </c>
      <c r="BW686" s="61"/>
      <c r="BX686" s="1706">
        <v>1108</v>
      </c>
      <c r="BY686" s="1706">
        <v>1228</v>
      </c>
      <c r="BZ686" s="1706">
        <v>1543</v>
      </c>
      <c r="CA686" s="1706">
        <v>2192</v>
      </c>
      <c r="CB686" s="1706">
        <v>2625</v>
      </c>
      <c r="CC686" s="61"/>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c r="DD686" s="58"/>
      <c r="DE686" s="58"/>
      <c r="DF686" s="58"/>
    </row>
    <row r="687" spans="1:110" ht="12.95" customHeight="1">
      <c r="A687" s="50" t="s">
        <v>585</v>
      </c>
      <c r="C687" s="50" t="s">
        <v>328</v>
      </c>
      <c r="E687" s="197"/>
      <c r="F687" s="197"/>
      <c r="G687" s="197"/>
      <c r="H687" s="197"/>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670"/>
      <c r="AN687" s="670"/>
      <c r="AO687" s="670"/>
      <c r="AP687" s="670"/>
      <c r="AQ687" s="670"/>
      <c r="AR687" s="670"/>
      <c r="AS687" s="670"/>
      <c r="AT687" s="670"/>
      <c r="AU687" s="670"/>
      <c r="AV687" s="670"/>
      <c r="AW687" s="670"/>
      <c r="AX687" s="670"/>
      <c r="AY687" s="670"/>
      <c r="AZ687" s="61"/>
      <c r="BA687" s="61"/>
      <c r="BB687" s="61"/>
      <c r="BC687" s="61"/>
      <c r="BD687" s="61"/>
      <c r="BE687" s="61"/>
      <c r="BF687" s="61"/>
      <c r="BG687" s="333" t="s">
        <v>1804</v>
      </c>
      <c r="BH687" s="377"/>
      <c r="BI687" s="377"/>
      <c r="BJ687" s="58"/>
      <c r="BK687" s="61"/>
      <c r="BL687" s="61"/>
      <c r="BM687" s="61"/>
      <c r="BN687" s="61"/>
      <c r="BO687" s="61"/>
      <c r="BP687" s="533" t="s">
        <v>66</v>
      </c>
      <c r="BQ687" s="745">
        <v>1430</v>
      </c>
      <c r="BR687" s="746">
        <v>1532</v>
      </c>
      <c r="BS687" s="745">
        <v>1840</v>
      </c>
      <c r="BT687" s="746">
        <v>2124</v>
      </c>
      <c r="BU687" s="746">
        <v>2370</v>
      </c>
      <c r="BV687" s="747">
        <v>2616</v>
      </c>
      <c r="BW687" s="61"/>
      <c r="BX687" s="1706">
        <v>608</v>
      </c>
      <c r="BY687" s="1706">
        <v>716</v>
      </c>
      <c r="BZ687" s="1706">
        <v>915</v>
      </c>
      <c r="CA687" s="1706">
        <v>1300</v>
      </c>
      <c r="CB687" s="1706">
        <v>1566</v>
      </c>
      <c r="CC687" s="61"/>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c r="DD687" s="58"/>
      <c r="DE687" s="58"/>
      <c r="DF687" s="58"/>
    </row>
    <row r="688" spans="1:110" ht="12.95" customHeight="1">
      <c r="A688" s="32"/>
      <c r="B688" s="202"/>
      <c r="C688" s="202"/>
      <c r="D688" s="203" t="s">
        <v>436</v>
      </c>
      <c r="E688" s="202"/>
      <c r="F688" s="202"/>
      <c r="G688" s="202"/>
      <c r="H688" s="202"/>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G688" s="204"/>
      <c r="AH688" s="204"/>
      <c r="AI688" s="204"/>
      <c r="AJ688" s="204"/>
      <c r="AK688" s="204"/>
      <c r="AL688" s="204"/>
      <c r="AM688" s="88"/>
      <c r="AN688" s="88"/>
      <c r="AO688" s="88"/>
      <c r="AP688" s="88"/>
      <c r="AQ688" s="88"/>
      <c r="AR688" s="88"/>
      <c r="AS688" s="88"/>
      <c r="AT688" s="88"/>
      <c r="AU688" s="88"/>
      <c r="AV688" s="88"/>
      <c r="AW688" s="88"/>
      <c r="AX688" s="88"/>
      <c r="AY688" s="88"/>
      <c r="AZ688" s="61"/>
      <c r="BA688" s="61"/>
      <c r="BB688" s="61"/>
      <c r="BC688" s="61"/>
      <c r="BD688" s="61"/>
      <c r="BE688" s="61"/>
      <c r="BF688" s="61"/>
      <c r="BG688" s="449" t="s">
        <v>929</v>
      </c>
      <c r="BH688" s="454" t="s">
        <v>930</v>
      </c>
      <c r="BI688" s="453" t="s">
        <v>931</v>
      </c>
      <c r="BJ688" s="58"/>
      <c r="BK688" s="61"/>
      <c r="BL688" s="61"/>
      <c r="BM688" s="61"/>
      <c r="BN688" s="61"/>
      <c r="BO688" s="61"/>
      <c r="BP688" s="533" t="s">
        <v>67</v>
      </c>
      <c r="BQ688" s="745">
        <v>1540</v>
      </c>
      <c r="BR688" s="746">
        <v>1650</v>
      </c>
      <c r="BS688" s="745">
        <v>1980</v>
      </c>
      <c r="BT688" s="746">
        <v>2288</v>
      </c>
      <c r="BU688" s="746">
        <v>2552</v>
      </c>
      <c r="BV688" s="747">
        <v>2816</v>
      </c>
      <c r="BW688" s="61"/>
      <c r="BX688" s="1706">
        <v>1062</v>
      </c>
      <c r="BY688" s="1706">
        <v>1202</v>
      </c>
      <c r="BZ688" s="1706">
        <v>1509</v>
      </c>
      <c r="CA688" s="1706">
        <v>2065</v>
      </c>
      <c r="CB688" s="1706">
        <v>2542</v>
      </c>
      <c r="CC688" s="61"/>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c r="DD688" s="58"/>
      <c r="DE688" s="58"/>
      <c r="DF688" s="58"/>
    </row>
    <row r="689" spans="1:110" ht="12.95" customHeight="1">
      <c r="A689" s="32"/>
      <c r="B689" s="202"/>
      <c r="C689" s="202"/>
      <c r="E689" s="203" t="s">
        <v>437</v>
      </c>
      <c r="F689" s="202"/>
      <c r="G689" s="202"/>
      <c r="H689" s="202"/>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95" t="s">
        <v>678</v>
      </c>
      <c r="AF689" s="2095"/>
      <c r="AH689" s="204"/>
      <c r="AI689" s="204"/>
      <c r="AJ689" s="204"/>
      <c r="AK689" s="204"/>
      <c r="AL689" s="204"/>
      <c r="AM689" s="88"/>
      <c r="AN689" s="88"/>
      <c r="AO689" s="88"/>
      <c r="AP689" s="88"/>
      <c r="AQ689" s="88"/>
      <c r="AR689" s="88"/>
      <c r="AS689" s="88"/>
      <c r="AT689" s="88"/>
      <c r="AU689" s="88"/>
      <c r="AV689" s="88"/>
      <c r="AW689" s="88"/>
      <c r="AX689" s="88"/>
      <c r="AY689" s="88"/>
      <c r="AZ689" s="61"/>
      <c r="BA689" s="61"/>
      <c r="BB689" s="61"/>
      <c r="BC689" s="61"/>
      <c r="BD689" s="61"/>
      <c r="BE689" s="61"/>
      <c r="BF689" s="61"/>
      <c r="BG689" s="451">
        <f t="shared" ref="BG689:BG713" si="47">G714</f>
        <v>25</v>
      </c>
      <c r="BH689" s="455">
        <f>BG689/$BG$714</f>
        <v>0.36231884057971014</v>
      </c>
      <c r="BI689" s="456">
        <f t="shared" ref="BI689:BI713" si="48">IF(BH689=0," ",BH689*AH714)</f>
        <v>7.2463768115942032E-2</v>
      </c>
      <c r="BJ689" s="58"/>
      <c r="BK689" s="61"/>
      <c r="BL689" s="61"/>
      <c r="BM689" s="61"/>
      <c r="BN689" s="61"/>
      <c r="BO689" s="61"/>
      <c r="BP689" s="533" t="s">
        <v>68</v>
      </c>
      <c r="BQ689" s="745">
        <v>1774</v>
      </c>
      <c r="BR689" s="746">
        <v>1900</v>
      </c>
      <c r="BS689" s="745">
        <v>2280</v>
      </c>
      <c r="BT689" s="746">
        <v>2634</v>
      </c>
      <c r="BU689" s="746">
        <v>2940</v>
      </c>
      <c r="BV689" s="747">
        <v>3242</v>
      </c>
      <c r="BW689" s="61"/>
      <c r="BX689" s="1706">
        <v>1108</v>
      </c>
      <c r="BY689" s="1706">
        <v>1228</v>
      </c>
      <c r="BZ689" s="1706">
        <v>1543</v>
      </c>
      <c r="CA689" s="1706">
        <v>2192</v>
      </c>
      <c r="CB689" s="1706">
        <v>2625</v>
      </c>
      <c r="CC689" s="61"/>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c r="DD689" s="58"/>
      <c r="DE689" s="58"/>
      <c r="DF689" s="58"/>
    </row>
    <row r="690" spans="1:110" ht="12.95" customHeight="1">
      <c r="A690" s="32"/>
      <c r="B690" s="202"/>
      <c r="C690" s="202"/>
      <c r="D690" s="205" t="s">
        <v>440</v>
      </c>
      <c r="E690" s="202"/>
      <c r="F690" s="202"/>
      <c r="G690" s="202"/>
      <c r="H690" s="202"/>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95" t="s">
        <v>678</v>
      </c>
      <c r="AF690" s="2095"/>
      <c r="AG690" s="204"/>
      <c r="AH690" s="204"/>
      <c r="AJ690" s="204"/>
      <c r="AK690" s="204"/>
      <c r="AL690" s="204"/>
      <c r="AM690" s="88"/>
      <c r="AN690" s="88"/>
      <c r="AO690" s="88"/>
      <c r="AP690" s="88"/>
      <c r="AQ690" s="88"/>
      <c r="AR690" s="88"/>
      <c r="AS690" s="88"/>
      <c r="AT690" s="88"/>
      <c r="AU690" s="88"/>
      <c r="AV690" s="88"/>
      <c r="AW690" s="88"/>
      <c r="AX690" s="88"/>
      <c r="AY690" s="88"/>
      <c r="AZ690" s="61"/>
      <c r="BA690" s="61"/>
      <c r="BB690" s="61"/>
      <c r="BC690" s="61"/>
      <c r="BD690" s="61"/>
      <c r="BE690" s="61"/>
      <c r="BF690" s="61"/>
      <c r="BG690" s="452">
        <f t="shared" si="47"/>
        <v>7</v>
      </c>
      <c r="BH690" s="455">
        <f t="shared" ref="BH690:BH713" si="49">BG690/$BG$714</f>
        <v>0.10144927536231885</v>
      </c>
      <c r="BI690" s="456">
        <f t="shared" si="48"/>
        <v>3.0434782608695653E-2</v>
      </c>
      <c r="BJ690" s="58"/>
      <c r="BK690" s="61"/>
      <c r="BL690" s="61"/>
      <c r="BM690" s="61"/>
      <c r="BN690" s="61"/>
      <c r="BO690" s="61"/>
      <c r="BP690" s="533" t="s">
        <v>739</v>
      </c>
      <c r="BQ690" s="745">
        <v>1840</v>
      </c>
      <c r="BR690" s="746">
        <v>1970</v>
      </c>
      <c r="BS690" s="745">
        <v>2364</v>
      </c>
      <c r="BT690" s="746">
        <v>2732</v>
      </c>
      <c r="BU690" s="746">
        <v>3050</v>
      </c>
      <c r="BV690" s="747">
        <v>3364</v>
      </c>
      <c r="BW690" s="61"/>
      <c r="BX690" s="1706">
        <v>1096</v>
      </c>
      <c r="BY690" s="1706">
        <v>1253</v>
      </c>
      <c r="BZ690" s="1706">
        <v>1649</v>
      </c>
      <c r="CA690" s="1706">
        <v>2342</v>
      </c>
      <c r="CB690" s="1706">
        <v>2822</v>
      </c>
      <c r="CC690" s="61"/>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c r="DD690" s="58"/>
      <c r="DE690" s="58"/>
      <c r="DF690" s="58"/>
    </row>
    <row r="691" spans="1:110" ht="12.95" customHeight="1">
      <c r="A691" s="32"/>
      <c r="B691" s="202"/>
      <c r="C691" s="202"/>
      <c r="D691" s="203" t="s">
        <v>959</v>
      </c>
      <c r="E691" s="202"/>
      <c r="F691" s="202"/>
      <c r="G691" s="202"/>
      <c r="H691" s="202"/>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291"/>
      <c r="AF691" s="2291"/>
      <c r="AG691" s="2291"/>
      <c r="AH691" s="2291"/>
      <c r="AI691" s="2291"/>
      <c r="AJ691" s="204"/>
      <c r="AK691" s="204"/>
      <c r="AL691" s="204"/>
      <c r="AM691" s="88"/>
      <c r="AN691" s="88"/>
      <c r="AO691" s="88"/>
      <c r="AP691" s="88"/>
      <c r="AQ691" s="88"/>
      <c r="AR691" s="88"/>
      <c r="AS691" s="88"/>
      <c r="AT691" s="88"/>
      <c r="AU691" s="88"/>
      <c r="AV691" s="88"/>
      <c r="AW691" s="88"/>
      <c r="AX691" s="88"/>
      <c r="AY691" s="88"/>
      <c r="AZ691" s="61"/>
      <c r="BA691" s="61"/>
      <c r="BB691" s="61"/>
      <c r="BC691" s="61"/>
      <c r="BD691" s="61"/>
      <c r="BE691" s="177"/>
      <c r="BF691" s="177"/>
      <c r="BG691" s="452">
        <f t="shared" si="47"/>
        <v>3</v>
      </c>
      <c r="BH691" s="455">
        <f t="shared" si="49"/>
        <v>4.3478260869565216E-2</v>
      </c>
      <c r="BI691" s="456">
        <f t="shared" si="48"/>
        <v>2.1739130434782608E-2</v>
      </c>
      <c r="BJ691" s="58"/>
      <c r="BK691" s="58"/>
      <c r="BL691" s="58"/>
      <c r="BM691" s="58"/>
      <c r="BN691" s="61"/>
      <c r="BO691" s="61"/>
      <c r="BP691" s="533" t="s">
        <v>740</v>
      </c>
      <c r="BQ691" s="745">
        <v>1540</v>
      </c>
      <c r="BR691" s="746">
        <v>1650</v>
      </c>
      <c r="BS691" s="745">
        <v>1980</v>
      </c>
      <c r="BT691" s="746">
        <v>2288</v>
      </c>
      <c r="BU691" s="746">
        <v>2552</v>
      </c>
      <c r="BV691" s="747">
        <v>2816</v>
      </c>
      <c r="BW691" s="61"/>
      <c r="BX691" s="1706">
        <v>1062</v>
      </c>
      <c r="BY691" s="1706">
        <v>1202</v>
      </c>
      <c r="BZ691" s="1706">
        <v>1509</v>
      </c>
      <c r="CA691" s="1706">
        <v>2065</v>
      </c>
      <c r="CB691" s="1706">
        <v>2542</v>
      </c>
      <c r="CC691" s="61"/>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c r="DD691" s="58"/>
      <c r="DE691" s="58"/>
      <c r="DF691" s="58"/>
    </row>
    <row r="692" spans="1:110" ht="12.95" customHeight="1">
      <c r="A692" s="32"/>
      <c r="B692" s="202"/>
      <c r="C692" s="202"/>
      <c r="D692" s="490" t="s">
        <v>1022</v>
      </c>
      <c r="E692" s="202"/>
      <c r="F692" s="202"/>
      <c r="G692" s="202"/>
      <c r="H692" s="202"/>
      <c r="I692" s="204"/>
      <c r="J692" s="204"/>
      <c r="K692" s="204"/>
      <c r="L692" s="204"/>
      <c r="M692" s="204"/>
      <c r="N692" s="204"/>
      <c r="O692" s="204"/>
      <c r="P692" s="204"/>
      <c r="Q692" s="204"/>
      <c r="R692" s="204"/>
      <c r="S692" s="204"/>
      <c r="T692" s="204"/>
      <c r="W692" s="88"/>
      <c r="X692" s="88"/>
      <c r="Y692" s="88"/>
      <c r="Z692" s="88"/>
      <c r="AA692" s="88"/>
      <c r="AB692" s="88"/>
      <c r="AC692" s="88"/>
      <c r="AD692" s="88"/>
      <c r="AE692" s="2461"/>
      <c r="AF692" s="2461"/>
      <c r="AG692" s="2461"/>
      <c r="AH692" s="2461"/>
      <c r="AI692" s="2461"/>
      <c r="AJ692" s="88"/>
      <c r="AK692" s="88"/>
      <c r="AL692" s="204"/>
      <c r="AM692" s="88"/>
      <c r="AN692" s="88"/>
      <c r="AO692" s="88"/>
      <c r="AP692" s="88"/>
      <c r="AQ692" s="88"/>
      <c r="AR692" s="88"/>
      <c r="AS692" s="88"/>
      <c r="AT692" s="88"/>
      <c r="AU692" s="88"/>
      <c r="AV692" s="88"/>
      <c r="AW692" s="88"/>
      <c r="AX692" s="88"/>
      <c r="AY692" s="88"/>
      <c r="AZ692" s="61"/>
      <c r="BA692" s="61"/>
      <c r="BB692" s="61"/>
      <c r="BC692" s="61"/>
      <c r="BD692" s="61"/>
      <c r="BE692" s="177"/>
      <c r="BF692" s="49"/>
      <c r="BG692" s="452">
        <f t="shared" si="47"/>
        <v>12</v>
      </c>
      <c r="BH692" s="455">
        <f t="shared" si="49"/>
        <v>0.17391304347826086</v>
      </c>
      <c r="BI692" s="456">
        <f t="shared" si="48"/>
        <v>0.10434782608695652</v>
      </c>
      <c r="BJ692" s="58"/>
      <c r="BK692" s="58"/>
      <c r="BL692" s="58"/>
      <c r="BM692" s="58"/>
      <c r="BN692" s="61"/>
      <c r="BO692" s="61"/>
      <c r="BP692" s="533" t="s">
        <v>741</v>
      </c>
      <c r="BQ692" s="745">
        <v>2276</v>
      </c>
      <c r="BR692" s="746">
        <v>2440</v>
      </c>
      <c r="BS692" s="745">
        <v>2926</v>
      </c>
      <c r="BT692" s="746">
        <v>3382</v>
      </c>
      <c r="BU692" s="746">
        <v>3774</v>
      </c>
      <c r="BV692" s="747">
        <v>4164</v>
      </c>
      <c r="BW692" s="61"/>
      <c r="BX692" s="1706">
        <v>1394</v>
      </c>
      <c r="BY692" s="1706">
        <v>1542</v>
      </c>
      <c r="BZ692" s="1706">
        <v>1979</v>
      </c>
      <c r="CA692" s="1706">
        <v>2748</v>
      </c>
      <c r="CB692" s="1706">
        <v>3365</v>
      </c>
      <c r="CC692" s="61"/>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c r="DD692" s="58"/>
      <c r="DE692" s="58"/>
      <c r="DF692" s="58"/>
    </row>
    <row r="693" spans="1:110" ht="12.95" customHeight="1">
      <c r="A693" s="32"/>
      <c r="B693" s="202"/>
      <c r="C693" s="202"/>
      <c r="AJ693" s="204"/>
      <c r="AK693" s="204"/>
      <c r="AL693" s="204"/>
      <c r="AM693" s="88"/>
      <c r="AN693" s="88"/>
      <c r="AO693" s="88"/>
      <c r="AP693" s="88"/>
      <c r="AQ693" s="88"/>
      <c r="AR693" s="88"/>
      <c r="AS693" s="88"/>
      <c r="AT693" s="88"/>
      <c r="AU693" s="88"/>
      <c r="AV693" s="88"/>
      <c r="AW693" s="88"/>
      <c r="AX693" s="88"/>
      <c r="AY693" s="88"/>
      <c r="AZ693" s="61"/>
      <c r="BA693" s="61"/>
      <c r="BB693" s="61"/>
      <c r="BC693" s="61"/>
      <c r="BD693" s="61"/>
      <c r="BE693" s="177"/>
      <c r="BF693" s="177"/>
      <c r="BG693" s="452">
        <f t="shared" si="47"/>
        <v>22</v>
      </c>
      <c r="BH693" s="455">
        <f t="shared" si="49"/>
        <v>0.3188405797101449</v>
      </c>
      <c r="BI693" s="456">
        <f t="shared" si="48"/>
        <v>0.25507246376811593</v>
      </c>
      <c r="BJ693" s="58"/>
      <c r="BK693" s="58"/>
      <c r="BL693" s="58"/>
      <c r="BM693" s="58"/>
      <c r="BN693" s="61"/>
      <c r="BO693" s="61"/>
      <c r="BP693" s="533" t="s">
        <v>742</v>
      </c>
      <c r="BQ693" s="745">
        <v>3262</v>
      </c>
      <c r="BR693" s="746">
        <v>3496</v>
      </c>
      <c r="BS693" s="745">
        <v>4194</v>
      </c>
      <c r="BT693" s="746">
        <v>4846</v>
      </c>
      <c r="BU693" s="746">
        <v>5406</v>
      </c>
      <c r="BV693" s="747">
        <v>5966</v>
      </c>
      <c r="BW693" s="61"/>
      <c r="BX693" s="1706">
        <v>2115</v>
      </c>
      <c r="BY693" s="1706">
        <v>2631</v>
      </c>
      <c r="BZ693" s="1706">
        <v>3198</v>
      </c>
      <c r="CA693" s="1706">
        <v>4111</v>
      </c>
      <c r="CB693" s="1706">
        <v>4473</v>
      </c>
      <c r="CC693" s="61"/>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c r="DD693" s="58"/>
      <c r="DE693" s="58"/>
      <c r="DF693" s="58"/>
    </row>
    <row r="694" spans="1:110" ht="12.95" customHeight="1">
      <c r="A694" s="32"/>
      <c r="B694" s="202"/>
      <c r="C694" s="202"/>
      <c r="D694" s="203" t="s">
        <v>842</v>
      </c>
      <c r="E694" s="202"/>
      <c r="F694" s="202"/>
      <c r="G694" s="202"/>
      <c r="H694" s="202"/>
      <c r="I694" s="204"/>
      <c r="J694" s="204"/>
      <c r="K694" s="204"/>
      <c r="L694" s="204"/>
      <c r="M694" s="204"/>
      <c r="N694" s="204"/>
      <c r="O694" s="204"/>
      <c r="P694" s="204"/>
      <c r="Q694" s="204"/>
      <c r="R694" s="204"/>
      <c r="S694" s="204"/>
      <c r="T694" s="204"/>
      <c r="Y694" s="204"/>
      <c r="Z694" s="204"/>
      <c r="AA694" s="204"/>
      <c r="AB694" s="204"/>
      <c r="AC694" s="204"/>
      <c r="AD694" s="204"/>
      <c r="AE694" s="2291"/>
      <c r="AF694" s="2291"/>
      <c r="AG694" s="2291"/>
      <c r="AH694" s="2291"/>
      <c r="AI694" s="2291"/>
      <c r="AJ694" s="204"/>
      <c r="AK694" s="204"/>
      <c r="AL694" s="204"/>
      <c r="AM694" s="88"/>
      <c r="AN694" s="88"/>
      <c r="AO694" s="88"/>
      <c r="AP694" s="88"/>
      <c r="AQ694" s="88"/>
      <c r="AR694" s="88"/>
      <c r="AS694" s="88"/>
      <c r="AT694" s="88"/>
      <c r="AU694" s="88"/>
      <c r="AV694" s="88"/>
      <c r="AW694" s="88"/>
      <c r="AX694" s="88"/>
      <c r="AY694" s="88"/>
      <c r="AZ694" s="58"/>
      <c r="BA694" s="58"/>
      <c r="BB694" s="58"/>
      <c r="BC694" s="58"/>
      <c r="BD694" s="58"/>
      <c r="BE694" s="177"/>
      <c r="BF694" s="177"/>
      <c r="BG694" s="452">
        <f t="shared" si="47"/>
        <v>0</v>
      </c>
      <c r="BH694" s="455">
        <f t="shared" si="49"/>
        <v>0</v>
      </c>
      <c r="BI694" s="456" t="str">
        <f t="shared" si="48"/>
        <v xml:space="preserve"> </v>
      </c>
      <c r="BJ694" s="58"/>
      <c r="BK694" s="58"/>
      <c r="BL694" s="58"/>
      <c r="BM694" s="58"/>
      <c r="BN694" s="58"/>
      <c r="BO694" s="58"/>
      <c r="BP694" s="533" t="s">
        <v>743</v>
      </c>
      <c r="BQ694" s="745">
        <v>1450</v>
      </c>
      <c r="BR694" s="746">
        <v>1552</v>
      </c>
      <c r="BS694" s="745">
        <v>1864</v>
      </c>
      <c r="BT694" s="746">
        <v>2152</v>
      </c>
      <c r="BU694" s="746">
        <v>2402</v>
      </c>
      <c r="BV694" s="747">
        <v>2650</v>
      </c>
      <c r="BW694" s="58"/>
      <c r="BX694" s="1358">
        <v>891</v>
      </c>
      <c r="BY694" s="1358">
        <v>992</v>
      </c>
      <c r="BZ694" s="1358">
        <v>1305</v>
      </c>
      <c r="CA694" s="1358">
        <v>1854</v>
      </c>
      <c r="CB694" s="1358">
        <v>2234</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c r="DD694" s="58"/>
      <c r="DE694" s="58"/>
      <c r="DF694" s="58"/>
    </row>
    <row r="695" spans="1:110" ht="12.95" customHeight="1">
      <c r="A695" s="32"/>
      <c r="B695" s="202"/>
      <c r="C695" s="202"/>
      <c r="D695" s="203" t="s">
        <v>438</v>
      </c>
      <c r="E695" s="202"/>
      <c r="F695" s="202"/>
      <c r="G695" s="202"/>
      <c r="H695" s="202"/>
      <c r="I695" s="204"/>
      <c r="J695" s="204"/>
      <c r="K695" s="204"/>
      <c r="L695" s="204"/>
      <c r="M695" s="204"/>
      <c r="N695" s="204"/>
      <c r="O695" s="204"/>
      <c r="P695" s="204"/>
      <c r="Q695" s="204"/>
      <c r="R695" s="204"/>
      <c r="S695" s="204"/>
      <c r="T695" s="204"/>
      <c r="Y695" s="204"/>
      <c r="AE695" s="2425"/>
      <c r="AF695" s="2425"/>
      <c r="AG695" s="2425"/>
      <c r="AH695" s="2425"/>
      <c r="AI695" s="2425"/>
      <c r="AJ695" s="204"/>
      <c r="AK695" s="204"/>
      <c r="AL695" s="204"/>
      <c r="AM695" s="88"/>
      <c r="AN695" s="88"/>
      <c r="AO695" s="88"/>
      <c r="AP695" s="88"/>
      <c r="AQ695" s="88"/>
      <c r="AR695" s="88"/>
      <c r="AS695" s="88"/>
      <c r="AT695" s="88"/>
      <c r="AU695" s="88"/>
      <c r="AV695" s="88"/>
      <c r="AW695" s="88"/>
      <c r="AX695" s="88"/>
      <c r="AY695" s="88"/>
      <c r="AZ695" s="58"/>
      <c r="BA695" s="58"/>
      <c r="BB695" s="58"/>
      <c r="BC695" s="58"/>
      <c r="BD695" s="58"/>
      <c r="BE695" s="177"/>
      <c r="BF695" s="177"/>
      <c r="BG695" s="452">
        <f t="shared" si="47"/>
        <v>0</v>
      </c>
      <c r="BH695" s="455">
        <f t="shared" si="49"/>
        <v>0</v>
      </c>
      <c r="BI695" s="456" t="str">
        <f t="shared" si="48"/>
        <v xml:space="preserve"> </v>
      </c>
      <c r="BJ695" s="58"/>
      <c r="BK695" s="58"/>
      <c r="BL695" s="58"/>
      <c r="BM695" s="58"/>
      <c r="BN695" s="58"/>
      <c r="BO695" s="58"/>
      <c r="BP695" s="533" t="s">
        <v>69</v>
      </c>
      <c r="BQ695" s="745">
        <v>1914</v>
      </c>
      <c r="BR695" s="746">
        <v>2052</v>
      </c>
      <c r="BS695" s="745">
        <v>2462</v>
      </c>
      <c r="BT695" s="746">
        <v>2844</v>
      </c>
      <c r="BU695" s="746">
        <v>3174</v>
      </c>
      <c r="BV695" s="747">
        <v>3502</v>
      </c>
      <c r="BW695" s="58"/>
      <c r="BX695" s="1358">
        <v>1308</v>
      </c>
      <c r="BY695" s="1358">
        <v>1436</v>
      </c>
      <c r="BZ695" s="1358">
        <v>1890</v>
      </c>
      <c r="CA695" s="1358">
        <v>2685</v>
      </c>
      <c r="CB695" s="1358">
        <v>3047</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c r="DE695" s="58"/>
      <c r="DF695" s="58"/>
    </row>
    <row r="696" spans="1:110" ht="12.95" customHeight="1">
      <c r="A696" s="32"/>
      <c r="B696" s="202"/>
      <c r="C696" s="202"/>
      <c r="D696" s="205" t="s">
        <v>439</v>
      </c>
      <c r="E696" s="202"/>
      <c r="F696" s="202"/>
      <c r="G696" s="202"/>
      <c r="H696" s="202"/>
      <c r="I696" s="204"/>
      <c r="J696" s="204"/>
      <c r="K696" s="204"/>
      <c r="L696" s="204"/>
      <c r="M696" s="204"/>
      <c r="N696" s="204"/>
      <c r="O696" s="204"/>
      <c r="P696" s="204"/>
      <c r="Q696" s="204"/>
      <c r="R696" s="204"/>
      <c r="S696" s="204"/>
      <c r="T696" s="204"/>
      <c r="W696" s="2238" t="str">
        <f>H334</f>
        <v>CalHFA</v>
      </c>
      <c r="X696" s="2238"/>
      <c r="Y696" s="2238"/>
      <c r="Z696" s="2238"/>
      <c r="AA696" s="2238"/>
      <c r="AB696" s="2238"/>
      <c r="AC696" s="2238"/>
      <c r="AD696" s="2238"/>
      <c r="AE696" s="2238"/>
      <c r="AF696" s="2238"/>
      <c r="AG696" s="2238"/>
      <c r="AH696" s="2238"/>
      <c r="AI696" s="2238"/>
      <c r="AJ696" s="2238"/>
      <c r="AK696" s="2238"/>
      <c r="AL696" s="204"/>
      <c r="AM696" s="88"/>
      <c r="AN696" s="88"/>
      <c r="AO696" s="88"/>
      <c r="AP696" s="88"/>
      <c r="AQ696" s="88"/>
      <c r="AR696" s="88"/>
      <c r="AS696" s="88"/>
      <c r="AT696" s="88"/>
      <c r="AU696" s="88"/>
      <c r="AV696" s="88"/>
      <c r="AW696" s="88"/>
      <c r="AX696" s="88"/>
      <c r="AY696" s="88"/>
      <c r="AZ696" s="58"/>
      <c r="BA696" s="58"/>
      <c r="BB696" s="58"/>
      <c r="BC696" s="58"/>
      <c r="BD696" s="58"/>
      <c r="BE696" s="58"/>
      <c r="BF696" s="58"/>
      <c r="BG696" s="452">
        <f t="shared" si="47"/>
        <v>0</v>
      </c>
      <c r="BH696" s="455">
        <f t="shared" si="49"/>
        <v>0</v>
      </c>
      <c r="BI696" s="456" t="str">
        <f t="shared" si="48"/>
        <v xml:space="preserve"> </v>
      </c>
      <c r="BJ696" s="58"/>
      <c r="BK696" s="58"/>
      <c r="BL696" s="58"/>
      <c r="BM696" s="58"/>
      <c r="BN696" s="58"/>
      <c r="BO696" s="58"/>
      <c r="BP696" s="533" t="s">
        <v>70</v>
      </c>
      <c r="BQ696" s="745">
        <v>3262</v>
      </c>
      <c r="BR696" s="746">
        <v>3496</v>
      </c>
      <c r="BS696" s="745">
        <v>4194</v>
      </c>
      <c r="BT696" s="746">
        <v>4846</v>
      </c>
      <c r="BU696" s="746">
        <v>5406</v>
      </c>
      <c r="BV696" s="747">
        <v>5966</v>
      </c>
      <c r="BW696" s="58"/>
      <c r="BX696" s="1358">
        <v>2115</v>
      </c>
      <c r="BY696" s="1358">
        <v>2631</v>
      </c>
      <c r="BZ696" s="1358">
        <v>3198</v>
      </c>
      <c r="CA696" s="1358">
        <v>4111</v>
      </c>
      <c r="CB696" s="1358">
        <v>4473</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5" customHeight="1">
      <c r="A697" s="32"/>
      <c r="B697" s="202"/>
      <c r="C697" s="202"/>
      <c r="D697" s="205"/>
      <c r="E697" s="202"/>
      <c r="F697" s="202"/>
      <c r="G697" s="202"/>
      <c r="H697" s="202"/>
      <c r="I697" s="204"/>
      <c r="J697" s="204"/>
      <c r="K697" s="204"/>
      <c r="L697" s="204"/>
      <c r="M697" s="204"/>
      <c r="N697" s="204"/>
      <c r="O697" s="204"/>
      <c r="P697" s="204"/>
      <c r="Q697" s="204"/>
      <c r="R697" s="204"/>
      <c r="S697" s="204"/>
      <c r="T697" s="204"/>
      <c r="AL697" s="204"/>
      <c r="AM697" s="88"/>
      <c r="AN697" s="88"/>
      <c r="AO697" s="88"/>
      <c r="AP697" s="88"/>
      <c r="AQ697" s="88"/>
      <c r="AR697" s="88"/>
      <c r="AS697" s="88"/>
      <c r="AT697" s="88"/>
      <c r="AU697" s="88"/>
      <c r="AV697" s="88"/>
      <c r="AW697" s="88"/>
      <c r="AX697" s="88"/>
      <c r="AY697" s="88"/>
      <c r="AZ697" s="58"/>
      <c r="BA697" s="58"/>
      <c r="BB697" s="58"/>
      <c r="BC697" s="58"/>
      <c r="BD697" s="58"/>
      <c r="BE697" s="58"/>
      <c r="BF697" s="58"/>
      <c r="BG697" s="452">
        <f t="shared" si="47"/>
        <v>0</v>
      </c>
      <c r="BH697" s="455">
        <f t="shared" si="49"/>
        <v>0</v>
      </c>
      <c r="BI697" s="456" t="str">
        <f t="shared" si="48"/>
        <v xml:space="preserve"> </v>
      </c>
      <c r="BJ697" s="58"/>
      <c r="BK697" s="58"/>
      <c r="BL697" s="58"/>
      <c r="BM697" s="58"/>
      <c r="BN697" s="58"/>
      <c r="BO697" s="58"/>
      <c r="BP697" s="533" t="s">
        <v>192</v>
      </c>
      <c r="BQ697" s="745">
        <v>2444</v>
      </c>
      <c r="BR697" s="746">
        <v>2620</v>
      </c>
      <c r="BS697" s="745">
        <v>3144</v>
      </c>
      <c r="BT697" s="746">
        <v>3632</v>
      </c>
      <c r="BU697" s="746">
        <v>4052</v>
      </c>
      <c r="BV697" s="747">
        <v>4472</v>
      </c>
      <c r="BW697" s="58"/>
      <c r="BX697" s="1358">
        <v>1847</v>
      </c>
      <c r="BY697" s="1358">
        <v>2124</v>
      </c>
      <c r="BZ697" s="1358">
        <v>2478</v>
      </c>
      <c r="CA697" s="1358">
        <v>3266</v>
      </c>
      <c r="CB697" s="1358">
        <v>3733</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5" customHeight="1">
      <c r="A698" s="32"/>
      <c r="B698" s="202"/>
      <c r="C698" s="202"/>
      <c r="D698" s="203" t="s">
        <v>441</v>
      </c>
      <c r="E698" s="202"/>
      <c r="F698" s="202"/>
      <c r="G698" s="202"/>
      <c r="H698" s="202"/>
      <c r="I698" s="204"/>
      <c r="J698" s="204"/>
      <c r="K698" s="204"/>
      <c r="L698" s="204"/>
      <c r="M698" s="204"/>
      <c r="N698" s="204"/>
      <c r="O698" s="204"/>
      <c r="P698" s="204"/>
      <c r="Q698" s="204"/>
      <c r="R698" s="204"/>
      <c r="S698" s="204"/>
      <c r="T698" s="204"/>
      <c r="Y698" s="204"/>
      <c r="Z698" s="204"/>
      <c r="AA698" s="204"/>
      <c r="AB698" s="204"/>
      <c r="AC698" s="204"/>
      <c r="AD698" s="204"/>
      <c r="AE698" s="2095" t="s">
        <v>678</v>
      </c>
      <c r="AF698" s="2095"/>
      <c r="AG698" s="204"/>
      <c r="AH698" s="204"/>
      <c r="AJ698" s="204"/>
      <c r="AK698" s="204"/>
      <c r="AL698" s="204"/>
      <c r="AM698" s="88"/>
      <c r="AN698" s="88"/>
      <c r="AO698" s="88"/>
      <c r="AP698" s="88"/>
      <c r="AQ698" s="88"/>
      <c r="AR698" s="88"/>
      <c r="AS698" s="88"/>
      <c r="AT698" s="88"/>
      <c r="AU698" s="88"/>
      <c r="AV698" s="88"/>
      <c r="AW698" s="88"/>
      <c r="AX698" s="88"/>
      <c r="AY698" s="88"/>
      <c r="AZ698" s="58"/>
      <c r="BA698" s="58"/>
      <c r="BB698" s="58"/>
      <c r="BC698" s="58"/>
      <c r="BD698" s="58"/>
      <c r="BE698" s="58"/>
      <c r="BF698" s="58"/>
      <c r="BG698" s="452">
        <f t="shared" si="47"/>
        <v>0</v>
      </c>
      <c r="BH698" s="455">
        <f t="shared" si="49"/>
        <v>0</v>
      </c>
      <c r="BI698" s="456" t="str">
        <f t="shared" si="48"/>
        <v xml:space="preserve"> </v>
      </c>
      <c r="BJ698" s="58"/>
      <c r="BK698" s="58"/>
      <c r="BL698" s="58"/>
      <c r="BM698" s="58"/>
      <c r="BN698" s="58"/>
      <c r="BO698" s="58"/>
      <c r="BP698" s="533" t="s">
        <v>193</v>
      </c>
      <c r="BQ698" s="745">
        <v>2950</v>
      </c>
      <c r="BR698" s="746">
        <v>3160</v>
      </c>
      <c r="BS698" s="745">
        <v>3792</v>
      </c>
      <c r="BT698" s="746">
        <v>4380</v>
      </c>
      <c r="BU698" s="746">
        <v>4886</v>
      </c>
      <c r="BV698" s="747">
        <v>5392</v>
      </c>
      <c r="BW698" s="58"/>
      <c r="BX698" s="1358">
        <v>2145</v>
      </c>
      <c r="BY698" s="1358">
        <v>2418</v>
      </c>
      <c r="BZ698" s="1358">
        <v>2868</v>
      </c>
      <c r="CA698" s="1358">
        <v>3687</v>
      </c>
      <c r="CB698" s="1358">
        <v>4213</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5" customHeight="1">
      <c r="A699" s="32"/>
      <c r="B699" s="202"/>
      <c r="C699" s="202"/>
      <c r="D699" s="203" t="s">
        <v>445</v>
      </c>
      <c r="E699" s="202"/>
      <c r="F699" s="202"/>
      <c r="G699" s="202"/>
      <c r="H699" s="202"/>
      <c r="I699" s="204"/>
      <c r="J699" s="204"/>
      <c r="K699" s="204"/>
      <c r="L699" s="204"/>
      <c r="M699" s="204"/>
      <c r="N699" s="204"/>
      <c r="O699" s="204"/>
      <c r="P699" s="204"/>
      <c r="Q699" s="204"/>
      <c r="R699" s="204"/>
      <c r="S699" s="204"/>
      <c r="T699" s="204"/>
      <c r="U699" s="204"/>
      <c r="V699" s="204"/>
      <c r="W699" s="2113"/>
      <c r="X699" s="2113"/>
      <c r="Y699" s="2113"/>
      <c r="Z699" s="2113"/>
      <c r="AA699" s="2113"/>
      <c r="AB699" s="2113"/>
      <c r="AC699" s="2113"/>
      <c r="AD699" s="2113"/>
      <c r="AE699" s="2113"/>
      <c r="AF699" s="2113"/>
      <c r="AG699" s="2113"/>
      <c r="AH699" s="2113"/>
      <c r="AI699" s="2113"/>
      <c r="AJ699" s="2113"/>
      <c r="AK699" s="2113"/>
      <c r="AL699" s="204"/>
      <c r="AM699" s="88"/>
      <c r="AN699" s="88"/>
      <c r="AO699" s="88"/>
      <c r="AP699" s="88"/>
      <c r="AQ699" s="88"/>
      <c r="AR699" s="88"/>
      <c r="AS699" s="88"/>
      <c r="AT699" s="88"/>
      <c r="AU699" s="88"/>
      <c r="AV699" s="88"/>
      <c r="AW699" s="88"/>
      <c r="AX699" s="88"/>
      <c r="AY699" s="88"/>
      <c r="AZ699" s="58"/>
      <c r="BA699" s="58"/>
      <c r="BB699" s="58"/>
      <c r="BC699" s="58"/>
      <c r="BD699" s="58"/>
      <c r="BE699" s="58"/>
      <c r="BF699" s="58"/>
      <c r="BG699" s="452">
        <f t="shared" si="47"/>
        <v>0</v>
      </c>
      <c r="BH699" s="455">
        <f t="shared" si="49"/>
        <v>0</v>
      </c>
      <c r="BI699" s="456" t="str">
        <f t="shared" si="48"/>
        <v xml:space="preserve"> </v>
      </c>
      <c r="BJ699" s="58"/>
      <c r="BK699" s="58"/>
      <c r="BL699" s="58"/>
      <c r="BM699" s="58"/>
      <c r="BN699" s="58"/>
      <c r="BO699" s="58"/>
      <c r="BP699" s="533" t="s">
        <v>194</v>
      </c>
      <c r="BQ699" s="745">
        <v>2722</v>
      </c>
      <c r="BR699" s="746">
        <v>2916</v>
      </c>
      <c r="BS699" s="745">
        <v>3500</v>
      </c>
      <c r="BT699" s="746">
        <v>4042</v>
      </c>
      <c r="BU699" s="746">
        <v>4510</v>
      </c>
      <c r="BV699" s="747">
        <v>4976</v>
      </c>
      <c r="BW699" s="58"/>
      <c r="BX699" s="1358">
        <v>2085</v>
      </c>
      <c r="BY699" s="1358">
        <v>2385</v>
      </c>
      <c r="BZ699" s="1358">
        <v>3138</v>
      </c>
      <c r="CA699" s="1358">
        <v>4000</v>
      </c>
      <c r="CB699" s="1358">
        <v>4458</v>
      </c>
      <c r="CC699" s="58"/>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5" customHeight="1">
      <c r="A700" s="32"/>
      <c r="B700" s="202"/>
      <c r="C700" s="202"/>
      <c r="D700" s="203" t="s">
        <v>88</v>
      </c>
      <c r="E700" s="202"/>
      <c r="F700" s="202"/>
      <c r="G700" s="202"/>
      <c r="H700" s="202"/>
      <c r="I700" s="204"/>
      <c r="J700" s="2113"/>
      <c r="K700" s="2113"/>
      <c r="L700" s="2113"/>
      <c r="M700" s="2113"/>
      <c r="N700" s="2113"/>
      <c r="O700" s="2113"/>
      <c r="P700" s="2113"/>
      <c r="Q700" s="2113"/>
      <c r="R700" s="2113"/>
      <c r="S700" s="2113"/>
      <c r="T700" s="2113"/>
      <c r="U700" s="2113"/>
      <c r="V700" s="2113"/>
      <c r="W700" s="2113"/>
      <c r="X700" s="2113"/>
      <c r="Y700" s="204"/>
      <c r="Z700" s="204"/>
      <c r="AA700" s="204"/>
      <c r="AB700" s="204"/>
      <c r="AC700" s="204"/>
      <c r="AD700" s="204"/>
      <c r="AE700" s="204"/>
      <c r="AF700" s="204"/>
      <c r="AG700" s="204"/>
      <c r="AH700" s="204"/>
      <c r="AI700" s="204"/>
      <c r="AJ700" s="204"/>
      <c r="AK700" s="204"/>
      <c r="AL700" s="204"/>
      <c r="AM700" s="88"/>
      <c r="AN700" s="88"/>
      <c r="AO700" s="88"/>
      <c r="AP700" s="88"/>
      <c r="AQ700" s="88"/>
      <c r="AR700" s="88"/>
      <c r="AS700" s="88"/>
      <c r="AT700" s="88"/>
      <c r="AU700" s="88"/>
      <c r="AV700" s="88"/>
      <c r="AW700" s="88"/>
      <c r="AX700" s="88"/>
      <c r="AY700" s="88"/>
      <c r="AZ700" s="58"/>
      <c r="BA700" s="58"/>
      <c r="BB700" s="58"/>
      <c r="BC700" s="58"/>
      <c r="BD700" s="58"/>
      <c r="BE700" s="58"/>
      <c r="BF700" s="58"/>
      <c r="BG700" s="452">
        <f t="shared" si="47"/>
        <v>0</v>
      </c>
      <c r="BH700" s="455">
        <f t="shared" si="49"/>
        <v>0</v>
      </c>
      <c r="BI700" s="456" t="str">
        <f t="shared" si="48"/>
        <v xml:space="preserve"> </v>
      </c>
      <c r="BJ700" s="58"/>
      <c r="BK700" s="58"/>
      <c r="BL700" s="58"/>
      <c r="BM700" s="58"/>
      <c r="BN700" s="58"/>
      <c r="BO700" s="58"/>
      <c r="BP700" s="533" t="s">
        <v>195</v>
      </c>
      <c r="BQ700" s="745">
        <v>1390</v>
      </c>
      <c r="BR700" s="746">
        <v>1490</v>
      </c>
      <c r="BS700" s="745">
        <v>1786</v>
      </c>
      <c r="BT700" s="746">
        <v>2064</v>
      </c>
      <c r="BU700" s="746">
        <v>2304</v>
      </c>
      <c r="BV700" s="747">
        <v>2542</v>
      </c>
      <c r="BW700" s="58"/>
      <c r="BX700" s="1358">
        <v>834</v>
      </c>
      <c r="BY700" s="1358">
        <v>954</v>
      </c>
      <c r="BZ700" s="1358">
        <v>1255</v>
      </c>
      <c r="CA700" s="1358">
        <v>1783</v>
      </c>
      <c r="CB700" s="1358">
        <v>2148</v>
      </c>
      <c r="CC700" s="58"/>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5" customHeight="1">
      <c r="A701" s="32"/>
      <c r="B701" s="202"/>
      <c r="C701" s="202"/>
      <c r="D701" s="205" t="s">
        <v>89</v>
      </c>
      <c r="J701" s="2159"/>
      <c r="K701" s="2159"/>
      <c r="L701" s="2159"/>
      <c r="M701" s="2159"/>
      <c r="N701" s="2159"/>
      <c r="O701" s="2159"/>
      <c r="P701" s="7" t="s">
        <v>207</v>
      </c>
      <c r="Q701" s="7"/>
      <c r="R701" s="2167"/>
      <c r="S701" s="2167"/>
      <c r="T701" s="2167"/>
      <c r="AL701" s="204"/>
      <c r="AM701" s="88"/>
      <c r="AN701" s="88"/>
      <c r="AO701" s="88"/>
      <c r="AP701" s="88"/>
      <c r="AQ701" s="88"/>
      <c r="AR701" s="88"/>
      <c r="AS701" s="88"/>
      <c r="AT701" s="88"/>
      <c r="AU701" s="88"/>
      <c r="AV701" s="88"/>
      <c r="AW701" s="88"/>
      <c r="AX701" s="88"/>
      <c r="AY701" s="88"/>
      <c r="AZ701" s="58"/>
      <c r="BA701" s="58"/>
      <c r="BB701" s="58"/>
      <c r="BC701" s="58"/>
      <c r="BD701" s="58"/>
      <c r="BE701" s="58"/>
      <c r="BF701" s="58"/>
      <c r="BG701" s="452">
        <f t="shared" si="47"/>
        <v>0</v>
      </c>
      <c r="BH701" s="455">
        <f t="shared" si="49"/>
        <v>0</v>
      </c>
      <c r="BI701" s="456" t="str">
        <f t="shared" si="48"/>
        <v xml:space="preserve"> </v>
      </c>
      <c r="BJ701" s="58"/>
      <c r="BK701" s="58"/>
      <c r="BL701" s="58"/>
      <c r="BM701" s="58"/>
      <c r="BN701" s="58"/>
      <c r="BO701" s="58"/>
      <c r="BP701" s="533" t="s">
        <v>196</v>
      </c>
      <c r="BQ701" s="745">
        <v>1574</v>
      </c>
      <c r="BR701" s="746">
        <v>1686</v>
      </c>
      <c r="BS701" s="745">
        <v>2024</v>
      </c>
      <c r="BT701" s="746">
        <v>2340</v>
      </c>
      <c r="BU701" s="746">
        <v>2610</v>
      </c>
      <c r="BV701" s="747">
        <v>2880</v>
      </c>
      <c r="BW701" s="58"/>
      <c r="BX701" s="1358">
        <v>754</v>
      </c>
      <c r="BY701" s="1358">
        <v>855</v>
      </c>
      <c r="BZ701" s="1358">
        <v>1114</v>
      </c>
      <c r="CA701" s="1358">
        <v>1593</v>
      </c>
      <c r="CB701" s="1358">
        <v>1767</v>
      </c>
      <c r="CC701" s="58"/>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5" customHeight="1">
      <c r="A702" s="32"/>
      <c r="B702" s="202"/>
      <c r="C702" s="202"/>
      <c r="D702" s="205" t="s">
        <v>446</v>
      </c>
      <c r="W702" s="2113" t="s">
        <v>308</v>
      </c>
      <c r="X702" s="2113"/>
      <c r="Y702" s="2113"/>
      <c r="Z702" s="2113"/>
      <c r="AA702" s="2113"/>
      <c r="AB702" s="2113"/>
      <c r="AC702" s="2113"/>
      <c r="AD702" s="2113"/>
      <c r="AE702" s="2113"/>
      <c r="AF702" s="2113"/>
      <c r="AG702" s="2113"/>
      <c r="AH702" s="2113"/>
      <c r="AI702" s="2113"/>
      <c r="AJ702" s="2113"/>
      <c r="AK702" s="2113"/>
      <c r="AL702" s="204"/>
      <c r="AM702" s="88"/>
      <c r="AN702" s="88"/>
      <c r="AO702" s="88"/>
      <c r="AP702" s="88"/>
      <c r="AQ702" s="88"/>
      <c r="AR702" s="88"/>
      <c r="AS702" s="88"/>
      <c r="AT702" s="88"/>
      <c r="AU702" s="88"/>
      <c r="AV702" s="88"/>
      <c r="AW702" s="88"/>
      <c r="AX702" s="88"/>
      <c r="AY702" s="88"/>
      <c r="AZ702" s="58"/>
      <c r="BA702" s="58"/>
      <c r="BB702" s="58"/>
      <c r="BC702" s="58"/>
      <c r="BD702" s="58"/>
      <c r="BE702" s="58"/>
      <c r="BF702" s="58"/>
      <c r="BG702" s="452">
        <f t="shared" si="47"/>
        <v>0</v>
      </c>
      <c r="BH702" s="455">
        <f t="shared" si="49"/>
        <v>0</v>
      </c>
      <c r="BI702" s="456" t="str">
        <f t="shared" si="48"/>
        <v xml:space="preserve"> </v>
      </c>
      <c r="BJ702" s="58"/>
      <c r="BK702" s="58"/>
      <c r="BL702" s="58"/>
      <c r="BM702" s="58"/>
      <c r="BN702" s="58"/>
      <c r="BO702" s="58"/>
      <c r="BP702" s="533" t="s">
        <v>197</v>
      </c>
      <c r="BQ702" s="745">
        <v>1364</v>
      </c>
      <c r="BR702" s="746">
        <v>1462</v>
      </c>
      <c r="BS702" s="745">
        <v>1754</v>
      </c>
      <c r="BT702" s="746">
        <v>2026</v>
      </c>
      <c r="BU702" s="746">
        <v>2260</v>
      </c>
      <c r="BV702" s="747">
        <v>2492</v>
      </c>
      <c r="BW702" s="58"/>
      <c r="BX702" s="1358">
        <v>682</v>
      </c>
      <c r="BY702" s="1358">
        <v>701</v>
      </c>
      <c r="BZ702" s="1358">
        <v>922</v>
      </c>
      <c r="CA702" s="1358">
        <v>1310</v>
      </c>
      <c r="CB702" s="1358">
        <v>1358</v>
      </c>
      <c r="CC702" s="58"/>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5" customHeight="1">
      <c r="A703" s="32"/>
      <c r="B703" s="202"/>
      <c r="C703" s="202"/>
      <c r="D703" s="205"/>
      <c r="E703" s="2113" t="s">
        <v>335</v>
      </c>
      <c r="F703" s="2113"/>
      <c r="G703" s="2113"/>
      <c r="H703" s="2113"/>
      <c r="I703" s="2113"/>
      <c r="J703" s="2113"/>
      <c r="K703" s="2113"/>
      <c r="L703" s="2113"/>
      <c r="M703" s="2113"/>
      <c r="N703" s="2113"/>
      <c r="O703" s="2113"/>
      <c r="P703" s="2113"/>
      <c r="Q703" s="2113"/>
      <c r="R703" s="2113"/>
      <c r="S703" s="2113"/>
      <c r="T703" s="2113"/>
      <c r="U703" s="2113"/>
      <c r="V703" s="2113"/>
      <c r="W703" s="2113"/>
      <c r="X703" s="2113"/>
      <c r="Y703" s="2113"/>
      <c r="Z703" s="2113"/>
      <c r="AA703" s="2113"/>
      <c r="AB703" s="2113"/>
      <c r="AC703" s="2113"/>
      <c r="AD703" s="2113"/>
      <c r="AE703" s="2113"/>
      <c r="AF703" s="2113"/>
      <c r="AG703" s="2113"/>
      <c r="AH703" s="2113"/>
      <c r="AI703" s="2113"/>
      <c r="AJ703" s="2113"/>
      <c r="AK703" s="2113"/>
      <c r="AL703" s="204"/>
      <c r="AM703" s="88"/>
      <c r="AN703" s="88"/>
      <c r="AO703" s="88"/>
      <c r="AP703" s="88"/>
      <c r="AQ703" s="88"/>
      <c r="AR703" s="88"/>
      <c r="AS703" s="88"/>
      <c r="AT703" s="88"/>
      <c r="AU703" s="88"/>
      <c r="AV703" s="88"/>
      <c r="AW703" s="88"/>
      <c r="AX703" s="88"/>
      <c r="AY703" s="88"/>
      <c r="AZ703" s="58"/>
      <c r="BA703" s="58"/>
      <c r="BB703" s="58"/>
      <c r="BC703" s="58"/>
      <c r="BD703" s="58"/>
      <c r="BE703" s="58"/>
      <c r="BF703" s="58"/>
      <c r="BG703" s="452">
        <f t="shared" si="47"/>
        <v>0</v>
      </c>
      <c r="BH703" s="455">
        <f t="shared" si="49"/>
        <v>0</v>
      </c>
      <c r="BI703" s="456" t="str">
        <f t="shared" si="48"/>
        <v xml:space="preserve"> </v>
      </c>
      <c r="BJ703" s="58"/>
      <c r="BK703" s="58"/>
      <c r="BL703" s="58"/>
      <c r="BM703" s="58"/>
      <c r="BN703" s="58"/>
      <c r="BO703" s="58"/>
      <c r="BP703" s="533" t="s">
        <v>198</v>
      </c>
      <c r="BQ703" s="745">
        <v>1902</v>
      </c>
      <c r="BR703" s="746">
        <v>2036</v>
      </c>
      <c r="BS703" s="745">
        <v>2444</v>
      </c>
      <c r="BT703" s="746">
        <v>2822</v>
      </c>
      <c r="BU703" s="746">
        <v>3150</v>
      </c>
      <c r="BV703" s="747">
        <v>3476</v>
      </c>
      <c r="BW703" s="58"/>
      <c r="BX703" s="1358">
        <v>1232</v>
      </c>
      <c r="BY703" s="1358">
        <v>1408</v>
      </c>
      <c r="BZ703" s="1358">
        <v>1677</v>
      </c>
      <c r="CA703" s="1358">
        <v>2382</v>
      </c>
      <c r="CB703" s="1358">
        <v>2870</v>
      </c>
      <c r="CC703" s="58"/>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5" customHeight="1">
      <c r="AT704" s="88"/>
      <c r="AU704" s="88"/>
      <c r="AV704" s="88"/>
      <c r="AW704" s="88"/>
      <c r="AX704" s="88"/>
      <c r="AY704" s="88"/>
      <c r="AZ704" s="58"/>
      <c r="BA704" s="58"/>
      <c r="BB704" s="58"/>
      <c r="BC704" s="58"/>
      <c r="BD704" s="58"/>
      <c r="BE704" s="58"/>
      <c r="BF704" s="58"/>
      <c r="BG704" s="452">
        <f t="shared" si="47"/>
        <v>0</v>
      </c>
      <c r="BH704" s="455">
        <f t="shared" si="49"/>
        <v>0</v>
      </c>
      <c r="BI704" s="456" t="str">
        <f t="shared" si="48"/>
        <v xml:space="preserve"> </v>
      </c>
      <c r="BJ704" s="58"/>
      <c r="BK704" s="58"/>
      <c r="BL704" s="58"/>
      <c r="BM704" s="58"/>
      <c r="BN704" s="58"/>
      <c r="BO704" s="58"/>
      <c r="BP704" s="533" t="s">
        <v>174</v>
      </c>
      <c r="BQ704" s="745">
        <v>2080</v>
      </c>
      <c r="BR704" s="746">
        <v>2228</v>
      </c>
      <c r="BS704" s="745">
        <v>2674</v>
      </c>
      <c r="BT704" s="746">
        <v>3090</v>
      </c>
      <c r="BU704" s="746">
        <v>3446</v>
      </c>
      <c r="BV704" s="747">
        <v>3802</v>
      </c>
      <c r="BW704" s="58"/>
      <c r="BX704" s="1358">
        <v>1373</v>
      </c>
      <c r="BY704" s="1358">
        <v>1549</v>
      </c>
      <c r="BZ704" s="1358">
        <v>2038</v>
      </c>
      <c r="CA704" s="1358">
        <v>2851</v>
      </c>
      <c r="CB704" s="1358">
        <v>3163</v>
      </c>
      <c r="CC704" s="58"/>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5" customHeight="1">
      <c r="A705" s="1930" t="s">
        <v>96</v>
      </c>
      <c r="B705" s="1930"/>
      <c r="C705" s="1930"/>
      <c r="D705" s="1930"/>
      <c r="E705" s="1930"/>
      <c r="F705" s="1930"/>
      <c r="G705" s="1930"/>
      <c r="H705" s="1930"/>
      <c r="I705" s="1930"/>
      <c r="J705" s="1930"/>
      <c r="K705" s="1930"/>
      <c r="L705" s="1930"/>
      <c r="M705" s="1930"/>
      <c r="N705" s="1930"/>
      <c r="O705" s="1930"/>
      <c r="P705" s="1930"/>
      <c r="Q705" s="1930"/>
      <c r="R705" s="1930"/>
      <c r="S705" s="1930"/>
      <c r="T705" s="1930"/>
      <c r="U705" s="1930"/>
      <c r="V705" s="1930"/>
      <c r="W705" s="1930"/>
      <c r="X705" s="1930"/>
      <c r="Y705" s="1930"/>
      <c r="Z705" s="1930"/>
      <c r="AA705" s="1930"/>
      <c r="AB705" s="1930"/>
      <c r="AC705" s="1930"/>
      <c r="AD705" s="1930"/>
      <c r="AE705" s="1930"/>
      <c r="AF705" s="1930"/>
      <c r="AG705" s="1930"/>
      <c r="AH705" s="1930"/>
      <c r="AI705" s="1930"/>
      <c r="AJ705" s="1930"/>
      <c r="AK705" s="1930"/>
      <c r="AL705" s="1930"/>
      <c r="AM705" s="1930"/>
      <c r="AN705" s="1930"/>
      <c r="AO705" s="1930"/>
      <c r="AP705" s="1414"/>
      <c r="AQ705" s="1414"/>
      <c r="AR705" s="1414"/>
      <c r="AS705" s="1414"/>
      <c r="AT705" s="88"/>
      <c r="AU705" s="88"/>
      <c r="AV705" s="88"/>
      <c r="AW705" s="88"/>
      <c r="AX705" s="88"/>
      <c r="AY705" s="88"/>
      <c r="AZ705" s="58"/>
      <c r="BA705" s="58"/>
      <c r="BB705" s="58"/>
      <c r="BC705" s="58"/>
      <c r="BD705" s="58"/>
      <c r="BE705" s="58"/>
      <c r="BF705" s="58"/>
      <c r="BG705" s="452">
        <f t="shared" si="47"/>
        <v>0</v>
      </c>
      <c r="BH705" s="455">
        <f t="shared" si="49"/>
        <v>0</v>
      </c>
      <c r="BI705" s="456" t="str">
        <f t="shared" si="48"/>
        <v xml:space="preserve"> </v>
      </c>
      <c r="BJ705" s="58"/>
      <c r="BK705" s="58"/>
      <c r="BL705" s="58"/>
      <c r="BM705" s="58"/>
      <c r="BN705" s="58"/>
      <c r="BO705" s="58"/>
      <c r="BP705" s="533" t="s">
        <v>199</v>
      </c>
      <c r="BQ705" s="745">
        <v>1394</v>
      </c>
      <c r="BR705" s="746">
        <v>1494</v>
      </c>
      <c r="BS705" s="745">
        <v>1794</v>
      </c>
      <c r="BT705" s="746">
        <v>2072</v>
      </c>
      <c r="BU705" s="746">
        <v>2312</v>
      </c>
      <c r="BV705" s="747">
        <v>2552</v>
      </c>
      <c r="BW705" s="58"/>
      <c r="BX705" s="1358">
        <v>936</v>
      </c>
      <c r="BY705" s="1358">
        <v>1001</v>
      </c>
      <c r="BZ705" s="1358">
        <v>1250</v>
      </c>
      <c r="CA705" s="1358">
        <v>1761</v>
      </c>
      <c r="CB705" s="1358">
        <v>2063</v>
      </c>
      <c r="CC705" s="58"/>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5" customHeight="1">
      <c r="A706" s="1930"/>
      <c r="B706" s="1930"/>
      <c r="C706" s="1930"/>
      <c r="D706" s="1930"/>
      <c r="E706" s="1930"/>
      <c r="F706" s="1930"/>
      <c r="G706" s="1930"/>
      <c r="H706" s="1930"/>
      <c r="I706" s="1930"/>
      <c r="J706" s="1930"/>
      <c r="K706" s="1930"/>
      <c r="L706" s="1930"/>
      <c r="M706" s="1930"/>
      <c r="N706" s="1930"/>
      <c r="O706" s="1930"/>
      <c r="P706" s="1930"/>
      <c r="Q706" s="1930"/>
      <c r="R706" s="1930"/>
      <c r="S706" s="1930"/>
      <c r="T706" s="1930"/>
      <c r="U706" s="1930"/>
      <c r="V706" s="1930"/>
      <c r="W706" s="1930"/>
      <c r="X706" s="1930"/>
      <c r="Y706" s="1930"/>
      <c r="Z706" s="1930"/>
      <c r="AA706" s="1930"/>
      <c r="AB706" s="1930"/>
      <c r="AC706" s="1930"/>
      <c r="AD706" s="1930"/>
      <c r="AE706" s="1930"/>
      <c r="AF706" s="1930"/>
      <c r="AG706" s="1930"/>
      <c r="AH706" s="1930"/>
      <c r="AI706" s="1930"/>
      <c r="AJ706" s="1930"/>
      <c r="AK706" s="1930"/>
      <c r="AL706" s="1930"/>
      <c r="AM706" s="1930"/>
      <c r="AN706" s="1930"/>
      <c r="AO706" s="1930"/>
      <c r="AP706" s="1414"/>
      <c r="AQ706" s="1414"/>
      <c r="AR706" s="1414"/>
      <c r="AS706" s="1414"/>
      <c r="AT706" s="88"/>
      <c r="AU706" s="88"/>
      <c r="AV706" s="88"/>
      <c r="AW706" s="88"/>
      <c r="AX706" s="88"/>
      <c r="AY706" s="88"/>
      <c r="AZ706" s="58"/>
      <c r="BA706" s="58"/>
      <c r="BB706" s="58"/>
      <c r="BC706" s="58"/>
      <c r="BD706" s="58"/>
      <c r="BE706" s="58"/>
      <c r="BF706" s="58"/>
      <c r="BG706" s="452">
        <f t="shared" si="47"/>
        <v>0</v>
      </c>
      <c r="BH706" s="455">
        <f t="shared" si="49"/>
        <v>0</v>
      </c>
      <c r="BI706" s="456" t="str">
        <f t="shared" si="48"/>
        <v xml:space="preserve"> </v>
      </c>
      <c r="BJ706" s="58"/>
      <c r="BK706" s="58"/>
      <c r="BL706" s="58"/>
      <c r="BM706" s="58"/>
      <c r="BN706" s="58"/>
      <c r="BO706" s="58"/>
      <c r="BP706" s="533" t="s">
        <v>200</v>
      </c>
      <c r="BQ706" s="745">
        <v>1364</v>
      </c>
      <c r="BR706" s="746">
        <v>1462</v>
      </c>
      <c r="BS706" s="745">
        <v>1754</v>
      </c>
      <c r="BT706" s="746">
        <v>2026</v>
      </c>
      <c r="BU706" s="746">
        <v>2260</v>
      </c>
      <c r="BV706" s="747">
        <v>2492</v>
      </c>
      <c r="BW706" s="58"/>
      <c r="BX706" s="1358">
        <v>920</v>
      </c>
      <c r="BY706" s="1358">
        <v>926</v>
      </c>
      <c r="BZ706" s="1358">
        <v>1173</v>
      </c>
      <c r="CA706" s="1358">
        <v>1666</v>
      </c>
      <c r="CB706" s="1358">
        <v>2008</v>
      </c>
      <c r="CC706" s="58"/>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5" customHeight="1">
      <c r="A707" s="1930"/>
      <c r="B707" s="1930"/>
      <c r="C707" s="1930"/>
      <c r="D707" s="1930"/>
      <c r="E707" s="1930"/>
      <c r="F707" s="1930"/>
      <c r="G707" s="1930"/>
      <c r="H707" s="1930"/>
      <c r="I707" s="1930"/>
      <c r="J707" s="1930"/>
      <c r="K707" s="1930"/>
      <c r="L707" s="1930"/>
      <c r="M707" s="1930"/>
      <c r="N707" s="1930"/>
      <c r="O707" s="1930"/>
      <c r="P707" s="1930"/>
      <c r="Q707" s="1930"/>
      <c r="R707" s="1930"/>
      <c r="S707" s="1930"/>
      <c r="T707" s="1930"/>
      <c r="U707" s="1930"/>
      <c r="V707" s="1930"/>
      <c r="W707" s="1930"/>
      <c r="X707" s="1930"/>
      <c r="Y707" s="1930"/>
      <c r="Z707" s="1930"/>
      <c r="AA707" s="1930"/>
      <c r="AB707" s="1930"/>
      <c r="AC707" s="1930"/>
      <c r="AD707" s="1930"/>
      <c r="AE707" s="1930"/>
      <c r="AF707" s="1930"/>
      <c r="AG707" s="1930"/>
      <c r="AH707" s="1930"/>
      <c r="AI707" s="1930"/>
      <c r="AJ707" s="1930"/>
      <c r="AK707" s="1930"/>
      <c r="AL707" s="1930"/>
      <c r="AM707" s="1930"/>
      <c r="AN707" s="1930"/>
      <c r="AO707" s="1930"/>
      <c r="AT707" s="88"/>
      <c r="AU707" s="88"/>
      <c r="AV707" s="88"/>
      <c r="AW707" s="88"/>
      <c r="AX707" s="88"/>
      <c r="AY707" s="88"/>
      <c r="AZ707" s="58"/>
      <c r="BA707" s="58"/>
      <c r="BB707" s="58"/>
      <c r="BC707" s="58"/>
      <c r="BD707" s="58"/>
      <c r="BE707" s="58"/>
      <c r="BF707" s="58"/>
      <c r="BG707" s="452">
        <f t="shared" si="47"/>
        <v>0</v>
      </c>
      <c r="BH707" s="455">
        <f t="shared" si="49"/>
        <v>0</v>
      </c>
      <c r="BI707" s="456" t="str">
        <f t="shared" si="48"/>
        <v xml:space="preserve"> </v>
      </c>
      <c r="BJ707" s="58"/>
      <c r="BK707" s="58"/>
      <c r="BL707" s="58"/>
      <c r="BM707" s="58"/>
      <c r="BN707" s="58"/>
      <c r="BO707" s="58"/>
      <c r="BP707" s="533" t="s">
        <v>201</v>
      </c>
      <c r="BQ707" s="745">
        <v>1364</v>
      </c>
      <c r="BR707" s="746">
        <v>1462</v>
      </c>
      <c r="BS707" s="745">
        <v>1754</v>
      </c>
      <c r="BT707" s="746">
        <v>2026</v>
      </c>
      <c r="BU707" s="746">
        <v>2260</v>
      </c>
      <c r="BV707" s="747">
        <v>2492</v>
      </c>
      <c r="BW707" s="58"/>
      <c r="BX707" s="1358">
        <v>682</v>
      </c>
      <c r="BY707" s="1358">
        <v>722</v>
      </c>
      <c r="BZ707" s="1358">
        <v>950</v>
      </c>
      <c r="CA707" s="1358">
        <v>1270</v>
      </c>
      <c r="CB707" s="1358">
        <v>1495</v>
      </c>
      <c r="CC707" s="58"/>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5" customHeight="1">
      <c r="A708" s="50" t="s">
        <v>320</v>
      </c>
      <c r="B708" s="50"/>
      <c r="C708" s="50" t="s">
        <v>19</v>
      </c>
      <c r="AT708" s="88"/>
      <c r="AU708" s="88"/>
      <c r="AV708" s="88"/>
      <c r="AW708" s="88"/>
      <c r="AX708" s="88"/>
      <c r="AY708" s="88"/>
      <c r="AZ708" s="58"/>
      <c r="BA708" s="58"/>
      <c r="BB708" s="58"/>
      <c r="BC708" s="58"/>
      <c r="BD708" s="58"/>
      <c r="BE708" s="58"/>
      <c r="BF708" s="58"/>
      <c r="BG708" s="452">
        <f t="shared" si="47"/>
        <v>0</v>
      </c>
      <c r="BH708" s="455">
        <f t="shared" si="49"/>
        <v>0</v>
      </c>
      <c r="BI708" s="456" t="str">
        <f t="shared" si="48"/>
        <v xml:space="preserve"> </v>
      </c>
      <c r="BJ708" s="58"/>
      <c r="BK708" s="58"/>
      <c r="BL708" s="58"/>
      <c r="BM708" s="58"/>
      <c r="BN708" s="58"/>
      <c r="BO708" s="58"/>
      <c r="BP708" s="533" t="s">
        <v>202</v>
      </c>
      <c r="BQ708" s="745">
        <v>1364</v>
      </c>
      <c r="BR708" s="746">
        <v>1462</v>
      </c>
      <c r="BS708" s="745">
        <v>1754</v>
      </c>
      <c r="BT708" s="746">
        <v>2026</v>
      </c>
      <c r="BU708" s="746">
        <v>2260</v>
      </c>
      <c r="BV708" s="747">
        <v>2492</v>
      </c>
      <c r="BW708" s="58"/>
      <c r="BX708" s="1358">
        <v>592</v>
      </c>
      <c r="BY708" s="1358">
        <v>670</v>
      </c>
      <c r="BZ708" s="1358">
        <v>877</v>
      </c>
      <c r="CA708" s="1358">
        <v>1246</v>
      </c>
      <c r="CB708" s="1358">
        <v>1394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5" customHeight="1">
      <c r="A709" s="50"/>
      <c r="B709" s="893"/>
      <c r="C709" s="50"/>
      <c r="AT709" s="88"/>
      <c r="AU709" s="88"/>
      <c r="AV709" s="88"/>
      <c r="AW709" s="88"/>
      <c r="AX709" s="88"/>
      <c r="AY709" s="88"/>
      <c r="AZ709" s="58"/>
      <c r="BA709" s="58"/>
      <c r="BB709" s="58"/>
      <c r="BC709" s="58"/>
      <c r="BD709" s="58"/>
      <c r="BE709" s="58"/>
      <c r="BF709" s="58"/>
      <c r="BG709" s="452">
        <f t="shared" si="47"/>
        <v>0</v>
      </c>
      <c r="BH709" s="455">
        <f t="shared" si="49"/>
        <v>0</v>
      </c>
      <c r="BI709" s="456" t="str">
        <f t="shared" si="48"/>
        <v xml:space="preserve"> </v>
      </c>
      <c r="BJ709" s="708"/>
      <c r="BK709" s="58"/>
      <c r="BL709" s="58"/>
      <c r="BM709" s="58"/>
      <c r="BN709" s="58"/>
      <c r="BO709" s="58"/>
      <c r="BP709" s="533" t="s">
        <v>203</v>
      </c>
      <c r="BQ709" s="745">
        <v>1364</v>
      </c>
      <c r="BR709" s="746">
        <v>1462</v>
      </c>
      <c r="BS709" s="745">
        <v>1754</v>
      </c>
      <c r="BT709" s="746">
        <v>2026</v>
      </c>
      <c r="BU709" s="746">
        <v>2260</v>
      </c>
      <c r="BV709" s="747">
        <v>2492</v>
      </c>
      <c r="BW709" s="58"/>
      <c r="BX709" s="1358">
        <v>746</v>
      </c>
      <c r="BY709" s="1358">
        <v>764</v>
      </c>
      <c r="BZ709" s="1358">
        <v>1005</v>
      </c>
      <c r="CA709" s="1358">
        <v>1405</v>
      </c>
      <c r="CB709" s="1358">
        <v>1629</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5" customHeight="1">
      <c r="B710" s="2204" t="s">
        <v>390</v>
      </c>
      <c r="C710" s="2205"/>
      <c r="D710" s="2205"/>
      <c r="E710" s="2205"/>
      <c r="F710" s="2206"/>
      <c r="G710" s="2204" t="s">
        <v>286</v>
      </c>
      <c r="H710" s="2205"/>
      <c r="I710" s="2205"/>
      <c r="J710" s="2206"/>
      <c r="K710" s="2218" t="s">
        <v>1932</v>
      </c>
      <c r="L710" s="2219"/>
      <c r="M710" s="2219"/>
      <c r="N710" s="2220"/>
      <c r="O710" s="2204" t="s">
        <v>456</v>
      </c>
      <c r="P710" s="2205"/>
      <c r="Q710" s="2205"/>
      <c r="R710" s="2205"/>
      <c r="S710" s="2206"/>
      <c r="T710" s="2413" t="s">
        <v>2325</v>
      </c>
      <c r="U710" s="2205"/>
      <c r="V710" s="2205"/>
      <c r="W710" s="2206"/>
      <c r="X710" s="2413" t="s">
        <v>2327</v>
      </c>
      <c r="Y710" s="2205"/>
      <c r="Z710" s="2205"/>
      <c r="AA710" s="2205"/>
      <c r="AB710" s="2206"/>
      <c r="AC710" s="2413" t="s">
        <v>2326</v>
      </c>
      <c r="AD710" s="2205"/>
      <c r="AE710" s="2205"/>
      <c r="AF710" s="2205"/>
      <c r="AG710" s="2206"/>
      <c r="AH710" s="2413" t="s">
        <v>2328</v>
      </c>
      <c r="AI710" s="2205"/>
      <c r="AJ710" s="2206"/>
      <c r="AK710" s="2413" t="s">
        <v>2362</v>
      </c>
      <c r="AL710" s="2205"/>
      <c r="AM710" s="2205"/>
      <c r="AN710" s="2205"/>
      <c r="AO710" s="2206"/>
      <c r="AP710" s="238"/>
      <c r="AQ710" s="238"/>
      <c r="AR710" s="238"/>
      <c r="AS710" s="238"/>
      <c r="AY710" s="1653"/>
      <c r="AZ710" s="1653"/>
      <c r="BA710" s="1653"/>
      <c r="BB710" s="1653"/>
      <c r="BC710" s="1653"/>
      <c r="BD710" s="58"/>
      <c r="BE710" s="58"/>
      <c r="BF710" s="58"/>
      <c r="BG710" s="452">
        <f t="shared" si="47"/>
        <v>0</v>
      </c>
      <c r="BH710" s="455">
        <f t="shared" si="49"/>
        <v>0</v>
      </c>
      <c r="BI710" s="456" t="str">
        <f t="shared" si="48"/>
        <v xml:space="preserve"> </v>
      </c>
      <c r="BJ710" s="708"/>
      <c r="BK710" s="58"/>
      <c r="BL710" s="58"/>
      <c r="BM710" s="58"/>
      <c r="BN710" s="58"/>
      <c r="BO710" s="58"/>
      <c r="BP710" s="533" t="s">
        <v>131</v>
      </c>
      <c r="BQ710" s="745">
        <v>1456</v>
      </c>
      <c r="BR710" s="746">
        <v>1560</v>
      </c>
      <c r="BS710" s="745">
        <v>1872</v>
      </c>
      <c r="BT710" s="746">
        <v>2162</v>
      </c>
      <c r="BU710" s="746">
        <v>2414</v>
      </c>
      <c r="BV710" s="747">
        <v>2662</v>
      </c>
      <c r="BW710" s="58"/>
      <c r="BX710" s="1358">
        <v>752</v>
      </c>
      <c r="BY710" s="1358">
        <v>860</v>
      </c>
      <c r="BZ710" s="1358">
        <v>1132</v>
      </c>
      <c r="CA710" s="1358">
        <v>1556</v>
      </c>
      <c r="CB710" s="1358">
        <v>1938</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5" customHeight="1">
      <c r="B711" s="2207"/>
      <c r="C711" s="2208"/>
      <c r="D711" s="2208"/>
      <c r="E711" s="2208"/>
      <c r="F711" s="2209"/>
      <c r="G711" s="2207"/>
      <c r="H711" s="2208"/>
      <c r="I711" s="2208"/>
      <c r="J711" s="2209"/>
      <c r="K711" s="2221"/>
      <c r="L711" s="2222"/>
      <c r="M711" s="2222"/>
      <c r="N711" s="2223"/>
      <c r="O711" s="2207"/>
      <c r="P711" s="2208"/>
      <c r="Q711" s="2208"/>
      <c r="R711" s="2208"/>
      <c r="S711" s="2209"/>
      <c r="T711" s="2207"/>
      <c r="U711" s="2208"/>
      <c r="V711" s="2208"/>
      <c r="W711" s="2209"/>
      <c r="X711" s="2207"/>
      <c r="Y711" s="2208"/>
      <c r="Z711" s="2208"/>
      <c r="AA711" s="2208"/>
      <c r="AB711" s="2209"/>
      <c r="AC711" s="2207"/>
      <c r="AD711" s="2208"/>
      <c r="AE711" s="2208"/>
      <c r="AF711" s="2208"/>
      <c r="AG711" s="2209"/>
      <c r="AH711" s="2207"/>
      <c r="AI711" s="2208"/>
      <c r="AJ711" s="2209"/>
      <c r="AK711" s="2207"/>
      <c r="AL711" s="2208"/>
      <c r="AM711" s="2208"/>
      <c r="AN711" s="2208"/>
      <c r="AO711" s="2209"/>
      <c r="AP711" s="238"/>
      <c r="AQ711" s="238"/>
      <c r="AR711" s="238"/>
      <c r="AS711" s="238"/>
      <c r="AY711" s="1653"/>
      <c r="AZ711" s="1653"/>
      <c r="BA711" s="1653"/>
      <c r="BB711" s="1653"/>
      <c r="BC711" s="1653"/>
      <c r="BD711" s="58"/>
      <c r="BE711" s="58"/>
      <c r="BF711" s="58"/>
      <c r="BG711" s="452">
        <f t="shared" si="47"/>
        <v>0</v>
      </c>
      <c r="BH711" s="455">
        <f t="shared" si="49"/>
        <v>0</v>
      </c>
      <c r="BI711" s="456" t="str">
        <f t="shared" si="48"/>
        <v xml:space="preserve"> </v>
      </c>
      <c r="BJ711" s="708"/>
      <c r="BK711" s="58"/>
      <c r="BL711" s="58"/>
      <c r="BM711" s="58"/>
      <c r="BN711" s="58"/>
      <c r="BO711" s="58"/>
      <c r="BP711" s="533" t="s">
        <v>204</v>
      </c>
      <c r="BQ711" s="748">
        <v>2194</v>
      </c>
      <c r="BR711" s="749">
        <v>2352</v>
      </c>
      <c r="BS711" s="748">
        <v>2822</v>
      </c>
      <c r="BT711" s="749">
        <v>3260</v>
      </c>
      <c r="BU711" s="749">
        <v>3636</v>
      </c>
      <c r="BV711" s="750">
        <v>4012</v>
      </c>
      <c r="BW711" s="58"/>
      <c r="BX711" s="1358">
        <v>1507</v>
      </c>
      <c r="BY711" s="1358">
        <v>1792</v>
      </c>
      <c r="BZ711" s="1358">
        <v>2218</v>
      </c>
      <c r="CA711" s="1358">
        <v>3101</v>
      </c>
      <c r="CB711" s="1358">
        <v>3655</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5" customHeight="1">
      <c r="A712" s="7"/>
      <c r="B712" s="2207"/>
      <c r="C712" s="2208"/>
      <c r="D712" s="2208"/>
      <c r="E712" s="2208"/>
      <c r="F712" s="2209"/>
      <c r="G712" s="2207"/>
      <c r="H712" s="2208"/>
      <c r="I712" s="2208"/>
      <c r="J712" s="2209"/>
      <c r="K712" s="2221"/>
      <c r="L712" s="2222"/>
      <c r="M712" s="2222"/>
      <c r="N712" s="2223"/>
      <c r="O712" s="2207"/>
      <c r="P712" s="2208"/>
      <c r="Q712" s="2208"/>
      <c r="R712" s="2208"/>
      <c r="S712" s="2209"/>
      <c r="T712" s="2207"/>
      <c r="U712" s="2208"/>
      <c r="V712" s="2208"/>
      <c r="W712" s="2209"/>
      <c r="X712" s="2207"/>
      <c r="Y712" s="2208"/>
      <c r="Z712" s="2208"/>
      <c r="AA712" s="2208"/>
      <c r="AB712" s="2209"/>
      <c r="AC712" s="2207"/>
      <c r="AD712" s="2208"/>
      <c r="AE712" s="2208"/>
      <c r="AF712" s="2208"/>
      <c r="AG712" s="2209"/>
      <c r="AH712" s="2207"/>
      <c r="AI712" s="2208"/>
      <c r="AJ712" s="2209"/>
      <c r="AK712" s="2207"/>
      <c r="AL712" s="2208"/>
      <c r="AM712" s="2208"/>
      <c r="AN712" s="2208"/>
      <c r="AO712" s="2209"/>
      <c r="AP712" s="238"/>
      <c r="AQ712" s="238"/>
      <c r="AR712" s="238"/>
      <c r="AS712" s="238"/>
      <c r="AY712" s="1653"/>
      <c r="AZ712" s="1653"/>
      <c r="BA712" s="1653"/>
      <c r="BB712" s="1653"/>
      <c r="BC712" s="1653"/>
      <c r="BD712" s="58"/>
      <c r="BE712" s="58"/>
      <c r="BF712" s="58"/>
      <c r="BG712" s="452">
        <f t="shared" si="47"/>
        <v>0</v>
      </c>
      <c r="BH712" s="455">
        <f t="shared" si="49"/>
        <v>0</v>
      </c>
      <c r="BI712" s="456" t="str">
        <f t="shared" si="48"/>
        <v xml:space="preserve"> </v>
      </c>
      <c r="BJ712" s="708"/>
      <c r="BK712" s="58"/>
      <c r="BL712" s="58"/>
      <c r="BM712" s="58"/>
      <c r="BN712" s="58"/>
      <c r="BO712" s="58"/>
      <c r="BP712" s="533" t="s">
        <v>205</v>
      </c>
      <c r="BQ712" s="751">
        <v>1734</v>
      </c>
      <c r="BR712" s="752">
        <v>1858</v>
      </c>
      <c r="BS712" s="751">
        <v>2230</v>
      </c>
      <c r="BT712" s="752">
        <v>2576</v>
      </c>
      <c r="BU712" s="752">
        <v>2874</v>
      </c>
      <c r="BV712" s="753">
        <v>3172</v>
      </c>
      <c r="BW712" s="58"/>
      <c r="BX712" s="1358">
        <v>1212</v>
      </c>
      <c r="BY712" s="1358">
        <v>1280</v>
      </c>
      <c r="BZ712" s="1358">
        <v>1684</v>
      </c>
      <c r="CA712" s="1358">
        <v>2353</v>
      </c>
      <c r="CB712" s="1358">
        <v>2843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5" customHeight="1" thickBot="1">
      <c r="A713" s="7"/>
      <c r="B713" s="2210"/>
      <c r="C713" s="2211"/>
      <c r="D713" s="2211"/>
      <c r="E713" s="2211"/>
      <c r="F713" s="2212"/>
      <c r="G713" s="2210"/>
      <c r="H713" s="2211"/>
      <c r="I713" s="2211"/>
      <c r="J713" s="2212"/>
      <c r="K713" s="2221"/>
      <c r="L713" s="2222"/>
      <c r="M713" s="2222"/>
      <c r="N713" s="2223"/>
      <c r="O713" s="2210"/>
      <c r="P713" s="2211"/>
      <c r="Q713" s="2211"/>
      <c r="R713" s="2211"/>
      <c r="S713" s="2212"/>
      <c r="T713" s="2210"/>
      <c r="U713" s="2211"/>
      <c r="V713" s="2211"/>
      <c r="W713" s="2212"/>
      <c r="X713" s="2210"/>
      <c r="Y713" s="2211"/>
      <c r="Z713" s="2211"/>
      <c r="AA713" s="2211"/>
      <c r="AB713" s="2212"/>
      <c r="AC713" s="2210"/>
      <c r="AD713" s="2211"/>
      <c r="AE713" s="2211"/>
      <c r="AF713" s="2211"/>
      <c r="AG713" s="2212"/>
      <c r="AH713" s="2210"/>
      <c r="AI713" s="2211"/>
      <c r="AJ713" s="2212"/>
      <c r="AK713" s="2210"/>
      <c r="AL713" s="2211"/>
      <c r="AM713" s="2211"/>
      <c r="AN713" s="2211"/>
      <c r="AO713" s="2212"/>
      <c r="AP713" s="238"/>
      <c r="AQ713" s="238"/>
      <c r="AR713" s="238"/>
      <c r="AS713" s="238"/>
      <c r="AY713" s="1653"/>
      <c r="AZ713" s="1653"/>
      <c r="BA713" s="1653"/>
      <c r="BB713" s="1653"/>
      <c r="BC713" s="1653"/>
      <c r="BD713" s="58"/>
      <c r="BE713" s="58"/>
      <c r="BF713" s="58"/>
      <c r="BG713" s="1357">
        <f t="shared" si="47"/>
        <v>0</v>
      </c>
      <c r="BH713" s="455">
        <f t="shared" si="49"/>
        <v>0</v>
      </c>
      <c r="BI713" s="456" t="str">
        <f t="shared" si="48"/>
        <v xml:space="preserve"> </v>
      </c>
      <c r="BJ713" s="708"/>
      <c r="BK713" s="58"/>
      <c r="BL713" s="58"/>
      <c r="BM713" s="58"/>
      <c r="BN713" s="58"/>
      <c r="BO713" s="58"/>
      <c r="BP713" s="533" t="s">
        <v>206</v>
      </c>
      <c r="BQ713" s="754">
        <v>1364</v>
      </c>
      <c r="BR713" s="755">
        <v>1462</v>
      </c>
      <c r="BS713" s="754">
        <v>1754</v>
      </c>
      <c r="BT713" s="755">
        <v>2026</v>
      </c>
      <c r="BU713" s="755">
        <v>2260</v>
      </c>
      <c r="BV713" s="756">
        <v>2492</v>
      </c>
      <c r="BW713" s="58"/>
      <c r="BX713" s="1358">
        <v>920</v>
      </c>
      <c r="BY713" s="1358">
        <v>926</v>
      </c>
      <c r="BZ713" s="1358">
        <v>1173</v>
      </c>
      <c r="CA713" s="1358">
        <v>1666</v>
      </c>
      <c r="CB713" s="1358">
        <v>2008</v>
      </c>
      <c r="CC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5" customHeight="1">
      <c r="A714" s="7"/>
      <c r="B714" s="2144" t="s">
        <v>326</v>
      </c>
      <c r="C714" s="2145"/>
      <c r="D714" s="2145"/>
      <c r="E714" s="2145"/>
      <c r="F714" s="2156"/>
      <c r="G714" s="2201">
        <v>25</v>
      </c>
      <c r="H714" s="2202"/>
      <c r="I714" s="2202"/>
      <c r="J714" s="2203"/>
      <c r="K714" s="2198">
        <v>600</v>
      </c>
      <c r="L714" s="2199"/>
      <c r="M714" s="2199"/>
      <c r="N714" s="2200"/>
      <c r="O714" s="2195">
        <v>271</v>
      </c>
      <c r="P714" s="2196"/>
      <c r="Q714" s="2196"/>
      <c r="R714" s="2196"/>
      <c r="S714" s="2197"/>
      <c r="T714" s="2195">
        <v>59</v>
      </c>
      <c r="U714" s="2196"/>
      <c r="V714" s="2196"/>
      <c r="W714" s="2197"/>
      <c r="X714" s="2213">
        <f t="shared" ref="X714:X738" si="50">O714+T714</f>
        <v>330</v>
      </c>
      <c r="Y714" s="2214"/>
      <c r="Z714" s="2214"/>
      <c r="AA714" s="2214"/>
      <c r="AB714" s="2215"/>
      <c r="AC714" s="2233">
        <v>0.2</v>
      </c>
      <c r="AD714" s="2234"/>
      <c r="AE714" s="2234"/>
      <c r="AF714" s="2234"/>
      <c r="AG714" s="2235"/>
      <c r="AH714" s="2410">
        <f t="shared" ref="AH714:AH738" si="51">IF($AC714&gt;0,($X714/$BA656), " ")</f>
        <v>0.2</v>
      </c>
      <c r="AI714" s="2411"/>
      <c r="AJ714" s="2412"/>
      <c r="AK714" s="2144" t="s">
        <v>2516</v>
      </c>
      <c r="AL714" s="2145"/>
      <c r="AM714" s="2145"/>
      <c r="AN714" s="2145"/>
      <c r="AO714" s="2156"/>
      <c r="AP714" s="238"/>
      <c r="AQ714" s="238"/>
      <c r="AR714" s="238"/>
      <c r="AS714" s="238"/>
      <c r="AY714" s="1768"/>
      <c r="AZ714" s="1768"/>
      <c r="BA714" s="1768"/>
      <c r="BB714" s="1768"/>
      <c r="BC714" s="1768"/>
      <c r="BD714" s="58"/>
      <c r="BE714" s="58"/>
      <c r="BF714" s="58"/>
      <c r="BG714" s="1356">
        <f>SUM(BG689:BG713)</f>
        <v>69</v>
      </c>
      <c r="BH714" s="458">
        <f>SUM(BH689:BH713)</f>
        <v>1</v>
      </c>
      <c r="BI714" s="458">
        <f>SUM(BI689:BI713)</f>
        <v>0.48405797101449277</v>
      </c>
      <c r="BJ714" s="708"/>
      <c r="BK714" s="58"/>
      <c r="BL714" s="58"/>
      <c r="BM714" s="58"/>
      <c r="BN714" s="58"/>
      <c r="BO714" s="58"/>
      <c r="BP714" s="436"/>
      <c r="BQ714" s="308"/>
      <c r="BR714" s="450"/>
      <c r="BS714" s="450"/>
      <c r="BT714" s="450"/>
      <c r="BU714" s="450"/>
      <c r="BV714" s="450"/>
      <c r="BW714" s="58"/>
      <c r="BX714" s="58"/>
      <c r="BY714" s="58"/>
      <c r="BZ714" s="58"/>
      <c r="CA714" s="58"/>
      <c r="CB714" s="58"/>
      <c r="CC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5" customHeight="1">
      <c r="A715" s="7"/>
      <c r="B715" s="2144" t="s">
        <v>326</v>
      </c>
      <c r="C715" s="2145"/>
      <c r="D715" s="2145"/>
      <c r="E715" s="2145"/>
      <c r="F715" s="2156"/>
      <c r="G715" s="2201">
        <v>7</v>
      </c>
      <c r="H715" s="2202"/>
      <c r="I715" s="2202"/>
      <c r="J715" s="2203"/>
      <c r="K715" s="2198">
        <v>600</v>
      </c>
      <c r="L715" s="2199"/>
      <c r="M715" s="2199"/>
      <c r="N715" s="2200"/>
      <c r="O715" s="2195">
        <v>436</v>
      </c>
      <c r="P715" s="2196"/>
      <c r="Q715" s="2196"/>
      <c r="R715" s="2196"/>
      <c r="S715" s="2197"/>
      <c r="T715" s="2195">
        <v>59</v>
      </c>
      <c r="U715" s="2196"/>
      <c r="V715" s="2196"/>
      <c r="W715" s="2197"/>
      <c r="X715" s="2213">
        <f t="shared" si="50"/>
        <v>495</v>
      </c>
      <c r="Y715" s="2214"/>
      <c r="Z715" s="2214"/>
      <c r="AA715" s="2214"/>
      <c r="AB715" s="2215"/>
      <c r="AC715" s="2233">
        <v>0.3</v>
      </c>
      <c r="AD715" s="2234"/>
      <c r="AE715" s="2234"/>
      <c r="AF715" s="2234"/>
      <c r="AG715" s="2235"/>
      <c r="AH715" s="2410">
        <f t="shared" si="51"/>
        <v>0.3</v>
      </c>
      <c r="AI715" s="2411"/>
      <c r="AJ715" s="2412"/>
      <c r="AK715" s="2144" t="s">
        <v>2516</v>
      </c>
      <c r="AL715" s="2145"/>
      <c r="AM715" s="2145"/>
      <c r="AN715" s="2145"/>
      <c r="AO715" s="2156"/>
      <c r="AP715" s="238"/>
      <c r="AQ715" s="238"/>
      <c r="AR715" s="238"/>
      <c r="AS715" s="238"/>
      <c r="AY715" s="1768"/>
      <c r="AZ715" s="1768"/>
      <c r="BA715" s="1768"/>
      <c r="BB715" s="1768"/>
      <c r="BC715" s="176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5" customHeight="1">
      <c r="A716" s="7"/>
      <c r="B716" s="2144" t="s">
        <v>326</v>
      </c>
      <c r="C716" s="2145"/>
      <c r="D716" s="2145"/>
      <c r="E716" s="2145"/>
      <c r="F716" s="2156"/>
      <c r="G716" s="2201">
        <v>3</v>
      </c>
      <c r="H716" s="2202"/>
      <c r="I716" s="2202"/>
      <c r="J716" s="2203"/>
      <c r="K716" s="2198">
        <v>600</v>
      </c>
      <c r="L716" s="2199"/>
      <c r="M716" s="2199"/>
      <c r="N716" s="2200"/>
      <c r="O716" s="2195">
        <v>766</v>
      </c>
      <c r="P716" s="2196"/>
      <c r="Q716" s="2196"/>
      <c r="R716" s="2196"/>
      <c r="S716" s="2197"/>
      <c r="T716" s="2195">
        <v>59</v>
      </c>
      <c r="U716" s="2196"/>
      <c r="V716" s="2196"/>
      <c r="W716" s="2197"/>
      <c r="X716" s="2213">
        <f t="shared" si="50"/>
        <v>825</v>
      </c>
      <c r="Y716" s="2214"/>
      <c r="Z716" s="2214"/>
      <c r="AA716" s="2214"/>
      <c r="AB716" s="2215"/>
      <c r="AC716" s="2233">
        <v>0.5</v>
      </c>
      <c r="AD716" s="2234"/>
      <c r="AE716" s="2234"/>
      <c r="AF716" s="2234"/>
      <c r="AG716" s="2235"/>
      <c r="AH716" s="2410">
        <f t="shared" si="51"/>
        <v>0.5</v>
      </c>
      <c r="AI716" s="2411"/>
      <c r="AJ716" s="2412"/>
      <c r="AK716" s="2144" t="s">
        <v>600</v>
      </c>
      <c r="AL716" s="2145"/>
      <c r="AM716" s="2145"/>
      <c r="AN716" s="2145"/>
      <c r="AO716" s="2156"/>
      <c r="AP716" s="238"/>
      <c r="AQ716" s="238"/>
      <c r="AR716" s="238"/>
      <c r="AS716" s="238"/>
      <c r="AY716" s="1768"/>
      <c r="AZ716" s="1768"/>
      <c r="BA716" s="1768"/>
      <c r="BB716" s="1768"/>
      <c r="BC716" s="176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5" customHeight="1">
      <c r="B717" s="2144" t="s">
        <v>326</v>
      </c>
      <c r="C717" s="2145"/>
      <c r="D717" s="2145"/>
      <c r="E717" s="2145"/>
      <c r="F717" s="2156"/>
      <c r="G717" s="2201">
        <v>12</v>
      </c>
      <c r="H717" s="2202"/>
      <c r="I717" s="2202"/>
      <c r="J717" s="2203"/>
      <c r="K717" s="2198">
        <v>600</v>
      </c>
      <c r="L717" s="2199"/>
      <c r="M717" s="2199"/>
      <c r="N717" s="2200"/>
      <c r="O717" s="2195">
        <v>931</v>
      </c>
      <c r="P717" s="2196"/>
      <c r="Q717" s="2196"/>
      <c r="R717" s="2196"/>
      <c r="S717" s="2197"/>
      <c r="T717" s="2195">
        <v>59</v>
      </c>
      <c r="U717" s="2196"/>
      <c r="V717" s="2196"/>
      <c r="W717" s="2197"/>
      <c r="X717" s="2213">
        <f t="shared" si="50"/>
        <v>990</v>
      </c>
      <c r="Y717" s="2214"/>
      <c r="Z717" s="2214"/>
      <c r="AA717" s="2214"/>
      <c r="AB717" s="2215"/>
      <c r="AC717" s="2233">
        <v>0.6</v>
      </c>
      <c r="AD717" s="2234"/>
      <c r="AE717" s="2234"/>
      <c r="AF717" s="2234"/>
      <c r="AG717" s="2235"/>
      <c r="AH717" s="2410">
        <f t="shared" si="51"/>
        <v>0.6</v>
      </c>
      <c r="AI717" s="2411"/>
      <c r="AJ717" s="2412"/>
      <c r="AK717" s="2144" t="s">
        <v>600</v>
      </c>
      <c r="AL717" s="2145"/>
      <c r="AM717" s="2145"/>
      <c r="AN717" s="2145"/>
      <c r="AO717" s="2156"/>
      <c r="AP717" s="238"/>
      <c r="AQ717" s="238"/>
      <c r="AR717" s="238"/>
      <c r="AS717" s="238"/>
      <c r="AY717" s="1768"/>
      <c r="AZ717" s="1768"/>
      <c r="BA717" s="1768"/>
      <c r="BB717" s="1768"/>
      <c r="BC717" s="176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5" customHeight="1">
      <c r="B718" s="2144" t="s">
        <v>326</v>
      </c>
      <c r="C718" s="2145"/>
      <c r="D718" s="2145"/>
      <c r="E718" s="2145"/>
      <c r="F718" s="2156"/>
      <c r="G718" s="2201">
        <v>22</v>
      </c>
      <c r="H718" s="2202"/>
      <c r="I718" s="2202"/>
      <c r="J718" s="2203"/>
      <c r="K718" s="2198">
        <v>600</v>
      </c>
      <c r="L718" s="2199"/>
      <c r="M718" s="2199"/>
      <c r="N718" s="2200"/>
      <c r="O718" s="2195">
        <v>1261</v>
      </c>
      <c r="P718" s="2196"/>
      <c r="Q718" s="2196"/>
      <c r="R718" s="2196"/>
      <c r="S718" s="2197"/>
      <c r="T718" s="2195">
        <v>59</v>
      </c>
      <c r="U718" s="2196"/>
      <c r="V718" s="2196"/>
      <c r="W718" s="2197"/>
      <c r="X718" s="2213">
        <f t="shared" si="50"/>
        <v>1320</v>
      </c>
      <c r="Y718" s="2214"/>
      <c r="Z718" s="2214"/>
      <c r="AA718" s="2214"/>
      <c r="AB718" s="2215"/>
      <c r="AC718" s="2233">
        <v>0.8</v>
      </c>
      <c r="AD718" s="2234"/>
      <c r="AE718" s="2234"/>
      <c r="AF718" s="2234"/>
      <c r="AG718" s="2235"/>
      <c r="AH718" s="2410">
        <f t="shared" si="51"/>
        <v>0.8</v>
      </c>
      <c r="AI718" s="2411"/>
      <c r="AJ718" s="2412"/>
      <c r="AK718" s="2144" t="s">
        <v>600</v>
      </c>
      <c r="AL718" s="2145"/>
      <c r="AM718" s="2145"/>
      <c r="AN718" s="2145"/>
      <c r="AO718" s="2156"/>
      <c r="AP718" s="238"/>
      <c r="AQ718" s="238"/>
      <c r="AR718" s="238"/>
      <c r="AS718" s="238"/>
      <c r="AY718" s="1768"/>
      <c r="AZ718" s="1768"/>
      <c r="BA718" s="1768"/>
      <c r="BB718" s="1768"/>
      <c r="BC718" s="176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95" customHeight="1">
      <c r="B719" s="2144"/>
      <c r="C719" s="2145"/>
      <c r="D719" s="2145"/>
      <c r="E719" s="2145"/>
      <c r="F719" s="2156"/>
      <c r="G719" s="2201"/>
      <c r="H719" s="2202"/>
      <c r="I719" s="2202"/>
      <c r="J719" s="2203"/>
      <c r="K719" s="2198"/>
      <c r="L719" s="2199"/>
      <c r="M719" s="2199"/>
      <c r="N719" s="2200"/>
      <c r="O719" s="2195"/>
      <c r="P719" s="2196"/>
      <c r="Q719" s="2196"/>
      <c r="R719" s="2196"/>
      <c r="S719" s="2197"/>
      <c r="T719" s="2195"/>
      <c r="U719" s="2196"/>
      <c r="V719" s="2196"/>
      <c r="W719" s="2197"/>
      <c r="X719" s="2213">
        <f t="shared" si="50"/>
        <v>0</v>
      </c>
      <c r="Y719" s="2214"/>
      <c r="Z719" s="2214"/>
      <c r="AA719" s="2214"/>
      <c r="AB719" s="2215"/>
      <c r="AC719" s="2233"/>
      <c r="AD719" s="2234"/>
      <c r="AE719" s="2234"/>
      <c r="AF719" s="2234"/>
      <c r="AG719" s="2235"/>
      <c r="AH719" s="2410" t="str">
        <f t="shared" si="51"/>
        <v xml:space="preserve"> </v>
      </c>
      <c r="AI719" s="2411"/>
      <c r="AJ719" s="2412"/>
      <c r="AK719" s="2144" t="s">
        <v>600</v>
      </c>
      <c r="AL719" s="2145"/>
      <c r="AM719" s="2145"/>
      <c r="AN719" s="2145"/>
      <c r="AO719" s="2156"/>
      <c r="AP719" s="238"/>
      <c r="AQ719" s="238"/>
      <c r="AR719" s="238"/>
      <c r="AS719" s="238"/>
      <c r="AY719" s="1768"/>
      <c r="AZ719" s="1768"/>
      <c r="BA719" s="1768"/>
      <c r="BB719" s="1768"/>
      <c r="BC719" s="176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5" customHeight="1">
      <c r="B720" s="2144"/>
      <c r="C720" s="2145"/>
      <c r="D720" s="2145"/>
      <c r="E720" s="2145"/>
      <c r="F720" s="2156"/>
      <c r="G720" s="2201"/>
      <c r="H720" s="2202"/>
      <c r="I720" s="2202"/>
      <c r="J720" s="2203"/>
      <c r="K720" s="2198"/>
      <c r="L720" s="2199"/>
      <c r="M720" s="2199"/>
      <c r="N720" s="2200"/>
      <c r="O720" s="2195"/>
      <c r="P720" s="2196"/>
      <c r="Q720" s="2196"/>
      <c r="R720" s="2196"/>
      <c r="S720" s="2197"/>
      <c r="T720" s="2195"/>
      <c r="U720" s="2196"/>
      <c r="V720" s="2196"/>
      <c r="W720" s="2197"/>
      <c r="X720" s="2213">
        <f t="shared" si="50"/>
        <v>0</v>
      </c>
      <c r="Y720" s="2214"/>
      <c r="Z720" s="2214"/>
      <c r="AA720" s="2214"/>
      <c r="AB720" s="2215"/>
      <c r="AC720" s="2233"/>
      <c r="AD720" s="2234"/>
      <c r="AE720" s="2234"/>
      <c r="AF720" s="2234"/>
      <c r="AG720" s="2235"/>
      <c r="AH720" s="2410" t="str">
        <f t="shared" si="51"/>
        <v xml:space="preserve"> </v>
      </c>
      <c r="AI720" s="2411"/>
      <c r="AJ720" s="2412"/>
      <c r="AK720" s="2144" t="s">
        <v>600</v>
      </c>
      <c r="AL720" s="2145"/>
      <c r="AM720" s="2145"/>
      <c r="AN720" s="2145"/>
      <c r="AO720" s="2156"/>
      <c r="AP720" s="238"/>
      <c r="AQ720" s="238"/>
      <c r="AR720" s="238"/>
      <c r="AS720" s="238"/>
      <c r="AY720" s="1768"/>
      <c r="AZ720" s="1768"/>
      <c r="BA720" s="1768"/>
      <c r="BB720" s="1768"/>
      <c r="BC720" s="176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5" customHeight="1">
      <c r="B721" s="2144"/>
      <c r="C721" s="2145"/>
      <c r="D721" s="2145"/>
      <c r="E721" s="2145"/>
      <c r="F721" s="2156"/>
      <c r="G721" s="2201"/>
      <c r="H721" s="2202"/>
      <c r="I721" s="2202"/>
      <c r="J721" s="2203"/>
      <c r="K721" s="2198"/>
      <c r="L721" s="2199"/>
      <c r="M721" s="2199"/>
      <c r="N721" s="2200"/>
      <c r="O721" s="2195"/>
      <c r="P721" s="2196"/>
      <c r="Q721" s="2196"/>
      <c r="R721" s="2196"/>
      <c r="S721" s="2197"/>
      <c r="T721" s="2195"/>
      <c r="U721" s="2196"/>
      <c r="V721" s="2196"/>
      <c r="W721" s="2197"/>
      <c r="X721" s="2213">
        <f t="shared" si="50"/>
        <v>0</v>
      </c>
      <c r="Y721" s="2214"/>
      <c r="Z721" s="2214"/>
      <c r="AA721" s="2214"/>
      <c r="AB721" s="2215"/>
      <c r="AC721" s="2233"/>
      <c r="AD721" s="2234"/>
      <c r="AE721" s="2234"/>
      <c r="AF721" s="2234"/>
      <c r="AG721" s="2235"/>
      <c r="AH721" s="2410" t="str">
        <f t="shared" si="51"/>
        <v xml:space="preserve"> </v>
      </c>
      <c r="AI721" s="2411"/>
      <c r="AJ721" s="2412"/>
      <c r="AK721" s="2144" t="s">
        <v>600</v>
      </c>
      <c r="AL721" s="2145"/>
      <c r="AM721" s="2145"/>
      <c r="AN721" s="2145"/>
      <c r="AO721" s="2156"/>
      <c r="AP721" s="238"/>
      <c r="AQ721" s="238"/>
      <c r="AR721" s="238"/>
      <c r="AS721" s="238"/>
      <c r="AY721" s="1768"/>
      <c r="AZ721" s="1768"/>
      <c r="BA721" s="1768"/>
      <c r="BB721" s="1768"/>
      <c r="BC721" s="176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5" customHeight="1">
      <c r="B722" s="2144"/>
      <c r="C722" s="2145"/>
      <c r="D722" s="2145"/>
      <c r="E722" s="2145"/>
      <c r="F722" s="2156"/>
      <c r="G722" s="2201"/>
      <c r="H722" s="2202"/>
      <c r="I722" s="2202"/>
      <c r="J722" s="2203"/>
      <c r="K722" s="2198"/>
      <c r="L722" s="2199"/>
      <c r="M722" s="2199"/>
      <c r="N722" s="2200"/>
      <c r="O722" s="2195"/>
      <c r="P722" s="2196"/>
      <c r="Q722" s="2196"/>
      <c r="R722" s="2196"/>
      <c r="S722" s="2197"/>
      <c r="T722" s="2195"/>
      <c r="U722" s="2196"/>
      <c r="V722" s="2196"/>
      <c r="W722" s="2197"/>
      <c r="X722" s="2213">
        <f t="shared" si="50"/>
        <v>0</v>
      </c>
      <c r="Y722" s="2214"/>
      <c r="Z722" s="2214"/>
      <c r="AA722" s="2214"/>
      <c r="AB722" s="2215"/>
      <c r="AC722" s="2233"/>
      <c r="AD722" s="2234"/>
      <c r="AE722" s="2234"/>
      <c r="AF722" s="2234"/>
      <c r="AG722" s="2235"/>
      <c r="AH722" s="2410" t="str">
        <f t="shared" si="51"/>
        <v xml:space="preserve"> </v>
      </c>
      <c r="AI722" s="2411"/>
      <c r="AJ722" s="2412"/>
      <c r="AK722" s="2144" t="s">
        <v>600</v>
      </c>
      <c r="AL722" s="2145"/>
      <c r="AM722" s="2145"/>
      <c r="AN722" s="2145"/>
      <c r="AO722" s="2156"/>
      <c r="AP722" s="238"/>
      <c r="AQ722" s="238"/>
      <c r="AR722" s="238"/>
      <c r="AS722" s="238"/>
      <c r="AY722" s="1768"/>
      <c r="AZ722" s="1768"/>
      <c r="BA722" s="1768"/>
      <c r="BB722" s="1768"/>
      <c r="BC722" s="176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5" customHeight="1">
      <c r="A723" s="7"/>
      <c r="B723" s="2144"/>
      <c r="C723" s="2145"/>
      <c r="D723" s="2145"/>
      <c r="E723" s="2145"/>
      <c r="F723" s="2156"/>
      <c r="G723" s="2201"/>
      <c r="H723" s="2202"/>
      <c r="I723" s="2202"/>
      <c r="J723" s="2203"/>
      <c r="K723" s="2198"/>
      <c r="L723" s="2199"/>
      <c r="M723" s="2199"/>
      <c r="N723" s="2200"/>
      <c r="O723" s="2195"/>
      <c r="P723" s="2196"/>
      <c r="Q723" s="2196"/>
      <c r="R723" s="2196"/>
      <c r="S723" s="2197"/>
      <c r="T723" s="2195"/>
      <c r="U723" s="2196"/>
      <c r="V723" s="2196"/>
      <c r="W723" s="2197"/>
      <c r="X723" s="2213">
        <f t="shared" si="50"/>
        <v>0</v>
      </c>
      <c r="Y723" s="2214"/>
      <c r="Z723" s="2214"/>
      <c r="AA723" s="2214"/>
      <c r="AB723" s="2215"/>
      <c r="AC723" s="2233"/>
      <c r="AD723" s="2234"/>
      <c r="AE723" s="2234"/>
      <c r="AF723" s="2234"/>
      <c r="AG723" s="2235"/>
      <c r="AH723" s="2410" t="str">
        <f t="shared" si="51"/>
        <v xml:space="preserve"> </v>
      </c>
      <c r="AI723" s="2411"/>
      <c r="AJ723" s="2412"/>
      <c r="AK723" s="2144" t="s">
        <v>600</v>
      </c>
      <c r="AL723" s="2145"/>
      <c r="AM723" s="2145"/>
      <c r="AN723" s="2145"/>
      <c r="AO723" s="2156"/>
      <c r="AP723" s="238"/>
      <c r="AQ723" s="238"/>
      <c r="AR723" s="238"/>
      <c r="AS723" s="238"/>
      <c r="AY723" s="1768"/>
      <c r="AZ723" s="1768"/>
      <c r="BA723" s="1768"/>
      <c r="BB723" s="1768"/>
      <c r="BC723" s="176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95" customHeight="1">
      <c r="A724" s="7"/>
      <c r="B724" s="2144"/>
      <c r="C724" s="2145"/>
      <c r="D724" s="2145"/>
      <c r="E724" s="2145"/>
      <c r="F724" s="2156"/>
      <c r="G724" s="2201"/>
      <c r="H724" s="2202"/>
      <c r="I724" s="2202"/>
      <c r="J724" s="2203"/>
      <c r="K724" s="2198"/>
      <c r="L724" s="2199"/>
      <c r="M724" s="2199"/>
      <c r="N724" s="2200"/>
      <c r="O724" s="2195"/>
      <c r="P724" s="2196"/>
      <c r="Q724" s="2196"/>
      <c r="R724" s="2196"/>
      <c r="S724" s="2197"/>
      <c r="T724" s="2195"/>
      <c r="U724" s="2196"/>
      <c r="V724" s="2196"/>
      <c r="W724" s="2197"/>
      <c r="X724" s="2213">
        <f t="shared" si="50"/>
        <v>0</v>
      </c>
      <c r="Y724" s="2214"/>
      <c r="Z724" s="2214"/>
      <c r="AA724" s="2214"/>
      <c r="AB724" s="2215"/>
      <c r="AC724" s="2233"/>
      <c r="AD724" s="2234"/>
      <c r="AE724" s="2234"/>
      <c r="AF724" s="2234"/>
      <c r="AG724" s="2235"/>
      <c r="AH724" s="2410" t="str">
        <f t="shared" si="51"/>
        <v xml:space="preserve"> </v>
      </c>
      <c r="AI724" s="2411"/>
      <c r="AJ724" s="2412"/>
      <c r="AK724" s="2144" t="s">
        <v>600</v>
      </c>
      <c r="AL724" s="2145"/>
      <c r="AM724" s="2145"/>
      <c r="AN724" s="2145"/>
      <c r="AO724" s="2156"/>
      <c r="AP724" s="238"/>
      <c r="AQ724" s="238"/>
      <c r="AR724" s="238"/>
      <c r="AS724" s="238"/>
      <c r="AY724" s="1768"/>
      <c r="AZ724" s="1768"/>
      <c r="BA724" s="1768"/>
      <c r="BB724" s="1768"/>
      <c r="BC724" s="176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5" customHeight="1">
      <c r="A725" s="7"/>
      <c r="B725" s="2144"/>
      <c r="C725" s="2145"/>
      <c r="D725" s="2145"/>
      <c r="E725" s="2145"/>
      <c r="F725" s="2156"/>
      <c r="G725" s="2201"/>
      <c r="H725" s="2202"/>
      <c r="I725" s="2202"/>
      <c r="J725" s="2203"/>
      <c r="K725" s="2198"/>
      <c r="L725" s="2199"/>
      <c r="M725" s="2199"/>
      <c r="N725" s="2200"/>
      <c r="O725" s="2195"/>
      <c r="P725" s="2196"/>
      <c r="Q725" s="2196"/>
      <c r="R725" s="2196"/>
      <c r="S725" s="2197"/>
      <c r="T725" s="2195"/>
      <c r="U725" s="2196"/>
      <c r="V725" s="2196"/>
      <c r="W725" s="2197"/>
      <c r="X725" s="2213">
        <f t="shared" si="50"/>
        <v>0</v>
      </c>
      <c r="Y725" s="2214"/>
      <c r="Z725" s="2214"/>
      <c r="AA725" s="2214"/>
      <c r="AB725" s="2215"/>
      <c r="AC725" s="2233"/>
      <c r="AD725" s="2234"/>
      <c r="AE725" s="2234"/>
      <c r="AF725" s="2234"/>
      <c r="AG725" s="2235"/>
      <c r="AH725" s="2410" t="str">
        <f t="shared" si="51"/>
        <v xml:space="preserve"> </v>
      </c>
      <c r="AI725" s="2411"/>
      <c r="AJ725" s="2412"/>
      <c r="AK725" s="2144" t="s">
        <v>600</v>
      </c>
      <c r="AL725" s="2145"/>
      <c r="AM725" s="2145"/>
      <c r="AN725" s="2145"/>
      <c r="AO725" s="2156"/>
      <c r="AP725" s="238"/>
      <c r="AQ725" s="238"/>
      <c r="AR725" s="238"/>
      <c r="AS725" s="238"/>
      <c r="AY725" s="1768"/>
      <c r="AZ725" s="1768"/>
      <c r="BA725" s="1768"/>
      <c r="BB725" s="1768"/>
      <c r="BC725" s="176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5" customHeight="1">
      <c r="B726" s="2144"/>
      <c r="C726" s="2145"/>
      <c r="D726" s="2145"/>
      <c r="E726" s="2145"/>
      <c r="F726" s="2156"/>
      <c r="G726" s="2201"/>
      <c r="H726" s="2202"/>
      <c r="I726" s="2202"/>
      <c r="J726" s="2203"/>
      <c r="K726" s="2198"/>
      <c r="L726" s="2199"/>
      <c r="M726" s="2199"/>
      <c r="N726" s="2200"/>
      <c r="O726" s="2195"/>
      <c r="P726" s="2196"/>
      <c r="Q726" s="2196"/>
      <c r="R726" s="2196"/>
      <c r="S726" s="2197"/>
      <c r="T726" s="2195"/>
      <c r="U726" s="2196"/>
      <c r="V726" s="2196"/>
      <c r="W726" s="2197"/>
      <c r="X726" s="2213">
        <f t="shared" si="50"/>
        <v>0</v>
      </c>
      <c r="Y726" s="2214"/>
      <c r="Z726" s="2214"/>
      <c r="AA726" s="2214"/>
      <c r="AB726" s="2215"/>
      <c r="AC726" s="2233"/>
      <c r="AD726" s="2234"/>
      <c r="AE726" s="2234"/>
      <c r="AF726" s="2234"/>
      <c r="AG726" s="2235"/>
      <c r="AH726" s="2410" t="str">
        <f t="shared" si="51"/>
        <v xml:space="preserve"> </v>
      </c>
      <c r="AI726" s="2411"/>
      <c r="AJ726" s="2412"/>
      <c r="AK726" s="2144" t="s">
        <v>600</v>
      </c>
      <c r="AL726" s="2145"/>
      <c r="AM726" s="2145"/>
      <c r="AN726" s="2145"/>
      <c r="AO726" s="2156"/>
      <c r="AP726" s="238"/>
      <c r="AQ726" s="238"/>
      <c r="AR726" s="238"/>
      <c r="AS726" s="238"/>
      <c r="AY726" s="1768"/>
      <c r="AZ726" s="1768"/>
      <c r="BA726" s="1768"/>
      <c r="BB726" s="1768"/>
      <c r="BC726" s="176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2.95" customHeight="1">
      <c r="B727" s="2144"/>
      <c r="C727" s="2145"/>
      <c r="D727" s="2145"/>
      <c r="E727" s="2145"/>
      <c r="F727" s="2156"/>
      <c r="G727" s="2201"/>
      <c r="H727" s="2202"/>
      <c r="I727" s="2202"/>
      <c r="J727" s="2203"/>
      <c r="K727" s="2198"/>
      <c r="L727" s="2199"/>
      <c r="M727" s="2199"/>
      <c r="N727" s="2200"/>
      <c r="O727" s="2195"/>
      <c r="P727" s="2196"/>
      <c r="Q727" s="2196"/>
      <c r="R727" s="2196"/>
      <c r="S727" s="2197"/>
      <c r="T727" s="2195"/>
      <c r="U727" s="2196"/>
      <c r="V727" s="2196"/>
      <c r="W727" s="2197"/>
      <c r="X727" s="2213">
        <f t="shared" si="50"/>
        <v>0</v>
      </c>
      <c r="Y727" s="2214"/>
      <c r="Z727" s="2214"/>
      <c r="AA727" s="2214"/>
      <c r="AB727" s="2215"/>
      <c r="AC727" s="2233">
        <v>0</v>
      </c>
      <c r="AD727" s="2234"/>
      <c r="AE727" s="2234"/>
      <c r="AF727" s="2234"/>
      <c r="AG727" s="2235"/>
      <c r="AH727" s="2410" t="str">
        <f t="shared" si="51"/>
        <v xml:space="preserve"> </v>
      </c>
      <c r="AI727" s="2411"/>
      <c r="AJ727" s="2412"/>
      <c r="AK727" s="2144" t="s">
        <v>600</v>
      </c>
      <c r="AL727" s="2145"/>
      <c r="AM727" s="2145"/>
      <c r="AN727" s="2145"/>
      <c r="AO727" s="2156"/>
      <c r="AP727" s="238"/>
      <c r="AQ727" s="238"/>
      <c r="AR727" s="238"/>
      <c r="AS727" s="238"/>
      <c r="AY727" s="1768"/>
      <c r="AZ727" s="1768"/>
      <c r="BA727" s="1768"/>
      <c r="BB727" s="1768"/>
      <c r="BC727" s="176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5" customHeight="1">
      <c r="B728" s="2144"/>
      <c r="C728" s="2145"/>
      <c r="D728" s="2145"/>
      <c r="E728" s="2145"/>
      <c r="F728" s="2156"/>
      <c r="G728" s="2201"/>
      <c r="H728" s="2202"/>
      <c r="I728" s="2202"/>
      <c r="J728" s="2203"/>
      <c r="K728" s="2198"/>
      <c r="L728" s="2199"/>
      <c r="M728" s="2199"/>
      <c r="N728" s="2200"/>
      <c r="O728" s="2195"/>
      <c r="P728" s="2196"/>
      <c r="Q728" s="2196"/>
      <c r="R728" s="2196"/>
      <c r="S728" s="2197"/>
      <c r="T728" s="2195"/>
      <c r="U728" s="2196"/>
      <c r="V728" s="2196"/>
      <c r="W728" s="2197"/>
      <c r="X728" s="2213">
        <f t="shared" si="50"/>
        <v>0</v>
      </c>
      <c r="Y728" s="2214"/>
      <c r="Z728" s="2214"/>
      <c r="AA728" s="2214"/>
      <c r="AB728" s="2215"/>
      <c r="AC728" s="2233">
        <v>0</v>
      </c>
      <c r="AD728" s="2234"/>
      <c r="AE728" s="2234"/>
      <c r="AF728" s="2234"/>
      <c r="AG728" s="2235"/>
      <c r="AH728" s="2410" t="str">
        <f t="shared" si="51"/>
        <v xml:space="preserve"> </v>
      </c>
      <c r="AI728" s="2411"/>
      <c r="AJ728" s="2412"/>
      <c r="AK728" s="2144" t="s">
        <v>600</v>
      </c>
      <c r="AL728" s="2145"/>
      <c r="AM728" s="2145"/>
      <c r="AN728" s="2145"/>
      <c r="AO728" s="2156"/>
      <c r="AP728" s="238"/>
      <c r="AQ728" s="238"/>
      <c r="AR728" s="238"/>
      <c r="AS728" s="238"/>
      <c r="AY728" s="1768"/>
      <c r="AZ728" s="1768"/>
      <c r="BA728" s="1768"/>
      <c r="BB728" s="1768"/>
      <c r="BC728" s="176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5" customHeight="1">
      <c r="B729" s="2144"/>
      <c r="C729" s="2145"/>
      <c r="D729" s="2145"/>
      <c r="E729" s="2145"/>
      <c r="F729" s="2156"/>
      <c r="G729" s="2201"/>
      <c r="H729" s="2202"/>
      <c r="I729" s="2202"/>
      <c r="J729" s="2203"/>
      <c r="K729" s="2198"/>
      <c r="L729" s="2199"/>
      <c r="M729" s="2199"/>
      <c r="N729" s="2200"/>
      <c r="O729" s="2195"/>
      <c r="P729" s="2196"/>
      <c r="Q729" s="2196"/>
      <c r="R729" s="2196"/>
      <c r="S729" s="2197"/>
      <c r="T729" s="2195"/>
      <c r="U729" s="2196"/>
      <c r="V729" s="2196"/>
      <c r="W729" s="2197"/>
      <c r="X729" s="2213">
        <f t="shared" si="50"/>
        <v>0</v>
      </c>
      <c r="Y729" s="2214"/>
      <c r="Z729" s="2214"/>
      <c r="AA729" s="2214"/>
      <c r="AB729" s="2215"/>
      <c r="AC729" s="2233">
        <v>0</v>
      </c>
      <c r="AD729" s="2234"/>
      <c r="AE729" s="2234"/>
      <c r="AF729" s="2234"/>
      <c r="AG729" s="2235"/>
      <c r="AH729" s="2410" t="str">
        <f t="shared" si="51"/>
        <v xml:space="preserve"> </v>
      </c>
      <c r="AI729" s="2411"/>
      <c r="AJ729" s="2412"/>
      <c r="AK729" s="2144" t="s">
        <v>600</v>
      </c>
      <c r="AL729" s="2145"/>
      <c r="AM729" s="2145"/>
      <c r="AN729" s="2145"/>
      <c r="AO729" s="2156"/>
      <c r="AP729" s="238"/>
      <c r="AQ729" s="238"/>
      <c r="AR729" s="238"/>
      <c r="AS729" s="238"/>
      <c r="AY729" s="1768"/>
      <c r="AZ729" s="1768"/>
      <c r="BA729" s="1768"/>
      <c r="BB729" s="1768"/>
      <c r="BC729" s="176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5" customHeight="1">
      <c r="B730" s="2144"/>
      <c r="C730" s="2145"/>
      <c r="D730" s="2145"/>
      <c r="E730" s="2145"/>
      <c r="F730" s="2156"/>
      <c r="G730" s="2201"/>
      <c r="H730" s="2202"/>
      <c r="I730" s="2202"/>
      <c r="J730" s="2203"/>
      <c r="K730" s="2198"/>
      <c r="L730" s="2199"/>
      <c r="M730" s="2199"/>
      <c r="N730" s="2200"/>
      <c r="O730" s="2195"/>
      <c r="P730" s="2196"/>
      <c r="Q730" s="2196"/>
      <c r="R730" s="2196"/>
      <c r="S730" s="2197"/>
      <c r="T730" s="2195"/>
      <c r="U730" s="2196"/>
      <c r="V730" s="2196"/>
      <c r="W730" s="2197"/>
      <c r="X730" s="2213">
        <f t="shared" si="50"/>
        <v>0</v>
      </c>
      <c r="Y730" s="2214"/>
      <c r="Z730" s="2214"/>
      <c r="AA730" s="2214"/>
      <c r="AB730" s="2215"/>
      <c r="AC730" s="2233">
        <v>0</v>
      </c>
      <c r="AD730" s="2234"/>
      <c r="AE730" s="2234"/>
      <c r="AF730" s="2234"/>
      <c r="AG730" s="2235"/>
      <c r="AH730" s="2410" t="str">
        <f t="shared" si="51"/>
        <v xml:space="preserve"> </v>
      </c>
      <c r="AI730" s="2411"/>
      <c r="AJ730" s="2412"/>
      <c r="AK730" s="2144" t="s">
        <v>600</v>
      </c>
      <c r="AL730" s="2145"/>
      <c r="AM730" s="2145"/>
      <c r="AN730" s="2145"/>
      <c r="AO730" s="2156"/>
      <c r="AP730" s="238"/>
      <c r="AQ730" s="238"/>
      <c r="AR730" s="238"/>
      <c r="AS730" s="238"/>
      <c r="AY730" s="1768"/>
      <c r="AZ730" s="1768"/>
      <c r="BA730" s="1768"/>
      <c r="BB730" s="1768"/>
      <c r="BC730" s="176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5" customHeight="1">
      <c r="B731" s="2144"/>
      <c r="C731" s="2145"/>
      <c r="D731" s="2145"/>
      <c r="E731" s="2145"/>
      <c r="F731" s="2156"/>
      <c r="G731" s="2201"/>
      <c r="H731" s="2202"/>
      <c r="I731" s="2202"/>
      <c r="J731" s="2203"/>
      <c r="K731" s="2198"/>
      <c r="L731" s="2199"/>
      <c r="M731" s="2199"/>
      <c r="N731" s="2200"/>
      <c r="O731" s="2195"/>
      <c r="P731" s="2196"/>
      <c r="Q731" s="2196"/>
      <c r="R731" s="2196"/>
      <c r="S731" s="2197"/>
      <c r="T731" s="2195"/>
      <c r="U731" s="2196"/>
      <c r="V731" s="2196"/>
      <c r="W731" s="2197"/>
      <c r="X731" s="2213">
        <f t="shared" si="50"/>
        <v>0</v>
      </c>
      <c r="Y731" s="2214"/>
      <c r="Z731" s="2214"/>
      <c r="AA731" s="2214"/>
      <c r="AB731" s="2215"/>
      <c r="AC731" s="2233">
        <v>0</v>
      </c>
      <c r="AD731" s="2234"/>
      <c r="AE731" s="2234"/>
      <c r="AF731" s="2234"/>
      <c r="AG731" s="2235"/>
      <c r="AH731" s="2410" t="str">
        <f t="shared" si="51"/>
        <v xml:space="preserve"> </v>
      </c>
      <c r="AI731" s="2411"/>
      <c r="AJ731" s="2412"/>
      <c r="AK731" s="2144" t="s">
        <v>600</v>
      </c>
      <c r="AL731" s="2145"/>
      <c r="AM731" s="2145"/>
      <c r="AN731" s="2145"/>
      <c r="AO731" s="2156"/>
      <c r="AP731" s="238"/>
      <c r="AQ731" s="238"/>
      <c r="AR731" s="238"/>
      <c r="AS731" s="238"/>
      <c r="AY731" s="1768"/>
      <c r="AZ731" s="1768"/>
      <c r="BA731" s="1768"/>
      <c r="BB731" s="1768"/>
      <c r="BC731" s="176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5" customHeight="1">
      <c r="B732" s="2144"/>
      <c r="C732" s="2145"/>
      <c r="D732" s="2145"/>
      <c r="E732" s="2145"/>
      <c r="F732" s="2156"/>
      <c r="G732" s="2201"/>
      <c r="H732" s="2202"/>
      <c r="I732" s="2202"/>
      <c r="J732" s="2203"/>
      <c r="K732" s="2198"/>
      <c r="L732" s="2199"/>
      <c r="M732" s="2199"/>
      <c r="N732" s="2200"/>
      <c r="O732" s="2195"/>
      <c r="P732" s="2196"/>
      <c r="Q732" s="2196"/>
      <c r="R732" s="2196"/>
      <c r="S732" s="2197"/>
      <c r="T732" s="2195"/>
      <c r="U732" s="2196"/>
      <c r="V732" s="2196"/>
      <c r="W732" s="2197"/>
      <c r="X732" s="2213">
        <f t="shared" si="50"/>
        <v>0</v>
      </c>
      <c r="Y732" s="2214"/>
      <c r="Z732" s="2214"/>
      <c r="AA732" s="2214"/>
      <c r="AB732" s="2215"/>
      <c r="AC732" s="2233">
        <v>0</v>
      </c>
      <c r="AD732" s="2234"/>
      <c r="AE732" s="2234"/>
      <c r="AF732" s="2234"/>
      <c r="AG732" s="2235"/>
      <c r="AH732" s="2410" t="str">
        <f t="shared" si="51"/>
        <v xml:space="preserve"> </v>
      </c>
      <c r="AI732" s="2411"/>
      <c r="AJ732" s="2412"/>
      <c r="AK732" s="2144" t="s">
        <v>600</v>
      </c>
      <c r="AL732" s="2145"/>
      <c r="AM732" s="2145"/>
      <c r="AN732" s="2145"/>
      <c r="AO732" s="2156"/>
      <c r="AP732" s="238"/>
      <c r="AQ732" s="238"/>
      <c r="AR732" s="238"/>
      <c r="AS732" s="238"/>
      <c r="AY732" s="1768"/>
      <c r="AZ732" s="1768"/>
      <c r="BA732" s="1768"/>
      <c r="BB732" s="1768"/>
      <c r="BC732" s="176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5" customHeight="1">
      <c r="B733" s="2144"/>
      <c r="C733" s="2145"/>
      <c r="D733" s="2145"/>
      <c r="E733" s="2145"/>
      <c r="F733" s="2156"/>
      <c r="G733" s="2201"/>
      <c r="H733" s="2202"/>
      <c r="I733" s="2202"/>
      <c r="J733" s="2203"/>
      <c r="K733" s="2198"/>
      <c r="L733" s="2199"/>
      <c r="M733" s="2199"/>
      <c r="N733" s="2200"/>
      <c r="O733" s="2195"/>
      <c r="P733" s="2196"/>
      <c r="Q733" s="2196"/>
      <c r="R733" s="2196"/>
      <c r="S733" s="2197"/>
      <c r="T733" s="2195"/>
      <c r="U733" s="2196"/>
      <c r="V733" s="2196"/>
      <c r="W733" s="2197"/>
      <c r="X733" s="2213">
        <f t="shared" si="50"/>
        <v>0</v>
      </c>
      <c r="Y733" s="2214"/>
      <c r="Z733" s="2214"/>
      <c r="AA733" s="2214"/>
      <c r="AB733" s="2215"/>
      <c r="AC733" s="2233">
        <v>0</v>
      </c>
      <c r="AD733" s="2234"/>
      <c r="AE733" s="2234"/>
      <c r="AF733" s="2234"/>
      <c r="AG733" s="2235"/>
      <c r="AH733" s="2410" t="str">
        <f t="shared" si="51"/>
        <v xml:space="preserve"> </v>
      </c>
      <c r="AI733" s="2411"/>
      <c r="AJ733" s="2412"/>
      <c r="AK733" s="2144" t="s">
        <v>600</v>
      </c>
      <c r="AL733" s="2145"/>
      <c r="AM733" s="2145"/>
      <c r="AN733" s="2145"/>
      <c r="AO733" s="2156"/>
      <c r="AP733" s="238"/>
      <c r="AQ733" s="238"/>
      <c r="AR733" s="238"/>
      <c r="AS733" s="238"/>
      <c r="AY733" s="1768"/>
      <c r="AZ733" s="1768"/>
      <c r="BA733" s="1768"/>
      <c r="BB733" s="1768"/>
      <c r="BC733" s="176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5" customHeight="1">
      <c r="B734" s="2144"/>
      <c r="C734" s="2145"/>
      <c r="D734" s="2145"/>
      <c r="E734" s="2145"/>
      <c r="F734" s="2156"/>
      <c r="G734" s="2201"/>
      <c r="H734" s="2202"/>
      <c r="I734" s="2202"/>
      <c r="J734" s="2203"/>
      <c r="K734" s="2198"/>
      <c r="L734" s="2199"/>
      <c r="M734" s="2199"/>
      <c r="N734" s="2200"/>
      <c r="O734" s="2195"/>
      <c r="P734" s="2196"/>
      <c r="Q734" s="2196"/>
      <c r="R734" s="2196"/>
      <c r="S734" s="2197"/>
      <c r="T734" s="2195"/>
      <c r="U734" s="2196"/>
      <c r="V734" s="2196"/>
      <c r="W734" s="2197"/>
      <c r="X734" s="2213">
        <f t="shared" si="50"/>
        <v>0</v>
      </c>
      <c r="Y734" s="2214"/>
      <c r="Z734" s="2214"/>
      <c r="AA734" s="2214"/>
      <c r="AB734" s="2215"/>
      <c r="AC734" s="2233">
        <v>0</v>
      </c>
      <c r="AD734" s="2234"/>
      <c r="AE734" s="2234"/>
      <c r="AF734" s="2234"/>
      <c r="AG734" s="2235"/>
      <c r="AH734" s="2410" t="str">
        <f t="shared" si="51"/>
        <v xml:space="preserve"> </v>
      </c>
      <c r="AI734" s="2411"/>
      <c r="AJ734" s="2412"/>
      <c r="AK734" s="2144" t="s">
        <v>600</v>
      </c>
      <c r="AL734" s="2145"/>
      <c r="AM734" s="2145"/>
      <c r="AN734" s="2145"/>
      <c r="AO734" s="2156"/>
      <c r="AP734" s="238"/>
      <c r="AQ734" s="238"/>
      <c r="AR734" s="238"/>
      <c r="AS734" s="238"/>
      <c r="AY734" s="1768"/>
      <c r="AZ734" s="1768"/>
      <c r="BA734" s="1768"/>
      <c r="BB734" s="1768"/>
      <c r="BC734" s="176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5" customHeight="1">
      <c r="B735" s="2144"/>
      <c r="C735" s="2145"/>
      <c r="D735" s="2145"/>
      <c r="E735" s="2145"/>
      <c r="F735" s="2156"/>
      <c r="G735" s="2201"/>
      <c r="H735" s="2202"/>
      <c r="I735" s="2202"/>
      <c r="J735" s="2203"/>
      <c r="K735" s="2198"/>
      <c r="L735" s="2199"/>
      <c r="M735" s="2199"/>
      <c r="N735" s="2200"/>
      <c r="O735" s="2195"/>
      <c r="P735" s="2196"/>
      <c r="Q735" s="2196"/>
      <c r="R735" s="2196"/>
      <c r="S735" s="2197"/>
      <c r="T735" s="2195"/>
      <c r="U735" s="2196"/>
      <c r="V735" s="2196"/>
      <c r="W735" s="2197"/>
      <c r="X735" s="2213">
        <f t="shared" si="50"/>
        <v>0</v>
      </c>
      <c r="Y735" s="2214"/>
      <c r="Z735" s="2214"/>
      <c r="AA735" s="2214"/>
      <c r="AB735" s="2215"/>
      <c r="AC735" s="2233">
        <v>0</v>
      </c>
      <c r="AD735" s="2234"/>
      <c r="AE735" s="2234"/>
      <c r="AF735" s="2234"/>
      <c r="AG735" s="2235"/>
      <c r="AH735" s="2410" t="str">
        <f t="shared" si="51"/>
        <v xml:space="preserve"> </v>
      </c>
      <c r="AI735" s="2411"/>
      <c r="AJ735" s="2412"/>
      <c r="AK735" s="2144" t="s">
        <v>600</v>
      </c>
      <c r="AL735" s="2145"/>
      <c r="AM735" s="2145"/>
      <c r="AN735" s="2145"/>
      <c r="AO735" s="2156"/>
      <c r="AP735" s="238"/>
      <c r="AQ735" s="238"/>
      <c r="AR735" s="238"/>
      <c r="AS735" s="238"/>
      <c r="AY735" s="1768"/>
      <c r="AZ735" s="1768"/>
      <c r="BA735" s="1768"/>
      <c r="BB735" s="1768"/>
      <c r="BC735" s="176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5" customHeight="1">
      <c r="B736" s="2144"/>
      <c r="C736" s="2145"/>
      <c r="D736" s="2145"/>
      <c r="E736" s="2145"/>
      <c r="F736" s="2156"/>
      <c r="G736" s="2201"/>
      <c r="H736" s="2202"/>
      <c r="I736" s="2202"/>
      <c r="J736" s="2203"/>
      <c r="K736" s="2198"/>
      <c r="L736" s="2199"/>
      <c r="M736" s="2199"/>
      <c r="N736" s="2200"/>
      <c r="O736" s="2195"/>
      <c r="P736" s="2196"/>
      <c r="Q736" s="2196"/>
      <c r="R736" s="2196"/>
      <c r="S736" s="2197"/>
      <c r="T736" s="2195"/>
      <c r="U736" s="2196"/>
      <c r="V736" s="2196"/>
      <c r="W736" s="2197"/>
      <c r="X736" s="2213">
        <f t="shared" si="50"/>
        <v>0</v>
      </c>
      <c r="Y736" s="2214"/>
      <c r="Z736" s="2214"/>
      <c r="AA736" s="2214"/>
      <c r="AB736" s="2215"/>
      <c r="AC736" s="2233">
        <v>0</v>
      </c>
      <c r="AD736" s="2234"/>
      <c r="AE736" s="2234"/>
      <c r="AF736" s="2234"/>
      <c r="AG736" s="2235"/>
      <c r="AH736" s="2410" t="str">
        <f t="shared" si="51"/>
        <v xml:space="preserve"> </v>
      </c>
      <c r="AI736" s="2411"/>
      <c r="AJ736" s="2412"/>
      <c r="AK736" s="2144" t="s">
        <v>600</v>
      </c>
      <c r="AL736" s="2145"/>
      <c r="AM736" s="2145"/>
      <c r="AN736" s="2145"/>
      <c r="AO736" s="2156"/>
      <c r="AP736" s="238"/>
      <c r="AQ736" s="238"/>
      <c r="AR736" s="238"/>
      <c r="AS736" s="238"/>
      <c r="AY736" s="1768"/>
      <c r="AZ736" s="1768"/>
      <c r="BA736" s="1768"/>
      <c r="BB736" s="1768"/>
      <c r="BC736" s="176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6383" ht="12.95" customHeight="1">
      <c r="B737" s="2144"/>
      <c r="C737" s="2145"/>
      <c r="D737" s="2145"/>
      <c r="E737" s="2145"/>
      <c r="F737" s="2156"/>
      <c r="G737" s="2201"/>
      <c r="H737" s="2202"/>
      <c r="I737" s="2202"/>
      <c r="J737" s="2203"/>
      <c r="K737" s="2198"/>
      <c r="L737" s="2199"/>
      <c r="M737" s="2199"/>
      <c r="N737" s="2200"/>
      <c r="O737" s="2195"/>
      <c r="P737" s="2196"/>
      <c r="Q737" s="2196"/>
      <c r="R737" s="2196"/>
      <c r="S737" s="2197"/>
      <c r="T737" s="2195"/>
      <c r="U737" s="2196"/>
      <c r="V737" s="2196"/>
      <c r="W737" s="2197"/>
      <c r="X737" s="2213">
        <f t="shared" si="50"/>
        <v>0</v>
      </c>
      <c r="Y737" s="2214"/>
      <c r="Z737" s="2214"/>
      <c r="AA737" s="2214"/>
      <c r="AB737" s="2215"/>
      <c r="AC737" s="2233">
        <v>0</v>
      </c>
      <c r="AD737" s="2234"/>
      <c r="AE737" s="2234"/>
      <c r="AF737" s="2234"/>
      <c r="AG737" s="2235"/>
      <c r="AH737" s="2410" t="str">
        <f t="shared" si="51"/>
        <v xml:space="preserve"> </v>
      </c>
      <c r="AI737" s="2411"/>
      <c r="AJ737" s="2412"/>
      <c r="AK737" s="2144" t="s">
        <v>600</v>
      </c>
      <c r="AL737" s="2145"/>
      <c r="AM737" s="2145"/>
      <c r="AN737" s="2145"/>
      <c r="AO737" s="2156"/>
      <c r="AP737" s="238"/>
      <c r="AQ737" s="238"/>
      <c r="AR737" s="238"/>
      <c r="AS737" s="238"/>
      <c r="AY737" s="1768"/>
      <c r="AZ737" s="1768"/>
      <c r="BA737" s="1768"/>
      <c r="BB737" s="1768"/>
      <c r="BC737" s="176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6383" ht="12.95" customHeight="1">
      <c r="B738" s="2144"/>
      <c r="C738" s="2145"/>
      <c r="D738" s="2145"/>
      <c r="E738" s="2145"/>
      <c r="F738" s="2156"/>
      <c r="G738" s="2201"/>
      <c r="H738" s="2202"/>
      <c r="I738" s="2202"/>
      <c r="J738" s="2203"/>
      <c r="K738" s="2198"/>
      <c r="L738" s="2199"/>
      <c r="M738" s="2199"/>
      <c r="N738" s="2200"/>
      <c r="O738" s="2195"/>
      <c r="P738" s="2196"/>
      <c r="Q738" s="2196"/>
      <c r="R738" s="2196"/>
      <c r="S738" s="2197"/>
      <c r="T738" s="2195"/>
      <c r="U738" s="2196"/>
      <c r="V738" s="2196"/>
      <c r="W738" s="2197"/>
      <c r="X738" s="2213">
        <f t="shared" si="50"/>
        <v>0</v>
      </c>
      <c r="Y738" s="2214"/>
      <c r="Z738" s="2214"/>
      <c r="AA738" s="2214"/>
      <c r="AB738" s="2215"/>
      <c r="AC738" s="2233">
        <v>0</v>
      </c>
      <c r="AD738" s="2234"/>
      <c r="AE738" s="2234"/>
      <c r="AF738" s="2234"/>
      <c r="AG738" s="2235"/>
      <c r="AH738" s="2410" t="str">
        <f t="shared" si="51"/>
        <v xml:space="preserve"> </v>
      </c>
      <c r="AI738" s="2411"/>
      <c r="AJ738" s="2412"/>
      <c r="AK738" s="2144" t="s">
        <v>600</v>
      </c>
      <c r="AL738" s="2145"/>
      <c r="AM738" s="2145"/>
      <c r="AN738" s="2145"/>
      <c r="AO738" s="2156"/>
      <c r="AP738" s="238"/>
      <c r="AQ738" s="238"/>
      <c r="AR738" s="238"/>
      <c r="AS738" s="238"/>
      <c r="AY738" s="1768"/>
      <c r="AZ738" s="1768"/>
      <c r="BA738" s="1768"/>
      <c r="BB738" s="1768"/>
      <c r="BC738" s="176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6383" ht="12.95" customHeight="1">
      <c r="B739" s="2305" t="s">
        <v>126</v>
      </c>
      <c r="C739" s="2306"/>
      <c r="D739" s="2306"/>
      <c r="E739" s="2306"/>
      <c r="F739" s="2308"/>
      <c r="G739" s="2497">
        <f>SUM(G714:J738)</f>
        <v>69</v>
      </c>
      <c r="H739" s="2498"/>
      <c r="I739" s="2498"/>
      <c r="J739" s="2499"/>
      <c r="K739" s="1427" t="s">
        <v>125</v>
      </c>
      <c r="L739" s="77"/>
      <c r="M739" s="77"/>
      <c r="N739" s="78"/>
      <c r="O739" s="2213">
        <f>SUMPRODUCT(G714:G738,O714:O738)</f>
        <v>51039</v>
      </c>
      <c r="P739" s="2214"/>
      <c r="Q739" s="2214"/>
      <c r="R739" s="2214"/>
      <c r="S739" s="2215"/>
      <c r="X739" s="1429" t="s">
        <v>933</v>
      </c>
      <c r="Y739" s="1428"/>
      <c r="Z739" s="1428"/>
      <c r="AA739" s="1428"/>
      <c r="AB739" s="1430"/>
      <c r="AC739" s="2420">
        <f>BI682</f>
        <v>0.48405797101449277</v>
      </c>
      <c r="AD739" s="2421"/>
      <c r="AE739" s="2421"/>
      <c r="AF739" s="2421"/>
      <c r="AG739" s="2422"/>
      <c r="AH739" s="2420">
        <f>BI714</f>
        <v>0.48405797101449277</v>
      </c>
      <c r="AI739" s="2421"/>
      <c r="AJ739" s="2422"/>
      <c r="AP739" s="1422"/>
      <c r="AQ739" s="1422"/>
      <c r="AR739" s="1422"/>
      <c r="AS739" s="1422"/>
      <c r="AY739" s="88"/>
      <c r="AZ739" s="204"/>
      <c r="BA739" s="204"/>
      <c r="BB739" s="204"/>
      <c r="BC739" s="204"/>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6383" ht="12.95" customHeight="1">
      <c r="B740" s="2217" t="s">
        <v>2251</v>
      </c>
      <c r="C740" s="2217"/>
      <c r="D740" s="2217"/>
      <c r="E740" s="2217"/>
      <c r="F740" s="2217"/>
      <c r="G740" s="2217"/>
      <c r="H740" s="2217"/>
      <c r="I740" s="2217"/>
      <c r="J740" s="2217"/>
      <c r="K740" s="2217"/>
      <c r="L740" s="2217"/>
      <c r="M740" s="2217"/>
      <c r="N740" s="2217"/>
      <c r="O740" s="2217"/>
      <c r="P740" s="2217"/>
      <c r="Q740" s="2217"/>
      <c r="R740" s="2217"/>
      <c r="S740" s="2217"/>
      <c r="T740" s="2217"/>
      <c r="U740" s="2217"/>
      <c r="V740" s="2217"/>
      <c r="W740" s="2217"/>
      <c r="X740" s="2217"/>
      <c r="Y740" s="2217"/>
      <c r="Z740" s="2217"/>
      <c r="AA740" s="2217"/>
      <c r="AB740" s="2217"/>
      <c r="AC740" s="2217"/>
      <c r="AD740" s="2217"/>
      <c r="AE740" s="2217"/>
      <c r="AF740" s="2217"/>
      <c r="AG740" s="2217"/>
      <c r="AH740" s="2217"/>
      <c r="AL740" s="58"/>
      <c r="AM740" s="238"/>
      <c r="AN740" s="238"/>
      <c r="AO740" s="238"/>
      <c r="AP740" s="238"/>
      <c r="AQ740" s="238"/>
      <c r="AR740" s="238"/>
      <c r="AS740" s="238"/>
      <c r="AT740" s="88"/>
      <c r="AU740" s="88"/>
      <c r="AV740" s="88"/>
      <c r="AW740" s="88"/>
      <c r="AX740" s="88"/>
      <c r="AY740" s="8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6383" ht="12.95" customHeight="1">
      <c r="B741" s="2217"/>
      <c r="C741" s="2217"/>
      <c r="D741" s="2217"/>
      <c r="E741" s="2217"/>
      <c r="F741" s="2217"/>
      <c r="G741" s="2217"/>
      <c r="H741" s="2217"/>
      <c r="I741" s="2217"/>
      <c r="J741" s="2217"/>
      <c r="K741" s="2217"/>
      <c r="L741" s="2217"/>
      <c r="M741" s="2217"/>
      <c r="N741" s="2217"/>
      <c r="O741" s="2217"/>
      <c r="P741" s="2217"/>
      <c r="Q741" s="2217"/>
      <c r="R741" s="2217"/>
      <c r="S741" s="2217"/>
      <c r="T741" s="2217"/>
      <c r="U741" s="2217"/>
      <c r="V741" s="2217"/>
      <c r="W741" s="2217"/>
      <c r="X741" s="2217"/>
      <c r="Y741" s="2217"/>
      <c r="Z741" s="2217"/>
      <c r="AA741" s="2217"/>
      <c r="AB741" s="2217"/>
      <c r="AC741" s="2217"/>
      <c r="AD741" s="2217"/>
      <c r="AE741" s="2217"/>
      <c r="AF741" s="2217"/>
      <c r="AG741" s="2217"/>
      <c r="AH741" s="2217"/>
      <c r="AL741" s="58"/>
      <c r="AM741" s="238"/>
      <c r="AN741" s="238"/>
      <c r="AO741" s="238"/>
      <c r="AP741" s="238"/>
      <c r="AQ741" s="238"/>
      <c r="AR741" s="238"/>
      <c r="AS741" s="238"/>
      <c r="AT741" s="88"/>
      <c r="AU741" s="88"/>
      <c r="AV741" s="88"/>
      <c r="AW741" s="88"/>
      <c r="AX741" s="88"/>
      <c r="AY741" s="8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6383" s="58" customFormat="1" ht="12.95" customHeight="1">
      <c r="C742" s="179" t="s">
        <v>2249</v>
      </c>
      <c r="D742" s="1686"/>
      <c r="E742" s="1686"/>
      <c r="F742" s="1686"/>
      <c r="G742" s="1687"/>
      <c r="H742" s="1687"/>
      <c r="I742" s="1687"/>
      <c r="J742" s="1687"/>
      <c r="K742" s="1686"/>
      <c r="L742" s="1686"/>
      <c r="M742" s="1686"/>
      <c r="N742" s="1686"/>
      <c r="O742" s="2423">
        <f>CS623</f>
        <v>69</v>
      </c>
      <c r="P742" s="2423"/>
      <c r="Q742" s="2423"/>
      <c r="R742" s="2423"/>
      <c r="S742" s="1688"/>
      <c r="T742" s="1688"/>
      <c r="U742" s="179" t="s">
        <v>2250</v>
      </c>
      <c r="V742" s="1686"/>
      <c r="W742" s="1686"/>
      <c r="X742" s="1686"/>
      <c r="Y742" s="1687"/>
      <c r="Z742" s="1687"/>
      <c r="AA742" s="1687"/>
      <c r="AB742" s="1687"/>
      <c r="AC742" s="1686"/>
      <c r="AD742" s="1686"/>
      <c r="AE742" s="1686"/>
      <c r="AF742" s="1686"/>
      <c r="AG742" s="2424"/>
      <c r="AH742" s="2424"/>
      <c r="AI742" s="2424"/>
      <c r="AJ742" s="2424"/>
      <c r="AM742" s="238"/>
      <c r="AN742" s="238"/>
      <c r="AO742" s="238"/>
      <c r="AP742" s="238"/>
      <c r="AQ742" s="238"/>
      <c r="AR742" s="238"/>
      <c r="AS742" s="238"/>
      <c r="AT742" s="88"/>
      <c r="AU742" s="88"/>
      <c r="AV742" s="88"/>
      <c r="AW742" s="88"/>
      <c r="AX742" s="88"/>
      <c r="AY742" s="88"/>
      <c r="CR742" s="177"/>
    </row>
    <row r="743" spans="1:16383" ht="12.95" customHeight="1">
      <c r="B743" s="92"/>
      <c r="E743" s="89"/>
      <c r="F743" s="89"/>
      <c r="G743" s="486"/>
      <c r="H743" s="486"/>
      <c r="I743" s="486"/>
      <c r="J743" s="486"/>
      <c r="K743" s="89"/>
      <c r="L743" s="89"/>
      <c r="M743" s="89"/>
      <c r="N743" s="89"/>
      <c r="O743" s="89"/>
      <c r="P743" s="280"/>
      <c r="Q743" s="280"/>
      <c r="R743" s="280"/>
      <c r="S743" s="280"/>
      <c r="T743" s="280"/>
      <c r="Y743" s="487"/>
      <c r="Z743" s="487"/>
      <c r="AA743" s="487"/>
      <c r="AB743" s="487"/>
      <c r="AH743" s="487"/>
      <c r="AI743" s="487"/>
      <c r="AJ743" s="487"/>
      <c r="AK743" s="487"/>
      <c r="AL743" s="487"/>
      <c r="AM743" s="12"/>
      <c r="AN743" s="12"/>
      <c r="AO743" s="12"/>
      <c r="AP743" s="1423"/>
      <c r="AQ743" s="1423"/>
      <c r="AR743" s="1423"/>
      <c r="AS743" s="1423"/>
      <c r="AT743" s="88"/>
      <c r="AU743" s="88"/>
      <c r="AV743" s="88"/>
      <c r="AW743" s="88"/>
      <c r="AX743" s="88"/>
      <c r="AY743" s="8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6383" ht="12.95" customHeight="1">
      <c r="B744" s="58"/>
      <c r="C744" s="179" t="s">
        <v>2248</v>
      </c>
      <c r="D744" s="1690"/>
      <c r="E744" s="1690"/>
      <c r="F744" s="1690"/>
      <c r="G744" s="1690"/>
      <c r="H744" s="1690"/>
      <c r="I744" s="1690"/>
      <c r="J744" s="1690"/>
      <c r="K744" s="1690"/>
      <c r="L744" s="1690"/>
      <c r="M744" s="1690"/>
      <c r="N744" s="1690"/>
      <c r="O744" s="1690"/>
      <c r="P744" s="1690"/>
      <c r="Q744" s="1690"/>
      <c r="R744" s="1690"/>
      <c r="S744" s="1690"/>
      <c r="T744" s="1690"/>
      <c r="U744" s="1690"/>
      <c r="V744" s="1690"/>
      <c r="W744" s="1690"/>
      <c r="X744" s="1690"/>
      <c r="Y744" s="1690"/>
      <c r="Z744" s="1690"/>
      <c r="AA744" s="1690"/>
      <c r="AB744" s="1690"/>
      <c r="AC744" s="1690"/>
      <c r="AD744" s="2458" t="s">
        <v>600</v>
      </c>
      <c r="AE744" s="2458"/>
      <c r="AF744" s="2458"/>
      <c r="AG744" s="1690"/>
      <c r="AH744" s="1690"/>
      <c r="AI744" s="1690"/>
      <c r="AJ744" s="1690"/>
      <c r="AK744" s="1690"/>
      <c r="AL744" s="1690"/>
      <c r="AM744" s="1690"/>
      <c r="AN744" s="1690"/>
      <c r="AO744" s="1690"/>
      <c r="AP744" s="1690"/>
      <c r="AQ744" s="1690"/>
      <c r="AR744" s="1690"/>
      <c r="AT744" s="88"/>
      <c r="AU744" s="88"/>
      <c r="AV744" s="88"/>
      <c r="AW744" s="88"/>
      <c r="AX744" s="88"/>
      <c r="AY744" s="8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6383" ht="12.95" customHeight="1">
      <c r="C745" s="1691" t="s">
        <v>2501</v>
      </c>
      <c r="D745" s="1690"/>
      <c r="E745" s="1690"/>
      <c r="F745" s="1690"/>
      <c r="G745" s="1690"/>
      <c r="H745" s="1690"/>
      <c r="I745" s="1690"/>
      <c r="J745" s="1690"/>
      <c r="K745" s="1690"/>
      <c r="L745" s="1690"/>
      <c r="M745" s="1690"/>
      <c r="N745" s="1690"/>
      <c r="O745" s="1690"/>
      <c r="P745" s="1690"/>
      <c r="Q745" s="1690"/>
      <c r="R745" s="1690"/>
      <c r="S745" s="1690"/>
      <c r="T745" s="1690"/>
      <c r="U745" s="1690"/>
      <c r="V745" s="1690"/>
      <c r="W745" s="1690"/>
      <c r="X745" s="1690"/>
      <c r="Y745" s="1690"/>
      <c r="Z745" s="1690"/>
      <c r="AA745" s="1690"/>
      <c r="AB745" s="1690"/>
      <c r="AC745" s="1690"/>
      <c r="AD745" s="1690"/>
      <c r="AE745" s="1690"/>
      <c r="AF745" s="1690"/>
      <c r="AG745" s="1690"/>
      <c r="AH745" s="1690"/>
      <c r="AI745" s="1690"/>
      <c r="AJ745" s="1690"/>
      <c r="AK745" s="1690"/>
      <c r="AL745" s="1690"/>
      <c r="AM745" s="1690"/>
      <c r="AN745" s="1690"/>
      <c r="AO745" s="1690"/>
      <c r="AP745" s="1690"/>
      <c r="AQ745" s="1690"/>
      <c r="AR745" s="1690"/>
      <c r="AT745" s="88"/>
      <c r="AU745" s="88"/>
      <c r="AV745" s="88"/>
      <c r="AW745" s="88"/>
      <c r="AX745" s="88"/>
      <c r="AY745" s="88"/>
      <c r="AZ745" s="58"/>
      <c r="BA745" s="58"/>
      <c r="BB745" s="487"/>
      <c r="BC745" s="487"/>
      <c r="BD745" s="487"/>
      <c r="BE745" s="487"/>
      <c r="BF745" s="487"/>
      <c r="BG745" s="487"/>
      <c r="BH745" s="487"/>
      <c r="BI745" s="487"/>
      <c r="BJ745" s="487"/>
      <c r="BK745" s="487"/>
      <c r="BL745" s="487"/>
      <c r="BM745" s="487"/>
      <c r="BN745" s="487"/>
      <c r="BO745" s="487"/>
      <c r="BP745" s="487"/>
      <c r="BQ745" s="487"/>
      <c r="BR745" s="487"/>
      <c r="BS745" s="487"/>
      <c r="BT745" s="487"/>
      <c r="BU745" s="487"/>
      <c r="BV745" s="487"/>
      <c r="BW745" s="487"/>
      <c r="BX745" s="487"/>
      <c r="BY745" s="487"/>
      <c r="BZ745" s="487"/>
      <c r="CA745" s="487"/>
      <c r="CB745" s="487"/>
      <c r="CC745" s="487"/>
      <c r="CE745" s="58"/>
      <c r="CF745" s="487"/>
      <c r="CG745" s="487"/>
      <c r="CH745" s="487"/>
      <c r="CI745" s="487"/>
      <c r="CJ745" s="487"/>
      <c r="CK745" s="487"/>
      <c r="CL745" s="487"/>
      <c r="CM745" s="487"/>
      <c r="CN745" s="487"/>
      <c r="CO745" s="487"/>
      <c r="CP745" s="487"/>
      <c r="CQ745" s="487"/>
      <c r="CR745" s="487"/>
      <c r="CS745" s="487"/>
      <c r="CT745" s="487"/>
      <c r="CU745" s="487"/>
      <c r="CV745" s="487"/>
      <c r="CW745" s="487"/>
      <c r="CX745" s="487"/>
      <c r="CY745" s="487"/>
      <c r="CZ745" s="487"/>
      <c r="DA745" s="487"/>
      <c r="DB745" s="487"/>
      <c r="DC745" s="487"/>
      <c r="DD745" s="487"/>
      <c r="DE745" s="487"/>
      <c r="DF745" s="487"/>
      <c r="DG745" s="487"/>
      <c r="DH745" s="487"/>
      <c r="DI745" s="487"/>
      <c r="DJ745" s="487"/>
      <c r="DK745" s="487"/>
      <c r="DL745" s="487"/>
      <c r="DM745" s="487"/>
      <c r="DN745" s="487"/>
      <c r="DO745" s="487"/>
      <c r="DP745" s="487"/>
      <c r="DQ745" s="487"/>
      <c r="DR745" s="487"/>
      <c r="DS745" s="487"/>
      <c r="DT745" s="487"/>
      <c r="DU745" s="487"/>
      <c r="DV745" s="487"/>
      <c r="DW745" s="487"/>
      <c r="DX745" s="487"/>
      <c r="DY745" s="487"/>
      <c r="DZ745" s="487"/>
      <c r="EA745" s="487"/>
      <c r="EB745" s="487"/>
      <c r="EC745" s="487"/>
      <c r="ED745" s="487"/>
      <c r="EE745" s="487"/>
      <c r="EF745" s="487"/>
      <c r="EG745" s="487"/>
      <c r="EH745" s="487"/>
      <c r="EI745" s="487"/>
      <c r="EJ745" s="487"/>
      <c r="EK745" s="487"/>
      <c r="EL745" s="487"/>
      <c r="EM745" s="487"/>
      <c r="EN745" s="487"/>
      <c r="EO745" s="487"/>
      <c r="EP745" s="487"/>
      <c r="EQ745" s="487"/>
      <c r="ER745" s="487"/>
      <c r="ES745" s="487"/>
      <c r="ET745" s="487"/>
      <c r="EU745" s="487"/>
      <c r="EV745" s="487"/>
      <c r="EW745" s="487"/>
      <c r="EX745" s="487"/>
      <c r="EY745" s="487"/>
      <c r="EZ745" s="487"/>
      <c r="FA745" s="487"/>
      <c r="FB745" s="487"/>
      <c r="FC745" s="487"/>
      <c r="FD745" s="487"/>
      <c r="FE745" s="487"/>
      <c r="FF745" s="487"/>
      <c r="FG745" s="487"/>
      <c r="FH745" s="487"/>
      <c r="FI745" s="487"/>
      <c r="FJ745" s="487"/>
      <c r="FK745" s="487"/>
      <c r="FL745" s="487"/>
      <c r="FM745" s="487"/>
      <c r="FN745" s="487"/>
      <c r="FO745" s="487"/>
      <c r="FP745" s="487"/>
      <c r="FQ745" s="487"/>
      <c r="FR745" s="487"/>
      <c r="FS745" s="487"/>
      <c r="FT745" s="487"/>
      <c r="FU745" s="487"/>
      <c r="FV745" s="487"/>
      <c r="FW745" s="487"/>
      <c r="FX745" s="487"/>
      <c r="FY745" s="487"/>
      <c r="FZ745" s="487"/>
      <c r="GA745" s="487"/>
      <c r="GB745" s="487"/>
      <c r="GC745" s="487"/>
      <c r="GD745" s="487"/>
      <c r="GE745" s="487"/>
      <c r="GF745" s="487"/>
      <c r="GG745" s="487"/>
      <c r="GH745" s="487"/>
      <c r="GI745" s="487"/>
      <c r="GJ745" s="487"/>
      <c r="GK745" s="487"/>
      <c r="GL745" s="487"/>
      <c r="GM745" s="487"/>
      <c r="GN745" s="487"/>
      <c r="GO745" s="487"/>
      <c r="GP745" s="487"/>
      <c r="GQ745" s="487"/>
      <c r="GR745" s="487"/>
      <c r="GS745" s="487"/>
      <c r="GT745" s="487"/>
      <c r="GU745" s="487"/>
      <c r="GV745" s="487"/>
      <c r="GW745" s="487"/>
      <c r="GX745" s="487"/>
      <c r="GY745" s="487"/>
      <c r="GZ745" s="487"/>
      <c r="HA745" s="487"/>
      <c r="HB745" s="487"/>
      <c r="HC745" s="487"/>
      <c r="HD745" s="487"/>
      <c r="HE745" s="487"/>
      <c r="HF745" s="487"/>
      <c r="HG745" s="487"/>
      <c r="HH745" s="487"/>
      <c r="HI745" s="487"/>
      <c r="HJ745" s="487"/>
      <c r="HK745" s="487"/>
      <c r="HL745" s="487"/>
      <c r="HM745" s="487"/>
      <c r="HN745" s="487"/>
      <c r="HO745" s="487"/>
      <c r="HP745" s="487"/>
      <c r="HQ745" s="487"/>
      <c r="HR745" s="487"/>
      <c r="HS745" s="487"/>
      <c r="HT745" s="487"/>
      <c r="HU745" s="487"/>
      <c r="HV745" s="487"/>
      <c r="HW745" s="487"/>
      <c r="HX745" s="487"/>
      <c r="HY745" s="487"/>
      <c r="HZ745" s="487"/>
      <c r="IA745" s="487"/>
      <c r="IB745" s="487"/>
      <c r="IC745" s="487"/>
      <c r="ID745" s="487"/>
      <c r="IE745" s="487"/>
      <c r="IF745" s="487"/>
      <c r="IG745" s="487"/>
      <c r="IH745" s="487"/>
      <c r="II745" s="487"/>
      <c r="IJ745" s="487"/>
      <c r="IK745" s="487"/>
      <c r="IL745" s="487"/>
      <c r="IM745" s="487"/>
      <c r="IN745" s="487"/>
      <c r="IO745" s="487"/>
      <c r="IP745" s="487"/>
      <c r="IQ745" s="487"/>
      <c r="IR745" s="487"/>
      <c r="IS745" s="487"/>
      <c r="IT745" s="487"/>
      <c r="IU745" s="487"/>
      <c r="IV745" s="487"/>
      <c r="IW745" s="487"/>
      <c r="IX745" s="487"/>
      <c r="IY745" s="487"/>
      <c r="IZ745" s="487"/>
      <c r="JA745" s="487"/>
      <c r="JB745" s="487"/>
      <c r="JC745" s="487"/>
      <c r="JD745" s="487"/>
      <c r="JE745" s="487"/>
      <c r="JF745" s="487"/>
      <c r="JG745" s="487"/>
      <c r="JH745" s="487"/>
      <c r="JI745" s="487"/>
      <c r="JJ745" s="487"/>
      <c r="JK745" s="487"/>
      <c r="JL745" s="487"/>
      <c r="JM745" s="487"/>
      <c r="JN745" s="487"/>
      <c r="JO745" s="487"/>
      <c r="JP745" s="487"/>
      <c r="JQ745" s="487"/>
      <c r="JR745" s="487"/>
      <c r="JS745" s="487"/>
      <c r="JT745" s="487"/>
      <c r="JU745" s="487"/>
      <c r="JV745" s="487"/>
      <c r="JW745" s="487"/>
      <c r="JX745" s="487"/>
      <c r="JY745" s="487"/>
      <c r="JZ745" s="487"/>
      <c r="KA745" s="487"/>
      <c r="KB745" s="487"/>
      <c r="KC745" s="487"/>
      <c r="KD745" s="487"/>
      <c r="KE745" s="487"/>
      <c r="KF745" s="487"/>
      <c r="KG745" s="487"/>
      <c r="KH745" s="487"/>
      <c r="KI745" s="487"/>
      <c r="KJ745" s="487"/>
      <c r="KK745" s="487"/>
      <c r="KL745" s="487"/>
      <c r="KM745" s="487"/>
      <c r="KN745" s="487"/>
      <c r="KO745" s="487"/>
      <c r="KP745" s="487"/>
      <c r="KQ745" s="487"/>
      <c r="KR745" s="487"/>
      <c r="KS745" s="487"/>
      <c r="KT745" s="487"/>
      <c r="KU745" s="487"/>
      <c r="KV745" s="487"/>
      <c r="KW745" s="487"/>
      <c r="KX745" s="487"/>
      <c r="KY745" s="487"/>
      <c r="KZ745" s="487"/>
      <c r="LA745" s="487"/>
      <c r="LB745" s="487"/>
      <c r="LC745" s="487"/>
      <c r="LD745" s="487"/>
      <c r="LE745" s="487"/>
      <c r="LF745" s="487"/>
      <c r="LG745" s="487"/>
      <c r="LH745" s="487"/>
      <c r="LI745" s="487"/>
      <c r="LJ745" s="487"/>
      <c r="LK745" s="487"/>
      <c r="LL745" s="487"/>
      <c r="LM745" s="487"/>
      <c r="LN745" s="487"/>
      <c r="LO745" s="487"/>
      <c r="LP745" s="487"/>
      <c r="LQ745" s="487"/>
      <c r="LR745" s="487"/>
      <c r="LS745" s="487"/>
      <c r="LT745" s="487"/>
      <c r="LU745" s="487"/>
      <c r="LV745" s="487"/>
      <c r="LW745" s="487"/>
      <c r="LX745" s="487"/>
      <c r="LY745" s="487"/>
      <c r="LZ745" s="487"/>
      <c r="MA745" s="487"/>
      <c r="MB745" s="487"/>
      <c r="MC745" s="487"/>
      <c r="MD745" s="487"/>
      <c r="ME745" s="487"/>
      <c r="MF745" s="487"/>
      <c r="MG745" s="487"/>
      <c r="MH745" s="487"/>
      <c r="MI745" s="487"/>
      <c r="MJ745" s="487"/>
      <c r="MK745" s="487"/>
      <c r="ML745" s="487"/>
      <c r="MM745" s="487"/>
      <c r="MN745" s="487"/>
      <c r="MO745" s="487"/>
      <c r="MP745" s="487"/>
      <c r="MQ745" s="487"/>
      <c r="MR745" s="487"/>
      <c r="MS745" s="487"/>
      <c r="MT745" s="487"/>
      <c r="MU745" s="487"/>
      <c r="MV745" s="487"/>
      <c r="MW745" s="487"/>
      <c r="MX745" s="487"/>
      <c r="MY745" s="487"/>
      <c r="MZ745" s="487"/>
      <c r="NA745" s="487"/>
      <c r="NB745" s="487"/>
      <c r="NC745" s="487"/>
      <c r="ND745" s="487"/>
      <c r="NE745" s="487"/>
      <c r="NF745" s="487"/>
      <c r="NG745" s="487"/>
      <c r="NH745" s="487"/>
      <c r="NI745" s="487"/>
      <c r="NJ745" s="487"/>
      <c r="NK745" s="487"/>
      <c r="NL745" s="487"/>
      <c r="NM745" s="487"/>
      <c r="NN745" s="487"/>
      <c r="NO745" s="487"/>
      <c r="NP745" s="487"/>
      <c r="NQ745" s="487"/>
      <c r="NR745" s="487"/>
      <c r="NS745" s="487"/>
      <c r="NT745" s="487"/>
      <c r="NU745" s="487"/>
      <c r="NV745" s="487"/>
      <c r="NW745" s="487"/>
      <c r="NX745" s="487"/>
      <c r="NY745" s="487"/>
      <c r="NZ745" s="487"/>
      <c r="OA745" s="487"/>
      <c r="OB745" s="487"/>
      <c r="OC745" s="487"/>
      <c r="OD745" s="487"/>
      <c r="OE745" s="487"/>
      <c r="OF745" s="487"/>
      <c r="OG745" s="487"/>
      <c r="OH745" s="487"/>
      <c r="OI745" s="487"/>
      <c r="OJ745" s="487"/>
      <c r="OK745" s="487"/>
      <c r="OL745" s="487"/>
      <c r="OM745" s="487"/>
      <c r="ON745" s="487"/>
      <c r="OO745" s="487"/>
      <c r="OP745" s="487"/>
      <c r="OQ745" s="487"/>
      <c r="OR745" s="487"/>
      <c r="OS745" s="487"/>
      <c r="OT745" s="487"/>
      <c r="OU745" s="487"/>
      <c r="OV745" s="487"/>
      <c r="OW745" s="487"/>
      <c r="OX745" s="487"/>
      <c r="OY745" s="487"/>
      <c r="OZ745" s="487"/>
      <c r="PA745" s="487"/>
      <c r="PB745" s="487"/>
      <c r="PC745" s="487"/>
      <c r="PD745" s="487"/>
      <c r="PE745" s="487"/>
      <c r="PF745" s="487"/>
      <c r="PG745" s="487"/>
      <c r="PH745" s="487"/>
      <c r="PI745" s="487"/>
      <c r="PJ745" s="487"/>
      <c r="PK745" s="487"/>
      <c r="PL745" s="487"/>
      <c r="PM745" s="487"/>
      <c r="PN745" s="487"/>
      <c r="PO745" s="487"/>
      <c r="PP745" s="487"/>
      <c r="PQ745" s="487"/>
      <c r="PR745" s="487"/>
      <c r="PS745" s="487"/>
      <c r="PT745" s="487"/>
      <c r="PU745" s="487"/>
      <c r="PV745" s="487"/>
      <c r="PW745" s="487"/>
      <c r="PX745" s="487"/>
      <c r="PY745" s="487"/>
      <c r="PZ745" s="487"/>
      <c r="QA745" s="487"/>
      <c r="QB745" s="487"/>
      <c r="QC745" s="487"/>
      <c r="QD745" s="487"/>
      <c r="QE745" s="487"/>
      <c r="QF745" s="487"/>
      <c r="QG745" s="487"/>
      <c r="QH745" s="487"/>
      <c r="QI745" s="487"/>
      <c r="QJ745" s="487"/>
      <c r="QK745" s="487"/>
      <c r="QL745" s="487"/>
      <c r="QM745" s="487"/>
      <c r="QN745" s="487"/>
      <c r="QO745" s="487"/>
      <c r="QP745" s="487"/>
      <c r="QQ745" s="487"/>
      <c r="QR745" s="487"/>
      <c r="QS745" s="487"/>
      <c r="QT745" s="487"/>
      <c r="QU745" s="487"/>
      <c r="QV745" s="487"/>
      <c r="QW745" s="487"/>
      <c r="QX745" s="487"/>
      <c r="QY745" s="487"/>
      <c r="QZ745" s="487"/>
      <c r="RA745" s="487"/>
      <c r="RB745" s="487"/>
      <c r="RC745" s="487"/>
      <c r="RD745" s="487"/>
      <c r="RE745" s="487"/>
      <c r="RF745" s="487"/>
      <c r="RG745" s="487"/>
      <c r="RH745" s="487"/>
      <c r="RI745" s="487"/>
      <c r="RJ745" s="487"/>
      <c r="RK745" s="487"/>
      <c r="RL745" s="487"/>
      <c r="RM745" s="487"/>
      <c r="RN745" s="487"/>
      <c r="RO745" s="487"/>
      <c r="RP745" s="487"/>
      <c r="RQ745" s="487"/>
      <c r="RR745" s="487"/>
      <c r="RS745" s="487"/>
      <c r="RT745" s="487"/>
      <c r="RU745" s="487"/>
      <c r="RV745" s="487"/>
      <c r="RW745" s="487"/>
      <c r="RX745" s="487"/>
      <c r="RY745" s="487"/>
      <c r="RZ745" s="487"/>
      <c r="SA745" s="487"/>
      <c r="SB745" s="487"/>
      <c r="SC745" s="487"/>
      <c r="SD745" s="487"/>
      <c r="SE745" s="487"/>
      <c r="SF745" s="487"/>
      <c r="SG745" s="487"/>
      <c r="SH745" s="487"/>
      <c r="SI745" s="487"/>
      <c r="SJ745" s="487"/>
      <c r="SK745" s="487"/>
      <c r="SL745" s="487"/>
      <c r="SM745" s="487"/>
      <c r="SN745" s="487"/>
      <c r="SO745" s="487"/>
      <c r="SP745" s="487"/>
      <c r="SQ745" s="487"/>
      <c r="SR745" s="487"/>
      <c r="SS745" s="487"/>
      <c r="ST745" s="487"/>
      <c r="SU745" s="487"/>
      <c r="SV745" s="487"/>
      <c r="SW745" s="487"/>
      <c r="SX745" s="487"/>
      <c r="SY745" s="487"/>
      <c r="SZ745" s="487"/>
      <c r="TA745" s="487"/>
      <c r="TB745" s="487"/>
      <c r="TC745" s="487"/>
      <c r="TD745" s="487"/>
      <c r="TE745" s="487"/>
      <c r="TF745" s="487"/>
      <c r="TG745" s="487"/>
      <c r="TH745" s="487"/>
      <c r="TI745" s="487"/>
      <c r="TJ745" s="487"/>
      <c r="TK745" s="487"/>
      <c r="TL745" s="487"/>
      <c r="TM745" s="487"/>
      <c r="TN745" s="487"/>
      <c r="TO745" s="487"/>
      <c r="TP745" s="487"/>
      <c r="TQ745" s="487"/>
      <c r="TR745" s="487"/>
      <c r="TS745" s="487"/>
      <c r="TT745" s="487"/>
      <c r="TU745" s="487"/>
      <c r="TV745" s="487"/>
      <c r="TW745" s="487"/>
      <c r="TX745" s="487"/>
      <c r="TY745" s="487"/>
      <c r="TZ745" s="487"/>
      <c r="UA745" s="487"/>
      <c r="UB745" s="487"/>
      <c r="UC745" s="487"/>
      <c r="UD745" s="487"/>
      <c r="UE745" s="487"/>
      <c r="UF745" s="487"/>
      <c r="UG745" s="487"/>
      <c r="UH745" s="487"/>
      <c r="UI745" s="487"/>
      <c r="UJ745" s="487"/>
      <c r="UK745" s="487"/>
      <c r="UL745" s="487"/>
      <c r="UM745" s="487"/>
      <c r="UN745" s="487"/>
      <c r="UO745" s="487"/>
      <c r="UP745" s="487"/>
      <c r="UQ745" s="487"/>
      <c r="UR745" s="487"/>
      <c r="US745" s="487"/>
      <c r="UT745" s="487"/>
      <c r="UU745" s="487"/>
      <c r="UV745" s="487"/>
      <c r="UW745" s="487"/>
      <c r="UX745" s="487"/>
      <c r="UY745" s="487"/>
      <c r="UZ745" s="487"/>
      <c r="VA745" s="487"/>
      <c r="VB745" s="487"/>
      <c r="VC745" s="487"/>
      <c r="VD745" s="487"/>
      <c r="VE745" s="487"/>
      <c r="VF745" s="487"/>
      <c r="VG745" s="487"/>
      <c r="VH745" s="487"/>
      <c r="VI745" s="487"/>
      <c r="VJ745" s="487"/>
      <c r="VK745" s="487"/>
      <c r="VL745" s="487"/>
      <c r="VM745" s="487"/>
      <c r="VN745" s="487"/>
      <c r="VO745" s="487"/>
      <c r="VP745" s="487"/>
      <c r="VQ745" s="487"/>
      <c r="VR745" s="487"/>
      <c r="VS745" s="487"/>
      <c r="VT745" s="487"/>
      <c r="VU745" s="487"/>
      <c r="VV745" s="487"/>
      <c r="VW745" s="487"/>
      <c r="VX745" s="487"/>
      <c r="VY745" s="487"/>
      <c r="VZ745" s="487"/>
      <c r="WA745" s="487"/>
      <c r="WB745" s="487"/>
      <c r="WC745" s="487"/>
      <c r="WD745" s="487"/>
      <c r="WE745" s="487"/>
      <c r="WF745" s="487"/>
      <c r="WG745" s="487"/>
      <c r="WH745" s="487"/>
      <c r="WI745" s="487"/>
      <c r="WJ745" s="487"/>
      <c r="WK745" s="487"/>
      <c r="WL745" s="487"/>
      <c r="WM745" s="487"/>
      <c r="WN745" s="487"/>
      <c r="WO745" s="487"/>
      <c r="WP745" s="487"/>
      <c r="WQ745" s="487"/>
      <c r="WR745" s="487"/>
      <c r="WS745" s="487"/>
      <c r="WT745" s="487"/>
      <c r="WU745" s="487"/>
      <c r="WV745" s="487"/>
      <c r="WW745" s="487"/>
      <c r="WX745" s="487"/>
      <c r="WY745" s="487"/>
      <c r="WZ745" s="487"/>
      <c r="XA745" s="487"/>
      <c r="XB745" s="487"/>
      <c r="XC745" s="487"/>
      <c r="XD745" s="487"/>
      <c r="XE745" s="487"/>
      <c r="XF745" s="487"/>
      <c r="XG745" s="487"/>
      <c r="XH745" s="487"/>
      <c r="XI745" s="487"/>
      <c r="XJ745" s="487"/>
      <c r="XK745" s="487"/>
      <c r="XL745" s="487"/>
      <c r="XM745" s="487"/>
      <c r="XN745" s="487"/>
      <c r="XO745" s="487"/>
      <c r="XP745" s="487"/>
      <c r="XQ745" s="487"/>
      <c r="XR745" s="487"/>
      <c r="XS745" s="487"/>
      <c r="XT745" s="487"/>
      <c r="XU745" s="487"/>
      <c r="XV745" s="487"/>
      <c r="XW745" s="487"/>
      <c r="XX745" s="487"/>
      <c r="XY745" s="487"/>
      <c r="XZ745" s="487"/>
      <c r="YA745" s="487"/>
      <c r="YB745" s="487"/>
      <c r="YC745" s="487"/>
      <c r="YD745" s="487"/>
      <c r="YE745" s="487"/>
      <c r="YF745" s="487"/>
      <c r="YG745" s="487"/>
      <c r="YH745" s="487"/>
      <c r="YI745" s="487"/>
      <c r="YJ745" s="487"/>
      <c r="YK745" s="487"/>
      <c r="YL745" s="487"/>
      <c r="YM745" s="487"/>
      <c r="YN745" s="487"/>
      <c r="YO745" s="487"/>
      <c r="YP745" s="487"/>
      <c r="YQ745" s="487"/>
      <c r="YR745" s="487"/>
      <c r="YS745" s="487"/>
      <c r="YT745" s="487"/>
      <c r="YU745" s="487"/>
      <c r="YV745" s="487"/>
      <c r="YW745" s="487"/>
      <c r="YX745" s="487"/>
      <c r="YY745" s="487"/>
      <c r="YZ745" s="487"/>
      <c r="ZA745" s="487"/>
      <c r="ZB745" s="487"/>
      <c r="ZC745" s="487"/>
      <c r="ZD745" s="487"/>
      <c r="ZE745" s="487"/>
      <c r="ZF745" s="487"/>
      <c r="ZG745" s="487"/>
      <c r="ZH745" s="487"/>
      <c r="ZI745" s="487"/>
      <c r="ZJ745" s="487"/>
      <c r="ZK745" s="487"/>
      <c r="ZL745" s="487"/>
      <c r="ZM745" s="487"/>
      <c r="ZN745" s="487"/>
      <c r="ZO745" s="487"/>
      <c r="ZP745" s="487"/>
      <c r="ZQ745" s="487"/>
      <c r="ZR745" s="487"/>
      <c r="ZS745" s="487"/>
      <c r="ZT745" s="487"/>
      <c r="ZU745" s="487"/>
      <c r="ZV745" s="487"/>
      <c r="ZW745" s="487"/>
      <c r="ZX745" s="487"/>
      <c r="ZY745" s="487"/>
      <c r="ZZ745" s="487"/>
      <c r="AAA745" s="487"/>
      <c r="AAB745" s="487"/>
      <c r="AAC745" s="487"/>
      <c r="AAD745" s="487"/>
      <c r="AAE745" s="487"/>
      <c r="AAF745" s="487"/>
      <c r="AAG745" s="487"/>
      <c r="AAH745" s="487"/>
      <c r="AAI745" s="487"/>
      <c r="AAJ745" s="487"/>
      <c r="AAK745" s="487"/>
      <c r="AAL745" s="487"/>
      <c r="AAM745" s="487"/>
      <c r="AAN745" s="487"/>
      <c r="AAO745" s="487"/>
      <c r="AAP745" s="487"/>
      <c r="AAQ745" s="487"/>
      <c r="AAR745" s="487"/>
      <c r="AAS745" s="487"/>
      <c r="AAT745" s="487"/>
      <c r="AAU745" s="487"/>
      <c r="AAV745" s="487"/>
      <c r="AAW745" s="487"/>
      <c r="AAX745" s="487"/>
      <c r="AAY745" s="487"/>
      <c r="AAZ745" s="487"/>
      <c r="ABA745" s="487"/>
      <c r="ABB745" s="487"/>
      <c r="ABC745" s="487"/>
      <c r="ABD745" s="487"/>
      <c r="ABE745" s="487"/>
      <c r="ABF745" s="487"/>
      <c r="ABG745" s="487"/>
      <c r="ABH745" s="487"/>
      <c r="ABI745" s="487"/>
      <c r="ABJ745" s="487"/>
      <c r="ABK745" s="487"/>
      <c r="ABL745" s="487"/>
      <c r="ABM745" s="487"/>
      <c r="ABN745" s="487"/>
      <c r="ABO745" s="487"/>
      <c r="ABP745" s="487"/>
      <c r="ABQ745" s="487"/>
      <c r="ABR745" s="487"/>
      <c r="ABS745" s="487"/>
      <c r="ABT745" s="487"/>
      <c r="ABU745" s="487"/>
      <c r="ABV745" s="487"/>
      <c r="ABW745" s="487"/>
      <c r="ABX745" s="487"/>
      <c r="ABY745" s="487"/>
      <c r="ABZ745" s="487"/>
      <c r="ACA745" s="487"/>
      <c r="ACB745" s="487"/>
      <c r="ACC745" s="487"/>
      <c r="ACD745" s="487"/>
      <c r="ACE745" s="487"/>
      <c r="ACF745" s="487"/>
      <c r="ACG745" s="487"/>
      <c r="ACH745" s="487"/>
      <c r="ACI745" s="487"/>
      <c r="ACJ745" s="487"/>
      <c r="ACK745" s="487"/>
      <c r="ACL745" s="487"/>
      <c r="ACM745" s="487"/>
      <c r="ACN745" s="487"/>
      <c r="ACO745" s="487"/>
      <c r="ACP745" s="487"/>
      <c r="ACQ745" s="487"/>
      <c r="ACR745" s="487"/>
      <c r="ACS745" s="487"/>
      <c r="ACT745" s="487"/>
      <c r="ACU745" s="487"/>
      <c r="ACV745" s="487"/>
      <c r="ACW745" s="487"/>
      <c r="ACX745" s="487"/>
      <c r="ACY745" s="487"/>
      <c r="ACZ745" s="487"/>
      <c r="ADA745" s="487"/>
      <c r="ADB745" s="487"/>
      <c r="ADC745" s="487"/>
      <c r="ADD745" s="487"/>
      <c r="ADE745" s="487"/>
      <c r="ADF745" s="487"/>
      <c r="ADG745" s="487"/>
      <c r="ADH745" s="487"/>
      <c r="ADI745" s="487"/>
      <c r="ADJ745" s="487"/>
      <c r="ADK745" s="487"/>
      <c r="ADL745" s="487"/>
      <c r="ADM745" s="487"/>
      <c r="ADN745" s="487"/>
      <c r="ADO745" s="487"/>
      <c r="ADP745" s="487"/>
      <c r="ADQ745" s="487"/>
      <c r="ADR745" s="487"/>
      <c r="ADS745" s="487"/>
      <c r="ADT745" s="487"/>
      <c r="ADU745" s="487"/>
      <c r="ADV745" s="487"/>
      <c r="ADW745" s="487"/>
      <c r="ADX745" s="487"/>
      <c r="ADY745" s="487"/>
      <c r="ADZ745" s="487"/>
      <c r="AEA745" s="487"/>
      <c r="AEB745" s="487"/>
      <c r="AEC745" s="487"/>
      <c r="AED745" s="487"/>
      <c r="AEE745" s="487"/>
      <c r="AEF745" s="487"/>
      <c r="AEG745" s="487"/>
      <c r="AEH745" s="487"/>
      <c r="AEI745" s="487"/>
      <c r="AEJ745" s="487"/>
      <c r="AEK745" s="487"/>
      <c r="AEL745" s="487"/>
      <c r="AEM745" s="487"/>
      <c r="AEN745" s="487"/>
      <c r="AEO745" s="487"/>
      <c r="AEP745" s="487"/>
      <c r="AEQ745" s="487"/>
      <c r="AER745" s="487"/>
      <c r="AES745" s="487"/>
      <c r="AET745" s="487"/>
      <c r="AEU745" s="487"/>
      <c r="AEV745" s="487"/>
      <c r="AEW745" s="487"/>
      <c r="AEX745" s="487"/>
      <c r="AEY745" s="487"/>
      <c r="AEZ745" s="487"/>
      <c r="AFA745" s="487"/>
      <c r="AFB745" s="487"/>
      <c r="AFC745" s="487"/>
      <c r="AFD745" s="487"/>
      <c r="AFE745" s="487"/>
      <c r="AFF745" s="487"/>
      <c r="AFG745" s="487"/>
      <c r="AFH745" s="487"/>
      <c r="AFI745" s="487"/>
      <c r="AFJ745" s="487"/>
      <c r="AFK745" s="487"/>
      <c r="AFL745" s="487"/>
      <c r="AFM745" s="487"/>
      <c r="AFN745" s="487"/>
      <c r="AFO745" s="487"/>
      <c r="AFP745" s="487"/>
      <c r="AFQ745" s="487"/>
      <c r="AFR745" s="487"/>
      <c r="AFS745" s="487"/>
      <c r="AFT745" s="487"/>
      <c r="AFU745" s="487"/>
      <c r="AFV745" s="487"/>
      <c r="AFW745" s="487"/>
      <c r="AFX745" s="487"/>
      <c r="AFY745" s="487"/>
      <c r="AFZ745" s="487"/>
      <c r="AGA745" s="487"/>
      <c r="AGB745" s="487"/>
      <c r="AGC745" s="487"/>
      <c r="AGD745" s="487"/>
      <c r="AGE745" s="487"/>
      <c r="AGF745" s="487"/>
      <c r="AGG745" s="487"/>
      <c r="AGH745" s="487"/>
      <c r="AGI745" s="487"/>
      <c r="AGJ745" s="487"/>
      <c r="AGK745" s="487"/>
      <c r="AGL745" s="487"/>
      <c r="AGM745" s="487"/>
      <c r="AGN745" s="487"/>
      <c r="AGO745" s="487"/>
      <c r="AGP745" s="487"/>
      <c r="AGQ745" s="487"/>
      <c r="AGR745" s="487"/>
      <c r="AGS745" s="487"/>
      <c r="AGT745" s="487"/>
      <c r="AGU745" s="487"/>
      <c r="AGV745" s="487"/>
      <c r="AGW745" s="487"/>
      <c r="AGX745" s="487"/>
      <c r="AGY745" s="487"/>
      <c r="AGZ745" s="487"/>
      <c r="AHA745" s="487"/>
      <c r="AHB745" s="487"/>
      <c r="AHC745" s="487"/>
      <c r="AHD745" s="487"/>
      <c r="AHE745" s="487"/>
      <c r="AHF745" s="487"/>
      <c r="AHG745" s="487"/>
      <c r="AHH745" s="487"/>
      <c r="AHI745" s="487"/>
      <c r="AHJ745" s="487"/>
      <c r="AHK745" s="487"/>
      <c r="AHL745" s="487"/>
      <c r="AHM745" s="487"/>
      <c r="AHN745" s="487"/>
      <c r="AHO745" s="487"/>
      <c r="AHP745" s="487"/>
      <c r="AHQ745" s="487"/>
      <c r="AHR745" s="487"/>
      <c r="AHS745" s="487"/>
      <c r="AHT745" s="487"/>
      <c r="AHU745" s="487"/>
      <c r="AHV745" s="487"/>
      <c r="AHW745" s="487"/>
      <c r="AHX745" s="487"/>
      <c r="AHY745" s="487"/>
      <c r="AHZ745" s="487"/>
      <c r="AIA745" s="487"/>
      <c r="AIB745" s="487"/>
      <c r="AIC745" s="487"/>
      <c r="AID745" s="487"/>
      <c r="AIE745" s="487"/>
      <c r="AIF745" s="487"/>
      <c r="AIG745" s="487"/>
      <c r="AIH745" s="487"/>
      <c r="AII745" s="487"/>
      <c r="AIJ745" s="487"/>
      <c r="AIK745" s="487"/>
      <c r="AIL745" s="487"/>
      <c r="AIM745" s="487"/>
      <c r="AIN745" s="487"/>
      <c r="AIO745" s="487"/>
      <c r="AIP745" s="487"/>
      <c r="AIQ745" s="487"/>
      <c r="AIR745" s="487"/>
      <c r="AIS745" s="487"/>
      <c r="AIT745" s="487"/>
      <c r="AIU745" s="487"/>
      <c r="AIV745" s="487"/>
      <c r="AIW745" s="487"/>
      <c r="AIX745" s="487"/>
      <c r="AIY745" s="487"/>
      <c r="AIZ745" s="487"/>
      <c r="AJA745" s="487"/>
      <c r="AJB745" s="487"/>
      <c r="AJC745" s="487"/>
      <c r="AJD745" s="487"/>
      <c r="AJE745" s="487"/>
      <c r="AJF745" s="487"/>
      <c r="AJG745" s="487"/>
      <c r="AJH745" s="487"/>
      <c r="AJI745" s="487"/>
      <c r="AJJ745" s="487"/>
      <c r="AJK745" s="487"/>
      <c r="AJL745" s="487"/>
      <c r="AJM745" s="487"/>
      <c r="AJN745" s="487"/>
      <c r="AJO745" s="487"/>
      <c r="AJP745" s="487"/>
      <c r="AJQ745" s="487"/>
      <c r="AJR745" s="487"/>
      <c r="AJS745" s="487"/>
      <c r="AJT745" s="487"/>
      <c r="AJU745" s="487"/>
      <c r="AJV745" s="487"/>
      <c r="AJW745" s="487"/>
      <c r="AJX745" s="487"/>
      <c r="AJY745" s="487"/>
      <c r="AJZ745" s="487"/>
      <c r="AKA745" s="487"/>
      <c r="AKB745" s="487"/>
      <c r="AKC745" s="487"/>
      <c r="AKD745" s="487"/>
      <c r="AKE745" s="487"/>
      <c r="AKF745" s="487"/>
      <c r="AKG745" s="487"/>
      <c r="AKH745" s="487"/>
      <c r="AKI745" s="487"/>
      <c r="AKJ745" s="487"/>
      <c r="AKK745" s="487"/>
      <c r="AKL745" s="487"/>
      <c r="AKM745" s="487"/>
      <c r="AKN745" s="487"/>
      <c r="AKO745" s="487"/>
      <c r="AKP745" s="487"/>
      <c r="AKQ745" s="487"/>
      <c r="AKR745" s="487"/>
      <c r="AKS745" s="487"/>
      <c r="AKT745" s="487"/>
      <c r="AKU745" s="487"/>
      <c r="AKV745" s="487"/>
      <c r="AKW745" s="487"/>
      <c r="AKX745" s="487"/>
      <c r="AKY745" s="487"/>
      <c r="AKZ745" s="487"/>
      <c r="ALA745" s="487"/>
      <c r="ALB745" s="487"/>
      <c r="ALC745" s="487"/>
      <c r="ALD745" s="487"/>
      <c r="ALE745" s="487"/>
      <c r="ALF745" s="487"/>
      <c r="ALG745" s="487"/>
      <c r="ALH745" s="487"/>
      <c r="ALI745" s="487"/>
      <c r="ALJ745" s="487"/>
      <c r="ALK745" s="487"/>
      <c r="ALL745" s="487"/>
      <c r="ALM745" s="487"/>
      <c r="ALN745" s="487"/>
      <c r="ALO745" s="487"/>
      <c r="ALP745" s="487"/>
      <c r="ALQ745" s="487"/>
      <c r="ALR745" s="487"/>
      <c r="ALS745" s="487"/>
      <c r="ALT745" s="487"/>
      <c r="ALU745" s="487"/>
      <c r="ALV745" s="487"/>
      <c r="ALW745" s="487"/>
      <c r="ALX745" s="487"/>
      <c r="ALY745" s="487"/>
      <c r="ALZ745" s="487"/>
      <c r="AMA745" s="487"/>
      <c r="AMB745" s="487"/>
      <c r="AMC745" s="487"/>
      <c r="AMD745" s="487"/>
      <c r="AME745" s="487"/>
      <c r="AMF745" s="487"/>
      <c r="AMG745" s="487"/>
      <c r="AMH745" s="487"/>
      <c r="AMI745" s="487"/>
      <c r="AMJ745" s="487"/>
      <c r="AMK745" s="487"/>
      <c r="AML745" s="487"/>
      <c r="AMM745" s="487"/>
      <c r="AMN745" s="487"/>
      <c r="AMO745" s="487"/>
      <c r="AMP745" s="487"/>
      <c r="AMQ745" s="487"/>
      <c r="AMR745" s="487"/>
      <c r="AMS745" s="487"/>
      <c r="AMT745" s="487"/>
      <c r="AMU745" s="487"/>
      <c r="AMV745" s="487"/>
      <c r="AMW745" s="487"/>
      <c r="AMX745" s="487"/>
      <c r="AMY745" s="487"/>
      <c r="AMZ745" s="487"/>
      <c r="ANA745" s="487"/>
      <c r="ANB745" s="487"/>
      <c r="ANC745" s="487"/>
      <c r="AND745" s="487"/>
      <c r="ANE745" s="487"/>
      <c r="ANF745" s="487"/>
      <c r="ANG745" s="487"/>
      <c r="ANH745" s="487"/>
      <c r="ANI745" s="487"/>
      <c r="ANJ745" s="487"/>
      <c r="ANK745" s="487"/>
      <c r="ANL745" s="487"/>
      <c r="ANM745" s="487"/>
      <c r="ANN745" s="487"/>
      <c r="ANO745" s="487"/>
      <c r="ANP745" s="487"/>
      <c r="ANQ745" s="487"/>
      <c r="ANR745" s="487"/>
      <c r="ANS745" s="487"/>
      <c r="ANT745" s="487"/>
      <c r="ANU745" s="487"/>
      <c r="ANV745" s="487"/>
      <c r="ANW745" s="487"/>
      <c r="ANX745" s="487"/>
      <c r="ANY745" s="487"/>
      <c r="ANZ745" s="487"/>
      <c r="AOA745" s="487"/>
      <c r="AOB745" s="487"/>
      <c r="AOC745" s="487"/>
      <c r="AOD745" s="487"/>
      <c r="AOE745" s="487"/>
      <c r="AOF745" s="487"/>
      <c r="AOG745" s="487"/>
      <c r="AOH745" s="487"/>
      <c r="AOI745" s="487"/>
      <c r="AOJ745" s="487"/>
      <c r="AOK745" s="487"/>
      <c r="AOL745" s="487"/>
      <c r="AOM745" s="487"/>
      <c r="AON745" s="487"/>
      <c r="AOO745" s="487"/>
      <c r="AOP745" s="487"/>
      <c r="AOQ745" s="487"/>
      <c r="AOR745" s="487"/>
      <c r="AOS745" s="487"/>
      <c r="AOT745" s="487"/>
      <c r="AOU745" s="487"/>
      <c r="AOV745" s="487"/>
      <c r="AOW745" s="487"/>
      <c r="AOX745" s="487"/>
      <c r="AOY745" s="487"/>
      <c r="AOZ745" s="487"/>
      <c r="APA745" s="487"/>
      <c r="APB745" s="487"/>
      <c r="APC745" s="487"/>
      <c r="APD745" s="487"/>
      <c r="APE745" s="487"/>
      <c r="APF745" s="487"/>
      <c r="APG745" s="487"/>
      <c r="APH745" s="487"/>
      <c r="API745" s="487"/>
      <c r="APJ745" s="487"/>
      <c r="APK745" s="487"/>
      <c r="APL745" s="487"/>
      <c r="APM745" s="487"/>
      <c r="APN745" s="487"/>
      <c r="APO745" s="487"/>
      <c r="APP745" s="487"/>
      <c r="APQ745" s="487"/>
      <c r="APR745" s="487"/>
      <c r="APS745" s="487"/>
      <c r="APT745" s="487"/>
      <c r="APU745" s="487"/>
      <c r="APV745" s="487"/>
      <c r="APW745" s="487"/>
      <c r="APX745" s="487"/>
      <c r="APY745" s="487"/>
      <c r="APZ745" s="487"/>
      <c r="AQA745" s="487"/>
      <c r="AQB745" s="487"/>
      <c r="AQC745" s="487"/>
      <c r="AQD745" s="487"/>
      <c r="AQE745" s="487"/>
      <c r="AQF745" s="487"/>
      <c r="AQG745" s="487"/>
      <c r="AQH745" s="487"/>
      <c r="AQI745" s="487"/>
      <c r="AQJ745" s="487"/>
      <c r="AQK745" s="487"/>
      <c r="AQL745" s="487"/>
      <c r="AQM745" s="487"/>
      <c r="AQN745" s="487"/>
      <c r="AQO745" s="487"/>
      <c r="AQP745" s="487"/>
      <c r="AQQ745" s="487"/>
      <c r="AQR745" s="487"/>
      <c r="AQS745" s="487"/>
      <c r="AQT745" s="487"/>
      <c r="AQU745" s="487"/>
      <c r="AQV745" s="487"/>
      <c r="AQW745" s="487"/>
      <c r="AQX745" s="487"/>
      <c r="AQY745" s="487"/>
      <c r="AQZ745" s="487"/>
      <c r="ARA745" s="487"/>
      <c r="ARB745" s="487"/>
      <c r="ARC745" s="487"/>
      <c r="ARD745" s="487"/>
      <c r="ARE745" s="487"/>
      <c r="ARF745" s="487"/>
      <c r="ARG745" s="487"/>
      <c r="ARH745" s="487"/>
      <c r="ARI745" s="487"/>
      <c r="ARJ745" s="487"/>
      <c r="ARK745" s="487"/>
      <c r="ARL745" s="487"/>
      <c r="ARM745" s="487"/>
      <c r="ARN745" s="487"/>
      <c r="ARO745" s="487"/>
      <c r="ARP745" s="487"/>
      <c r="ARQ745" s="487"/>
      <c r="ARR745" s="487"/>
      <c r="ARS745" s="487"/>
      <c r="ART745" s="487"/>
      <c r="ARU745" s="487"/>
      <c r="ARV745" s="487"/>
      <c r="ARW745" s="487"/>
      <c r="ARX745" s="487"/>
      <c r="ARY745" s="487"/>
      <c r="ARZ745" s="487"/>
      <c r="ASA745" s="487"/>
      <c r="ASB745" s="487"/>
      <c r="ASC745" s="487"/>
      <c r="ASD745" s="487"/>
      <c r="ASE745" s="487"/>
      <c r="ASF745" s="487"/>
      <c r="ASG745" s="487"/>
      <c r="ASH745" s="487"/>
      <c r="ASI745" s="487"/>
      <c r="ASJ745" s="487"/>
      <c r="ASK745" s="487"/>
      <c r="ASL745" s="487"/>
      <c r="ASM745" s="487"/>
      <c r="ASN745" s="487"/>
      <c r="ASO745" s="487"/>
      <c r="ASP745" s="487"/>
      <c r="ASQ745" s="487"/>
      <c r="ASR745" s="487"/>
      <c r="ASS745" s="487"/>
      <c r="AST745" s="487"/>
      <c r="ASU745" s="487"/>
      <c r="ASV745" s="487"/>
      <c r="ASW745" s="487"/>
      <c r="ASX745" s="487"/>
      <c r="ASY745" s="487"/>
      <c r="ASZ745" s="487"/>
      <c r="ATA745" s="487"/>
      <c r="ATB745" s="487"/>
      <c r="ATC745" s="487"/>
      <c r="ATD745" s="487"/>
      <c r="ATE745" s="487"/>
      <c r="ATF745" s="487"/>
      <c r="ATG745" s="487"/>
      <c r="ATH745" s="487"/>
      <c r="ATI745" s="487"/>
      <c r="ATJ745" s="487"/>
      <c r="ATK745" s="487"/>
      <c r="ATL745" s="487"/>
      <c r="ATM745" s="487"/>
      <c r="ATN745" s="487"/>
      <c r="ATO745" s="487"/>
      <c r="ATP745" s="487"/>
      <c r="ATQ745" s="487"/>
      <c r="ATR745" s="487"/>
      <c r="ATS745" s="487"/>
      <c r="ATT745" s="487"/>
      <c r="ATU745" s="487"/>
      <c r="ATV745" s="487"/>
      <c r="ATW745" s="487"/>
      <c r="ATX745" s="487"/>
      <c r="ATY745" s="487"/>
      <c r="ATZ745" s="487"/>
      <c r="AUA745" s="487"/>
      <c r="AUB745" s="487"/>
      <c r="AUC745" s="487"/>
      <c r="AUD745" s="487"/>
      <c r="AUE745" s="487"/>
      <c r="AUF745" s="487"/>
      <c r="AUG745" s="487"/>
      <c r="AUH745" s="487"/>
      <c r="AUI745" s="487"/>
      <c r="AUJ745" s="487"/>
      <c r="AUK745" s="487"/>
      <c r="AUL745" s="487"/>
      <c r="AUM745" s="487"/>
      <c r="AUN745" s="487"/>
      <c r="AUO745" s="487"/>
      <c r="AUP745" s="487"/>
      <c r="AUQ745" s="487"/>
      <c r="AUR745" s="487"/>
      <c r="AUS745" s="487"/>
      <c r="AUT745" s="487"/>
      <c r="AUU745" s="487"/>
      <c r="AUV745" s="487"/>
      <c r="AUW745" s="487"/>
      <c r="AUX745" s="487"/>
      <c r="AUY745" s="487"/>
      <c r="AUZ745" s="487"/>
      <c r="AVA745" s="487"/>
      <c r="AVB745" s="487"/>
      <c r="AVC745" s="487"/>
      <c r="AVD745" s="487"/>
      <c r="AVE745" s="487"/>
      <c r="AVF745" s="487"/>
      <c r="AVG745" s="487"/>
      <c r="AVH745" s="487"/>
      <c r="AVI745" s="487"/>
      <c r="AVJ745" s="487"/>
      <c r="AVK745" s="487"/>
      <c r="AVL745" s="487"/>
      <c r="AVM745" s="487"/>
      <c r="AVN745" s="487"/>
      <c r="AVO745" s="487"/>
      <c r="AVP745" s="487"/>
      <c r="AVQ745" s="487"/>
      <c r="AVR745" s="487"/>
      <c r="AVS745" s="487"/>
      <c r="AVT745" s="487"/>
      <c r="AVU745" s="487"/>
      <c r="AVV745" s="487"/>
      <c r="AVW745" s="487"/>
      <c r="AVX745" s="487"/>
      <c r="AVY745" s="487"/>
      <c r="AVZ745" s="487"/>
      <c r="AWA745" s="487"/>
      <c r="AWB745" s="487"/>
      <c r="AWC745" s="487"/>
      <c r="AWD745" s="487"/>
      <c r="AWE745" s="487"/>
      <c r="AWF745" s="487"/>
      <c r="AWG745" s="487"/>
      <c r="AWH745" s="487"/>
      <c r="AWI745" s="487"/>
      <c r="AWJ745" s="487"/>
      <c r="AWK745" s="487"/>
      <c r="AWL745" s="487"/>
      <c r="AWM745" s="487"/>
      <c r="AWN745" s="487"/>
      <c r="AWO745" s="487"/>
      <c r="AWP745" s="487"/>
      <c r="AWQ745" s="487"/>
      <c r="AWR745" s="487"/>
      <c r="AWS745" s="487"/>
      <c r="AWT745" s="487"/>
      <c r="AWU745" s="487"/>
      <c r="AWV745" s="487"/>
      <c r="AWW745" s="487"/>
      <c r="AWX745" s="487"/>
      <c r="AWY745" s="487"/>
      <c r="AWZ745" s="487"/>
      <c r="AXA745" s="487"/>
      <c r="AXB745" s="487"/>
      <c r="AXC745" s="487"/>
      <c r="AXD745" s="487"/>
      <c r="AXE745" s="487"/>
      <c r="AXF745" s="487"/>
      <c r="AXG745" s="487"/>
      <c r="AXH745" s="487"/>
      <c r="AXI745" s="487"/>
      <c r="AXJ745" s="487"/>
      <c r="AXK745" s="487"/>
      <c r="AXL745" s="487"/>
      <c r="AXM745" s="487"/>
      <c r="AXN745" s="487"/>
      <c r="AXO745" s="487"/>
      <c r="AXP745" s="487"/>
      <c r="AXQ745" s="487"/>
      <c r="AXR745" s="487"/>
      <c r="AXS745" s="487"/>
      <c r="AXT745" s="487"/>
      <c r="AXU745" s="487"/>
      <c r="AXV745" s="487"/>
      <c r="AXW745" s="487"/>
      <c r="AXX745" s="487"/>
      <c r="AXY745" s="487"/>
      <c r="AXZ745" s="487"/>
      <c r="AYA745" s="487"/>
      <c r="AYB745" s="487"/>
      <c r="AYC745" s="487"/>
      <c r="AYD745" s="487"/>
      <c r="AYE745" s="487"/>
      <c r="AYF745" s="487"/>
      <c r="AYG745" s="487"/>
      <c r="AYH745" s="487"/>
      <c r="AYI745" s="487"/>
      <c r="AYJ745" s="487"/>
      <c r="AYK745" s="487"/>
      <c r="AYL745" s="487"/>
      <c r="AYM745" s="487"/>
      <c r="AYN745" s="487"/>
      <c r="AYO745" s="487"/>
      <c r="AYP745" s="487"/>
      <c r="AYQ745" s="487"/>
      <c r="AYR745" s="487"/>
      <c r="AYS745" s="487"/>
      <c r="AYT745" s="487"/>
      <c r="AYU745" s="487"/>
      <c r="AYV745" s="487"/>
      <c r="AYW745" s="487"/>
      <c r="AYX745" s="487"/>
      <c r="AYY745" s="487"/>
      <c r="AYZ745" s="487"/>
      <c r="AZA745" s="487"/>
      <c r="AZB745" s="487"/>
      <c r="AZC745" s="487"/>
      <c r="AZD745" s="487"/>
      <c r="AZE745" s="487"/>
      <c r="AZF745" s="487"/>
      <c r="AZG745" s="487"/>
      <c r="AZH745" s="487"/>
      <c r="AZI745" s="487"/>
      <c r="AZJ745" s="487"/>
      <c r="AZK745" s="487"/>
      <c r="AZL745" s="487"/>
      <c r="AZM745" s="487"/>
      <c r="AZN745" s="487"/>
      <c r="AZO745" s="487"/>
      <c r="AZP745" s="487"/>
      <c r="AZQ745" s="487"/>
      <c r="AZR745" s="487"/>
      <c r="AZS745" s="487"/>
      <c r="AZT745" s="487"/>
      <c r="AZU745" s="487"/>
      <c r="AZV745" s="487"/>
      <c r="AZW745" s="487"/>
      <c r="AZX745" s="487"/>
      <c r="AZY745" s="487"/>
      <c r="AZZ745" s="487"/>
      <c r="BAA745" s="487"/>
      <c r="BAB745" s="487"/>
      <c r="BAC745" s="487"/>
      <c r="BAD745" s="487"/>
      <c r="BAE745" s="487"/>
      <c r="BAF745" s="487"/>
      <c r="BAG745" s="487"/>
      <c r="BAH745" s="487"/>
      <c r="BAI745" s="487"/>
      <c r="BAJ745" s="487"/>
      <c r="BAK745" s="487"/>
      <c r="BAL745" s="487"/>
      <c r="BAM745" s="487"/>
      <c r="BAN745" s="487"/>
      <c r="BAO745" s="487"/>
      <c r="BAP745" s="487"/>
      <c r="BAQ745" s="487"/>
      <c r="BAR745" s="487"/>
      <c r="BAS745" s="487"/>
      <c r="BAT745" s="487"/>
      <c r="BAU745" s="487"/>
      <c r="BAV745" s="487"/>
      <c r="BAW745" s="487"/>
      <c r="BAX745" s="487"/>
      <c r="BAY745" s="487"/>
      <c r="BAZ745" s="487"/>
      <c r="BBA745" s="487"/>
      <c r="BBB745" s="487"/>
      <c r="BBC745" s="487"/>
      <c r="BBD745" s="487"/>
      <c r="BBE745" s="487"/>
      <c r="BBF745" s="487"/>
      <c r="BBG745" s="487"/>
      <c r="BBH745" s="487"/>
      <c r="BBI745" s="487"/>
      <c r="BBJ745" s="487"/>
      <c r="BBK745" s="487"/>
      <c r="BBL745" s="487"/>
      <c r="BBM745" s="487"/>
      <c r="BBN745" s="487"/>
      <c r="BBO745" s="487"/>
      <c r="BBP745" s="487"/>
      <c r="BBQ745" s="487"/>
      <c r="BBR745" s="487"/>
      <c r="BBS745" s="487"/>
      <c r="BBT745" s="487"/>
      <c r="BBU745" s="487"/>
      <c r="BBV745" s="487"/>
      <c r="BBW745" s="487"/>
      <c r="BBX745" s="487"/>
      <c r="BBY745" s="487"/>
      <c r="BBZ745" s="487"/>
      <c r="BCA745" s="487"/>
      <c r="BCB745" s="487"/>
      <c r="BCC745" s="487"/>
      <c r="BCD745" s="487"/>
      <c r="BCE745" s="487"/>
      <c r="BCF745" s="487"/>
      <c r="BCG745" s="487"/>
      <c r="BCH745" s="487"/>
      <c r="BCI745" s="487"/>
      <c r="BCJ745" s="487"/>
      <c r="BCK745" s="487"/>
      <c r="BCL745" s="487"/>
      <c r="BCM745" s="487"/>
      <c r="BCN745" s="487"/>
      <c r="BCO745" s="487"/>
      <c r="BCP745" s="487"/>
      <c r="BCQ745" s="487"/>
      <c r="BCR745" s="487"/>
      <c r="BCS745" s="487"/>
      <c r="BCT745" s="487"/>
      <c r="BCU745" s="487"/>
      <c r="BCV745" s="487"/>
      <c r="BCW745" s="487"/>
      <c r="BCX745" s="487"/>
      <c r="BCY745" s="487"/>
      <c r="BCZ745" s="487"/>
      <c r="BDA745" s="487"/>
      <c r="BDB745" s="487"/>
      <c r="BDC745" s="487"/>
      <c r="BDD745" s="487"/>
      <c r="BDE745" s="487"/>
      <c r="BDF745" s="487"/>
      <c r="BDG745" s="487"/>
      <c r="BDH745" s="487"/>
      <c r="BDI745" s="487"/>
      <c r="BDJ745" s="487"/>
      <c r="BDK745" s="487"/>
      <c r="BDL745" s="487"/>
      <c r="BDM745" s="487"/>
      <c r="BDN745" s="487"/>
      <c r="BDO745" s="487"/>
      <c r="BDP745" s="487"/>
      <c r="BDQ745" s="487"/>
      <c r="BDR745" s="487"/>
      <c r="BDS745" s="487"/>
      <c r="BDT745" s="487"/>
      <c r="BDU745" s="487"/>
      <c r="BDV745" s="487"/>
      <c r="BDW745" s="487"/>
      <c r="BDX745" s="487"/>
      <c r="BDY745" s="487"/>
      <c r="BDZ745" s="487"/>
      <c r="BEA745" s="487"/>
      <c r="BEB745" s="487"/>
      <c r="BEC745" s="487"/>
      <c r="BED745" s="487"/>
      <c r="BEE745" s="487"/>
      <c r="BEF745" s="487"/>
      <c r="BEG745" s="487"/>
      <c r="BEH745" s="487"/>
      <c r="BEI745" s="487"/>
      <c r="BEJ745" s="487"/>
      <c r="BEK745" s="487"/>
      <c r="BEL745" s="487"/>
      <c r="BEM745" s="487"/>
      <c r="BEN745" s="487"/>
      <c r="BEO745" s="487"/>
      <c r="BEP745" s="487"/>
      <c r="BEQ745" s="487"/>
      <c r="BER745" s="487"/>
      <c r="BES745" s="487"/>
      <c r="BET745" s="487"/>
      <c r="BEU745" s="487"/>
      <c r="BEV745" s="487"/>
      <c r="BEW745" s="487"/>
      <c r="BEX745" s="487"/>
      <c r="BEY745" s="487"/>
      <c r="BEZ745" s="487"/>
      <c r="BFA745" s="487"/>
      <c r="BFB745" s="487"/>
      <c r="BFC745" s="487"/>
      <c r="BFD745" s="487"/>
      <c r="BFE745" s="487"/>
      <c r="BFF745" s="487"/>
      <c r="BFG745" s="487"/>
      <c r="BFH745" s="487"/>
      <c r="BFI745" s="487"/>
      <c r="BFJ745" s="487"/>
      <c r="BFK745" s="487"/>
      <c r="BFL745" s="487"/>
      <c r="BFM745" s="487"/>
      <c r="BFN745" s="487"/>
      <c r="BFO745" s="487"/>
      <c r="BFP745" s="487"/>
      <c r="BFQ745" s="487"/>
      <c r="BFR745" s="487"/>
      <c r="BFS745" s="487"/>
      <c r="BFT745" s="487"/>
      <c r="BFU745" s="487"/>
      <c r="BFV745" s="487"/>
      <c r="BFW745" s="487"/>
      <c r="BFX745" s="487"/>
      <c r="BFY745" s="487"/>
      <c r="BFZ745" s="487"/>
      <c r="BGA745" s="487"/>
      <c r="BGB745" s="487"/>
      <c r="BGC745" s="487"/>
      <c r="BGD745" s="487"/>
      <c r="BGE745" s="487"/>
      <c r="BGF745" s="487"/>
      <c r="BGG745" s="487"/>
      <c r="BGH745" s="487"/>
      <c r="BGI745" s="487"/>
      <c r="BGJ745" s="487"/>
      <c r="BGK745" s="487"/>
      <c r="BGL745" s="487"/>
      <c r="BGM745" s="487"/>
      <c r="BGN745" s="487"/>
      <c r="BGO745" s="487"/>
      <c r="BGP745" s="487"/>
      <c r="BGQ745" s="487"/>
      <c r="BGR745" s="487"/>
      <c r="BGS745" s="487"/>
      <c r="BGT745" s="487"/>
      <c r="BGU745" s="487"/>
      <c r="BGV745" s="487"/>
      <c r="BGW745" s="487"/>
      <c r="BGX745" s="487"/>
      <c r="BGY745" s="487"/>
      <c r="BGZ745" s="487"/>
      <c r="BHA745" s="487"/>
      <c r="BHB745" s="487"/>
      <c r="BHC745" s="487"/>
      <c r="BHD745" s="487"/>
      <c r="BHE745" s="487"/>
      <c r="BHF745" s="487"/>
      <c r="BHG745" s="487"/>
      <c r="BHH745" s="487"/>
      <c r="BHI745" s="487"/>
      <c r="BHJ745" s="487"/>
      <c r="BHK745" s="487"/>
      <c r="BHL745" s="487"/>
      <c r="BHM745" s="487"/>
      <c r="BHN745" s="487"/>
      <c r="BHO745" s="487"/>
      <c r="BHP745" s="487"/>
      <c r="BHQ745" s="487"/>
      <c r="BHR745" s="487"/>
      <c r="BHS745" s="487"/>
      <c r="BHT745" s="487"/>
      <c r="BHU745" s="487"/>
      <c r="BHV745" s="487"/>
      <c r="BHW745" s="487"/>
      <c r="BHX745" s="487"/>
      <c r="BHY745" s="487"/>
      <c r="BHZ745" s="487"/>
      <c r="BIA745" s="487"/>
      <c r="BIB745" s="487"/>
      <c r="BIC745" s="487"/>
      <c r="BID745" s="487"/>
      <c r="BIE745" s="487"/>
      <c r="BIF745" s="487"/>
      <c r="BIG745" s="487"/>
      <c r="BIH745" s="487"/>
      <c r="BII745" s="487"/>
      <c r="BIJ745" s="487"/>
      <c r="BIK745" s="487"/>
      <c r="BIL745" s="487"/>
      <c r="BIM745" s="487"/>
      <c r="BIN745" s="487"/>
      <c r="BIO745" s="487"/>
      <c r="BIP745" s="487"/>
      <c r="BIQ745" s="487"/>
      <c r="BIR745" s="487"/>
      <c r="BIS745" s="487"/>
      <c r="BIT745" s="487"/>
      <c r="BIU745" s="487"/>
      <c r="BIV745" s="487"/>
      <c r="BIW745" s="487"/>
      <c r="BIX745" s="487"/>
      <c r="BIY745" s="487"/>
      <c r="BIZ745" s="487"/>
      <c r="BJA745" s="487"/>
      <c r="BJB745" s="487"/>
      <c r="BJC745" s="487"/>
      <c r="BJD745" s="487"/>
      <c r="BJE745" s="487"/>
      <c r="BJF745" s="487"/>
      <c r="BJG745" s="487"/>
      <c r="BJH745" s="487"/>
      <c r="BJI745" s="487"/>
      <c r="BJJ745" s="487"/>
      <c r="BJK745" s="487"/>
      <c r="BJL745" s="487"/>
      <c r="BJM745" s="487"/>
      <c r="BJN745" s="487"/>
      <c r="BJO745" s="487"/>
      <c r="BJP745" s="487"/>
      <c r="BJQ745" s="487"/>
      <c r="BJR745" s="487"/>
      <c r="BJS745" s="487"/>
      <c r="BJT745" s="487"/>
      <c r="BJU745" s="487"/>
      <c r="BJV745" s="487"/>
      <c r="BJW745" s="487"/>
      <c r="BJX745" s="487"/>
      <c r="BJY745" s="487"/>
      <c r="BJZ745" s="487"/>
      <c r="BKA745" s="487"/>
      <c r="BKB745" s="487"/>
      <c r="BKC745" s="487"/>
      <c r="BKD745" s="487"/>
      <c r="BKE745" s="487"/>
      <c r="BKF745" s="487"/>
      <c r="BKG745" s="487"/>
      <c r="BKH745" s="487"/>
      <c r="BKI745" s="487"/>
      <c r="BKJ745" s="487"/>
      <c r="BKK745" s="487"/>
      <c r="BKL745" s="487"/>
      <c r="BKM745" s="487"/>
      <c r="BKN745" s="487"/>
      <c r="BKO745" s="487"/>
      <c r="BKP745" s="487"/>
      <c r="BKQ745" s="487"/>
      <c r="BKR745" s="487"/>
      <c r="BKS745" s="487"/>
      <c r="BKT745" s="487"/>
      <c r="BKU745" s="487"/>
      <c r="BKV745" s="487"/>
      <c r="BKW745" s="487"/>
      <c r="BKX745" s="487"/>
      <c r="BKY745" s="487"/>
      <c r="BKZ745" s="487"/>
      <c r="BLA745" s="487"/>
      <c r="BLB745" s="487"/>
      <c r="BLC745" s="487"/>
      <c r="BLD745" s="487"/>
      <c r="BLE745" s="487"/>
      <c r="BLF745" s="487"/>
      <c r="BLG745" s="487"/>
      <c r="BLH745" s="487"/>
      <c r="BLI745" s="487"/>
      <c r="BLJ745" s="487"/>
      <c r="BLK745" s="487"/>
      <c r="BLL745" s="487"/>
      <c r="BLM745" s="487"/>
      <c r="BLN745" s="487"/>
      <c r="BLO745" s="487"/>
      <c r="BLP745" s="487"/>
      <c r="BLQ745" s="487"/>
      <c r="BLR745" s="487"/>
      <c r="BLS745" s="487"/>
      <c r="BLT745" s="487"/>
      <c r="BLU745" s="487"/>
      <c r="BLV745" s="487"/>
      <c r="BLW745" s="487"/>
      <c r="BLX745" s="487"/>
      <c r="BLY745" s="487"/>
      <c r="BLZ745" s="487"/>
      <c r="BMA745" s="487"/>
      <c r="BMB745" s="487"/>
      <c r="BMC745" s="487"/>
      <c r="BMD745" s="487"/>
      <c r="BME745" s="487"/>
      <c r="BMF745" s="487"/>
      <c r="BMG745" s="487"/>
      <c r="BMH745" s="487"/>
      <c r="BMI745" s="487"/>
      <c r="BMJ745" s="487"/>
      <c r="BMK745" s="487"/>
      <c r="BML745" s="487"/>
      <c r="BMM745" s="487"/>
      <c r="BMN745" s="487"/>
      <c r="BMO745" s="487"/>
      <c r="BMP745" s="487"/>
      <c r="BMQ745" s="487"/>
      <c r="BMR745" s="487"/>
      <c r="BMS745" s="487"/>
      <c r="BMT745" s="487"/>
      <c r="BMU745" s="487"/>
      <c r="BMV745" s="487"/>
      <c r="BMW745" s="487"/>
      <c r="BMX745" s="487"/>
      <c r="BMY745" s="487"/>
      <c r="BMZ745" s="487"/>
      <c r="BNA745" s="487"/>
      <c r="BNB745" s="487"/>
      <c r="BNC745" s="487"/>
      <c r="BND745" s="487"/>
      <c r="BNE745" s="487"/>
      <c r="BNF745" s="487"/>
      <c r="BNG745" s="487"/>
      <c r="BNH745" s="487"/>
      <c r="BNI745" s="487"/>
      <c r="BNJ745" s="487"/>
      <c r="BNK745" s="487"/>
      <c r="BNL745" s="487"/>
      <c r="BNM745" s="487"/>
      <c r="BNN745" s="487"/>
      <c r="BNO745" s="487"/>
      <c r="BNP745" s="487"/>
      <c r="BNQ745" s="487"/>
      <c r="BNR745" s="487"/>
      <c r="BNS745" s="487"/>
      <c r="BNT745" s="487"/>
      <c r="BNU745" s="487"/>
      <c r="BNV745" s="487"/>
      <c r="BNW745" s="487"/>
      <c r="BNX745" s="487"/>
      <c r="BNY745" s="487"/>
      <c r="BNZ745" s="487"/>
      <c r="BOA745" s="487"/>
      <c r="BOB745" s="487"/>
      <c r="BOC745" s="487"/>
      <c r="BOD745" s="487"/>
      <c r="BOE745" s="487"/>
      <c r="BOF745" s="487"/>
      <c r="BOG745" s="487"/>
      <c r="BOH745" s="487"/>
      <c r="BOI745" s="487"/>
      <c r="BOJ745" s="487"/>
      <c r="BOK745" s="487"/>
      <c r="BOL745" s="487"/>
      <c r="BOM745" s="487"/>
      <c r="BON745" s="487"/>
      <c r="BOO745" s="487"/>
      <c r="BOP745" s="487"/>
      <c r="BOQ745" s="487"/>
      <c r="BOR745" s="487"/>
      <c r="BOS745" s="487"/>
      <c r="BOT745" s="487"/>
      <c r="BOU745" s="487"/>
      <c r="BOV745" s="487"/>
      <c r="BOW745" s="487"/>
      <c r="BOX745" s="487"/>
      <c r="BOY745" s="487"/>
      <c r="BOZ745" s="487"/>
      <c r="BPA745" s="487"/>
      <c r="BPB745" s="487"/>
      <c r="BPC745" s="487"/>
      <c r="BPD745" s="487"/>
      <c r="BPE745" s="487"/>
      <c r="BPF745" s="487"/>
      <c r="BPG745" s="487"/>
      <c r="BPH745" s="487"/>
      <c r="BPI745" s="487"/>
      <c r="BPJ745" s="487"/>
      <c r="BPK745" s="487"/>
      <c r="BPL745" s="487"/>
      <c r="BPM745" s="487"/>
      <c r="BPN745" s="487"/>
      <c r="BPO745" s="487"/>
      <c r="BPP745" s="487"/>
      <c r="BPQ745" s="487"/>
      <c r="BPR745" s="487"/>
      <c r="BPS745" s="487"/>
      <c r="BPT745" s="487"/>
      <c r="BPU745" s="487"/>
      <c r="BPV745" s="487"/>
      <c r="BPW745" s="487"/>
      <c r="BPX745" s="487"/>
      <c r="BPY745" s="487"/>
      <c r="BPZ745" s="487"/>
      <c r="BQA745" s="487"/>
      <c r="BQB745" s="487"/>
      <c r="BQC745" s="487"/>
      <c r="BQD745" s="487"/>
      <c r="BQE745" s="487"/>
      <c r="BQF745" s="487"/>
      <c r="BQG745" s="487"/>
      <c r="BQH745" s="487"/>
      <c r="BQI745" s="487"/>
      <c r="BQJ745" s="487"/>
      <c r="BQK745" s="487"/>
      <c r="BQL745" s="487"/>
      <c r="BQM745" s="487"/>
      <c r="BQN745" s="487"/>
      <c r="BQO745" s="487"/>
      <c r="BQP745" s="487"/>
      <c r="BQQ745" s="487"/>
      <c r="BQR745" s="487"/>
      <c r="BQS745" s="487"/>
      <c r="BQT745" s="487"/>
      <c r="BQU745" s="487"/>
      <c r="BQV745" s="487"/>
      <c r="BQW745" s="487"/>
      <c r="BQX745" s="487"/>
      <c r="BQY745" s="487"/>
      <c r="BQZ745" s="487"/>
      <c r="BRA745" s="487"/>
      <c r="BRB745" s="487"/>
      <c r="BRC745" s="487"/>
      <c r="BRD745" s="487"/>
      <c r="BRE745" s="487"/>
      <c r="BRF745" s="487"/>
      <c r="BRG745" s="487"/>
      <c r="BRH745" s="487"/>
      <c r="BRI745" s="487"/>
      <c r="BRJ745" s="487"/>
      <c r="BRK745" s="487"/>
      <c r="BRL745" s="487"/>
      <c r="BRM745" s="487"/>
      <c r="BRN745" s="487"/>
      <c r="BRO745" s="487"/>
      <c r="BRP745" s="487"/>
      <c r="BRQ745" s="487"/>
      <c r="BRR745" s="487"/>
      <c r="BRS745" s="487"/>
      <c r="BRT745" s="487"/>
      <c r="BRU745" s="487"/>
      <c r="BRV745" s="487"/>
      <c r="BRW745" s="487"/>
      <c r="BRX745" s="487"/>
      <c r="BRY745" s="487"/>
      <c r="BRZ745" s="487"/>
      <c r="BSA745" s="487"/>
      <c r="BSB745" s="487"/>
      <c r="BSC745" s="487"/>
      <c r="BSD745" s="487"/>
      <c r="BSE745" s="487"/>
      <c r="BSF745" s="487"/>
      <c r="BSG745" s="487"/>
      <c r="BSH745" s="487"/>
      <c r="BSI745" s="487"/>
      <c r="BSJ745" s="487"/>
      <c r="BSK745" s="487"/>
      <c r="BSL745" s="487"/>
      <c r="BSM745" s="487"/>
      <c r="BSN745" s="487"/>
      <c r="BSO745" s="487"/>
      <c r="BSP745" s="487"/>
      <c r="BSQ745" s="487"/>
      <c r="BSR745" s="487"/>
      <c r="BSS745" s="487"/>
      <c r="BST745" s="487"/>
      <c r="BSU745" s="487"/>
      <c r="BSV745" s="487"/>
      <c r="BSW745" s="487"/>
      <c r="BSX745" s="487"/>
      <c r="BSY745" s="487"/>
      <c r="BSZ745" s="487"/>
      <c r="BTA745" s="487"/>
      <c r="BTB745" s="487"/>
      <c r="BTC745" s="487"/>
      <c r="BTD745" s="487"/>
      <c r="BTE745" s="487"/>
      <c r="BTF745" s="487"/>
      <c r="BTG745" s="487"/>
      <c r="BTH745" s="487"/>
      <c r="BTI745" s="487"/>
      <c r="BTJ745" s="487"/>
      <c r="BTK745" s="487"/>
      <c r="BTL745" s="487"/>
      <c r="BTM745" s="487"/>
      <c r="BTN745" s="487"/>
      <c r="BTO745" s="487"/>
      <c r="BTP745" s="487"/>
      <c r="BTQ745" s="487"/>
      <c r="BTR745" s="487"/>
      <c r="BTS745" s="487"/>
      <c r="BTT745" s="487"/>
      <c r="BTU745" s="487"/>
      <c r="BTV745" s="487"/>
      <c r="BTW745" s="487"/>
      <c r="BTX745" s="487"/>
      <c r="BTY745" s="487"/>
      <c r="BTZ745" s="487"/>
      <c r="BUA745" s="487"/>
      <c r="BUB745" s="487"/>
      <c r="BUC745" s="487"/>
      <c r="BUD745" s="487"/>
      <c r="BUE745" s="487"/>
      <c r="BUF745" s="487"/>
      <c r="BUG745" s="487"/>
      <c r="BUH745" s="487"/>
      <c r="BUI745" s="487"/>
      <c r="BUJ745" s="487"/>
      <c r="BUK745" s="487"/>
      <c r="BUL745" s="487"/>
      <c r="BUM745" s="487"/>
      <c r="BUN745" s="487"/>
      <c r="BUO745" s="487"/>
      <c r="BUP745" s="487"/>
      <c r="BUQ745" s="487"/>
      <c r="BUR745" s="487"/>
      <c r="BUS745" s="487"/>
      <c r="BUT745" s="487"/>
      <c r="BUU745" s="487"/>
      <c r="BUV745" s="487"/>
      <c r="BUW745" s="487"/>
      <c r="BUX745" s="487"/>
      <c r="BUY745" s="487"/>
      <c r="BUZ745" s="487"/>
      <c r="BVA745" s="487"/>
      <c r="BVB745" s="487"/>
      <c r="BVC745" s="487"/>
      <c r="BVD745" s="487"/>
      <c r="BVE745" s="487"/>
      <c r="BVF745" s="487"/>
      <c r="BVG745" s="487"/>
      <c r="BVH745" s="487"/>
      <c r="BVI745" s="487"/>
      <c r="BVJ745" s="487"/>
      <c r="BVK745" s="487"/>
      <c r="BVL745" s="487"/>
      <c r="BVM745" s="487"/>
      <c r="BVN745" s="487"/>
      <c r="BVO745" s="487"/>
      <c r="BVP745" s="487"/>
      <c r="BVQ745" s="487"/>
      <c r="BVR745" s="487"/>
      <c r="BVS745" s="487"/>
      <c r="BVT745" s="487"/>
      <c r="BVU745" s="487"/>
      <c r="BVV745" s="487"/>
      <c r="BVW745" s="487"/>
      <c r="BVX745" s="487"/>
      <c r="BVY745" s="487"/>
      <c r="BVZ745" s="487"/>
      <c r="BWA745" s="487"/>
      <c r="BWB745" s="487"/>
      <c r="BWC745" s="487"/>
      <c r="BWD745" s="487"/>
      <c r="BWE745" s="487"/>
      <c r="BWF745" s="487"/>
      <c r="BWG745" s="487"/>
      <c r="BWH745" s="487"/>
      <c r="BWI745" s="487"/>
      <c r="BWJ745" s="487"/>
      <c r="BWK745" s="487"/>
      <c r="BWL745" s="487"/>
      <c r="BWM745" s="487"/>
      <c r="BWN745" s="487"/>
      <c r="BWO745" s="487"/>
      <c r="BWP745" s="487"/>
      <c r="BWQ745" s="487"/>
      <c r="BWR745" s="487"/>
      <c r="BWS745" s="487"/>
      <c r="BWT745" s="487"/>
      <c r="BWU745" s="487"/>
      <c r="BWV745" s="487"/>
      <c r="BWW745" s="487"/>
      <c r="BWX745" s="487"/>
      <c r="BWY745" s="487"/>
      <c r="BWZ745" s="487"/>
      <c r="BXA745" s="487"/>
      <c r="BXB745" s="487"/>
      <c r="BXC745" s="487"/>
      <c r="BXD745" s="487"/>
      <c r="BXE745" s="487"/>
      <c r="BXF745" s="487"/>
      <c r="BXG745" s="487"/>
      <c r="BXH745" s="487"/>
      <c r="BXI745" s="487"/>
      <c r="BXJ745" s="487"/>
      <c r="BXK745" s="487"/>
      <c r="BXL745" s="487"/>
      <c r="BXM745" s="487"/>
      <c r="BXN745" s="487"/>
      <c r="BXO745" s="487"/>
      <c r="BXP745" s="487"/>
      <c r="BXQ745" s="487"/>
      <c r="BXR745" s="487"/>
      <c r="BXS745" s="487"/>
      <c r="BXT745" s="487"/>
      <c r="BXU745" s="487"/>
      <c r="BXV745" s="487"/>
      <c r="BXW745" s="487"/>
      <c r="BXX745" s="487"/>
      <c r="BXY745" s="487"/>
      <c r="BXZ745" s="487"/>
      <c r="BYA745" s="487"/>
      <c r="BYB745" s="487"/>
      <c r="BYC745" s="487"/>
      <c r="BYD745" s="487"/>
      <c r="BYE745" s="487"/>
      <c r="BYF745" s="487"/>
      <c r="BYG745" s="487"/>
      <c r="BYH745" s="487"/>
      <c r="BYI745" s="487"/>
      <c r="BYJ745" s="487"/>
      <c r="BYK745" s="487"/>
      <c r="BYL745" s="487"/>
      <c r="BYM745" s="487"/>
      <c r="BYN745" s="487"/>
      <c r="BYO745" s="487"/>
      <c r="BYP745" s="487"/>
      <c r="BYQ745" s="487"/>
      <c r="BYR745" s="487"/>
      <c r="BYS745" s="487"/>
      <c r="BYT745" s="487"/>
      <c r="BYU745" s="487"/>
      <c r="BYV745" s="487"/>
      <c r="BYW745" s="487"/>
      <c r="BYX745" s="487"/>
      <c r="BYY745" s="487"/>
      <c r="BYZ745" s="487"/>
      <c r="BZA745" s="487"/>
      <c r="BZB745" s="487"/>
      <c r="BZC745" s="487"/>
      <c r="BZD745" s="487"/>
      <c r="BZE745" s="487"/>
      <c r="BZF745" s="487"/>
      <c r="BZG745" s="487"/>
      <c r="BZH745" s="487"/>
      <c r="BZI745" s="487"/>
      <c r="BZJ745" s="487"/>
      <c r="BZK745" s="487"/>
      <c r="BZL745" s="487"/>
      <c r="BZM745" s="487"/>
      <c r="BZN745" s="487"/>
      <c r="BZO745" s="487"/>
      <c r="BZP745" s="487"/>
      <c r="BZQ745" s="487"/>
      <c r="BZR745" s="487"/>
      <c r="BZS745" s="487"/>
      <c r="BZT745" s="487"/>
      <c r="BZU745" s="487"/>
      <c r="BZV745" s="487"/>
      <c r="BZW745" s="487"/>
      <c r="BZX745" s="487"/>
      <c r="BZY745" s="487"/>
      <c r="BZZ745" s="487"/>
      <c r="CAA745" s="487"/>
      <c r="CAB745" s="487"/>
      <c r="CAC745" s="487"/>
      <c r="CAD745" s="487"/>
      <c r="CAE745" s="487"/>
      <c r="CAF745" s="487"/>
      <c r="CAG745" s="487"/>
      <c r="CAH745" s="487"/>
      <c r="CAI745" s="487"/>
      <c r="CAJ745" s="487"/>
      <c r="CAK745" s="487"/>
      <c r="CAL745" s="487"/>
      <c r="CAM745" s="487"/>
      <c r="CAN745" s="487"/>
      <c r="CAO745" s="487"/>
      <c r="CAP745" s="487"/>
      <c r="CAQ745" s="487"/>
      <c r="CAR745" s="487"/>
      <c r="CAS745" s="487"/>
      <c r="CAT745" s="487"/>
      <c r="CAU745" s="487"/>
      <c r="CAV745" s="487"/>
      <c r="CAW745" s="487"/>
      <c r="CAX745" s="487"/>
      <c r="CAY745" s="487"/>
      <c r="CAZ745" s="487"/>
      <c r="CBA745" s="487"/>
      <c r="CBB745" s="487"/>
      <c r="CBC745" s="487"/>
      <c r="CBD745" s="487"/>
      <c r="CBE745" s="487"/>
      <c r="CBF745" s="487"/>
      <c r="CBG745" s="487"/>
      <c r="CBH745" s="487"/>
      <c r="CBI745" s="487"/>
      <c r="CBJ745" s="487"/>
      <c r="CBK745" s="487"/>
      <c r="CBL745" s="487"/>
      <c r="CBM745" s="487"/>
      <c r="CBN745" s="487"/>
      <c r="CBO745" s="487"/>
      <c r="CBP745" s="487"/>
      <c r="CBQ745" s="487"/>
      <c r="CBR745" s="487"/>
      <c r="CBS745" s="487"/>
      <c r="CBT745" s="487"/>
      <c r="CBU745" s="487"/>
      <c r="CBV745" s="487"/>
      <c r="CBW745" s="487"/>
      <c r="CBX745" s="487"/>
      <c r="CBY745" s="487"/>
      <c r="CBZ745" s="487"/>
      <c r="CCA745" s="487"/>
      <c r="CCB745" s="487"/>
      <c r="CCC745" s="487"/>
      <c r="CCD745" s="487"/>
      <c r="CCE745" s="487"/>
      <c r="CCF745" s="487"/>
      <c r="CCG745" s="487"/>
      <c r="CCH745" s="487"/>
      <c r="CCI745" s="487"/>
      <c r="CCJ745" s="487"/>
      <c r="CCK745" s="487"/>
      <c r="CCL745" s="487"/>
      <c r="CCM745" s="487"/>
      <c r="CCN745" s="487"/>
      <c r="CCO745" s="487"/>
      <c r="CCP745" s="487"/>
      <c r="CCQ745" s="487"/>
      <c r="CCR745" s="487"/>
      <c r="CCS745" s="487"/>
      <c r="CCT745" s="487"/>
      <c r="CCU745" s="487"/>
      <c r="CCV745" s="487"/>
      <c r="CCW745" s="487"/>
      <c r="CCX745" s="487"/>
      <c r="CCY745" s="487"/>
      <c r="CCZ745" s="487"/>
      <c r="CDA745" s="487"/>
      <c r="CDB745" s="487"/>
      <c r="CDC745" s="487"/>
      <c r="CDD745" s="487"/>
      <c r="CDE745" s="487"/>
      <c r="CDF745" s="487"/>
      <c r="CDG745" s="487"/>
      <c r="CDH745" s="487"/>
      <c r="CDI745" s="487"/>
      <c r="CDJ745" s="487"/>
      <c r="CDK745" s="487"/>
      <c r="CDL745" s="487"/>
      <c r="CDM745" s="487"/>
      <c r="CDN745" s="487"/>
      <c r="CDO745" s="487"/>
      <c r="CDP745" s="487"/>
      <c r="CDQ745" s="487"/>
      <c r="CDR745" s="487"/>
      <c r="CDS745" s="487"/>
      <c r="CDT745" s="487"/>
      <c r="CDU745" s="487"/>
      <c r="CDV745" s="487"/>
      <c r="CDW745" s="487"/>
      <c r="CDX745" s="487"/>
      <c r="CDY745" s="487"/>
      <c r="CDZ745" s="487"/>
      <c r="CEA745" s="487"/>
      <c r="CEB745" s="487"/>
      <c r="CEC745" s="487"/>
      <c r="CED745" s="487"/>
      <c r="CEE745" s="487"/>
      <c r="CEF745" s="487"/>
      <c r="CEG745" s="487"/>
      <c r="CEH745" s="487"/>
      <c r="CEI745" s="487"/>
      <c r="CEJ745" s="487"/>
      <c r="CEK745" s="487"/>
      <c r="CEL745" s="487"/>
      <c r="CEM745" s="487"/>
      <c r="CEN745" s="487"/>
      <c r="CEO745" s="487"/>
      <c r="CEP745" s="487"/>
      <c r="CEQ745" s="487"/>
      <c r="CER745" s="487"/>
      <c r="CES745" s="487"/>
      <c r="CET745" s="487"/>
      <c r="CEU745" s="487"/>
      <c r="CEV745" s="487"/>
      <c r="CEW745" s="487"/>
      <c r="CEX745" s="487"/>
      <c r="CEY745" s="487"/>
      <c r="CEZ745" s="487"/>
      <c r="CFA745" s="487"/>
      <c r="CFB745" s="487"/>
      <c r="CFC745" s="487"/>
      <c r="CFD745" s="487"/>
      <c r="CFE745" s="487"/>
      <c r="CFF745" s="487"/>
      <c r="CFG745" s="487"/>
      <c r="CFH745" s="487"/>
      <c r="CFI745" s="487"/>
      <c r="CFJ745" s="487"/>
      <c r="CFK745" s="487"/>
      <c r="CFL745" s="487"/>
      <c r="CFM745" s="487"/>
      <c r="CFN745" s="487"/>
      <c r="CFO745" s="487"/>
      <c r="CFP745" s="487"/>
      <c r="CFQ745" s="487"/>
      <c r="CFR745" s="487"/>
      <c r="CFS745" s="487"/>
      <c r="CFT745" s="487"/>
      <c r="CFU745" s="487"/>
      <c r="CFV745" s="487"/>
      <c r="CFW745" s="487"/>
      <c r="CFX745" s="487"/>
      <c r="CFY745" s="487"/>
      <c r="CFZ745" s="487"/>
      <c r="CGA745" s="487"/>
      <c r="CGB745" s="487"/>
      <c r="CGC745" s="487"/>
      <c r="CGD745" s="487"/>
      <c r="CGE745" s="487"/>
      <c r="CGF745" s="487"/>
      <c r="CGG745" s="487"/>
      <c r="CGH745" s="487"/>
      <c r="CGI745" s="487"/>
      <c r="CGJ745" s="487"/>
      <c r="CGK745" s="487"/>
      <c r="CGL745" s="487"/>
      <c r="CGM745" s="487"/>
      <c r="CGN745" s="487"/>
      <c r="CGO745" s="487"/>
      <c r="CGP745" s="487"/>
      <c r="CGQ745" s="487"/>
      <c r="CGR745" s="487"/>
      <c r="CGS745" s="487"/>
      <c r="CGT745" s="487"/>
      <c r="CGU745" s="487"/>
      <c r="CGV745" s="487"/>
      <c r="CGW745" s="487"/>
      <c r="CGX745" s="487"/>
      <c r="CGY745" s="487"/>
      <c r="CGZ745" s="487"/>
      <c r="CHA745" s="487"/>
      <c r="CHB745" s="487"/>
      <c r="CHC745" s="487"/>
      <c r="CHD745" s="487"/>
      <c r="CHE745" s="487"/>
      <c r="CHF745" s="487"/>
      <c r="CHG745" s="487"/>
      <c r="CHH745" s="487"/>
      <c r="CHI745" s="487"/>
      <c r="CHJ745" s="487"/>
      <c r="CHK745" s="487"/>
      <c r="CHL745" s="487"/>
      <c r="CHM745" s="487"/>
      <c r="CHN745" s="487"/>
      <c r="CHO745" s="487"/>
      <c r="CHP745" s="487"/>
      <c r="CHQ745" s="487"/>
      <c r="CHR745" s="487"/>
      <c r="CHS745" s="487"/>
      <c r="CHT745" s="487"/>
      <c r="CHU745" s="487"/>
      <c r="CHV745" s="487"/>
      <c r="CHW745" s="487"/>
      <c r="CHX745" s="487"/>
      <c r="CHY745" s="487"/>
      <c r="CHZ745" s="487"/>
      <c r="CIA745" s="487"/>
      <c r="CIB745" s="487"/>
      <c r="CIC745" s="487"/>
      <c r="CID745" s="487"/>
      <c r="CIE745" s="487"/>
      <c r="CIF745" s="487"/>
      <c r="CIG745" s="487"/>
      <c r="CIH745" s="487"/>
      <c r="CII745" s="487"/>
      <c r="CIJ745" s="487"/>
      <c r="CIK745" s="487"/>
      <c r="CIL745" s="487"/>
      <c r="CIM745" s="487"/>
      <c r="CIN745" s="487"/>
      <c r="CIO745" s="487"/>
      <c r="CIP745" s="487"/>
      <c r="CIQ745" s="487"/>
      <c r="CIR745" s="487"/>
      <c r="CIS745" s="487"/>
      <c r="CIT745" s="487"/>
      <c r="CIU745" s="487"/>
      <c r="CIV745" s="487"/>
      <c r="CIW745" s="487"/>
      <c r="CIX745" s="487"/>
      <c r="CIY745" s="487"/>
      <c r="CIZ745" s="487"/>
      <c r="CJA745" s="487"/>
      <c r="CJB745" s="487"/>
      <c r="CJC745" s="487"/>
      <c r="CJD745" s="487"/>
      <c r="CJE745" s="487"/>
      <c r="CJF745" s="487"/>
      <c r="CJG745" s="487"/>
      <c r="CJH745" s="487"/>
      <c r="CJI745" s="487"/>
      <c r="CJJ745" s="487"/>
      <c r="CJK745" s="487"/>
      <c r="CJL745" s="487"/>
      <c r="CJM745" s="487"/>
      <c r="CJN745" s="487"/>
      <c r="CJO745" s="487"/>
      <c r="CJP745" s="487"/>
      <c r="CJQ745" s="487"/>
      <c r="CJR745" s="487"/>
      <c r="CJS745" s="487"/>
      <c r="CJT745" s="487"/>
      <c r="CJU745" s="487"/>
      <c r="CJV745" s="487"/>
      <c r="CJW745" s="487"/>
      <c r="CJX745" s="487"/>
      <c r="CJY745" s="487"/>
      <c r="CJZ745" s="487"/>
      <c r="CKA745" s="487"/>
      <c r="CKB745" s="487"/>
      <c r="CKC745" s="487"/>
      <c r="CKD745" s="487"/>
      <c r="CKE745" s="487"/>
      <c r="CKF745" s="487"/>
      <c r="CKG745" s="487"/>
      <c r="CKH745" s="487"/>
      <c r="CKI745" s="487"/>
      <c r="CKJ745" s="487"/>
      <c r="CKK745" s="487"/>
      <c r="CKL745" s="487"/>
      <c r="CKM745" s="487"/>
      <c r="CKN745" s="487"/>
      <c r="CKO745" s="487"/>
      <c r="CKP745" s="487"/>
      <c r="CKQ745" s="487"/>
      <c r="CKR745" s="487"/>
      <c r="CKS745" s="487"/>
      <c r="CKT745" s="487"/>
      <c r="CKU745" s="487"/>
      <c r="CKV745" s="487"/>
      <c r="CKW745" s="487"/>
      <c r="CKX745" s="487"/>
      <c r="CKY745" s="487"/>
      <c r="CKZ745" s="487"/>
      <c r="CLA745" s="487"/>
      <c r="CLB745" s="487"/>
      <c r="CLC745" s="487"/>
      <c r="CLD745" s="487"/>
      <c r="CLE745" s="487"/>
      <c r="CLF745" s="487"/>
      <c r="CLG745" s="487"/>
      <c r="CLH745" s="487"/>
      <c r="CLI745" s="487"/>
      <c r="CLJ745" s="487"/>
      <c r="CLK745" s="487"/>
      <c r="CLL745" s="487"/>
      <c r="CLM745" s="487"/>
      <c r="CLN745" s="487"/>
      <c r="CLO745" s="487"/>
      <c r="CLP745" s="487"/>
      <c r="CLQ745" s="487"/>
      <c r="CLR745" s="487"/>
      <c r="CLS745" s="487"/>
      <c r="CLT745" s="487"/>
      <c r="CLU745" s="487"/>
      <c r="CLV745" s="487"/>
      <c r="CLW745" s="487"/>
      <c r="CLX745" s="487"/>
      <c r="CLY745" s="487"/>
      <c r="CLZ745" s="487"/>
      <c r="CMA745" s="487"/>
      <c r="CMB745" s="487"/>
      <c r="CMC745" s="487"/>
      <c r="CMD745" s="487"/>
      <c r="CME745" s="487"/>
      <c r="CMF745" s="487"/>
      <c r="CMG745" s="487"/>
      <c r="CMH745" s="487"/>
      <c r="CMI745" s="487"/>
      <c r="CMJ745" s="487"/>
      <c r="CMK745" s="487"/>
      <c r="CML745" s="487"/>
      <c r="CMM745" s="487"/>
      <c r="CMN745" s="487"/>
      <c r="CMO745" s="487"/>
      <c r="CMP745" s="487"/>
      <c r="CMQ745" s="487"/>
      <c r="CMR745" s="487"/>
      <c r="CMS745" s="487"/>
      <c r="CMT745" s="487"/>
      <c r="CMU745" s="487"/>
      <c r="CMV745" s="487"/>
      <c r="CMW745" s="487"/>
      <c r="CMX745" s="487"/>
      <c r="CMY745" s="487"/>
      <c r="CMZ745" s="487"/>
      <c r="CNA745" s="487"/>
      <c r="CNB745" s="487"/>
      <c r="CNC745" s="487"/>
      <c r="CND745" s="487"/>
      <c r="CNE745" s="487"/>
      <c r="CNF745" s="487"/>
      <c r="CNG745" s="487"/>
      <c r="CNH745" s="487"/>
      <c r="CNI745" s="487"/>
      <c r="CNJ745" s="487"/>
      <c r="CNK745" s="487"/>
      <c r="CNL745" s="487"/>
      <c r="CNM745" s="487"/>
      <c r="CNN745" s="487"/>
      <c r="CNO745" s="487"/>
      <c r="CNP745" s="487"/>
      <c r="CNQ745" s="487"/>
      <c r="CNR745" s="487"/>
      <c r="CNS745" s="487"/>
      <c r="CNT745" s="487"/>
      <c r="CNU745" s="487"/>
      <c r="CNV745" s="487"/>
      <c r="CNW745" s="487"/>
      <c r="CNX745" s="487"/>
      <c r="CNY745" s="487"/>
      <c r="CNZ745" s="487"/>
      <c r="COA745" s="487"/>
      <c r="COB745" s="487"/>
      <c r="COC745" s="487"/>
      <c r="COD745" s="487"/>
      <c r="COE745" s="487"/>
      <c r="COF745" s="487"/>
      <c r="COG745" s="487"/>
      <c r="COH745" s="487"/>
      <c r="COI745" s="487"/>
      <c r="COJ745" s="487"/>
      <c r="COK745" s="487"/>
      <c r="COL745" s="487"/>
      <c r="COM745" s="487"/>
      <c r="CON745" s="487"/>
      <c r="COO745" s="487"/>
      <c r="COP745" s="487"/>
      <c r="COQ745" s="487"/>
      <c r="COR745" s="487"/>
      <c r="COS745" s="487"/>
      <c r="COT745" s="487"/>
      <c r="COU745" s="487"/>
      <c r="COV745" s="487"/>
      <c r="COW745" s="487"/>
      <c r="COX745" s="487"/>
      <c r="COY745" s="487"/>
      <c r="COZ745" s="487"/>
      <c r="CPA745" s="487"/>
      <c r="CPB745" s="487"/>
      <c r="CPC745" s="487"/>
      <c r="CPD745" s="487"/>
      <c r="CPE745" s="487"/>
      <c r="CPF745" s="487"/>
      <c r="CPG745" s="487"/>
      <c r="CPH745" s="487"/>
      <c r="CPI745" s="487"/>
      <c r="CPJ745" s="487"/>
      <c r="CPK745" s="487"/>
      <c r="CPL745" s="487"/>
      <c r="CPM745" s="487"/>
      <c r="CPN745" s="487"/>
      <c r="CPO745" s="487"/>
      <c r="CPP745" s="487"/>
      <c r="CPQ745" s="487"/>
      <c r="CPR745" s="487"/>
      <c r="CPS745" s="487"/>
      <c r="CPT745" s="487"/>
      <c r="CPU745" s="487"/>
      <c r="CPV745" s="487"/>
      <c r="CPW745" s="487"/>
      <c r="CPX745" s="487"/>
      <c r="CPY745" s="487"/>
      <c r="CPZ745" s="487"/>
      <c r="CQA745" s="487"/>
      <c r="CQB745" s="487"/>
      <c r="CQC745" s="487"/>
      <c r="CQD745" s="487"/>
      <c r="CQE745" s="487"/>
      <c r="CQF745" s="487"/>
      <c r="CQG745" s="487"/>
      <c r="CQH745" s="487"/>
      <c r="CQI745" s="487"/>
      <c r="CQJ745" s="487"/>
      <c r="CQK745" s="487"/>
      <c r="CQL745" s="487"/>
      <c r="CQM745" s="487"/>
      <c r="CQN745" s="487"/>
      <c r="CQO745" s="487"/>
      <c r="CQP745" s="487"/>
      <c r="CQQ745" s="487"/>
      <c r="CQR745" s="487"/>
      <c r="CQS745" s="487"/>
      <c r="CQT745" s="487"/>
      <c r="CQU745" s="487"/>
      <c r="CQV745" s="487"/>
      <c r="CQW745" s="487"/>
      <c r="CQX745" s="487"/>
      <c r="CQY745" s="487"/>
      <c r="CQZ745" s="487"/>
      <c r="CRA745" s="487"/>
      <c r="CRB745" s="487"/>
      <c r="CRC745" s="487"/>
      <c r="CRD745" s="487"/>
      <c r="CRE745" s="487"/>
      <c r="CRF745" s="487"/>
      <c r="CRG745" s="487"/>
      <c r="CRH745" s="487"/>
      <c r="CRI745" s="487"/>
      <c r="CRJ745" s="487"/>
      <c r="CRK745" s="487"/>
      <c r="CRL745" s="487"/>
      <c r="CRM745" s="487"/>
      <c r="CRN745" s="487"/>
      <c r="CRO745" s="487"/>
      <c r="CRP745" s="487"/>
      <c r="CRQ745" s="487"/>
      <c r="CRR745" s="487"/>
      <c r="CRS745" s="487"/>
      <c r="CRT745" s="487"/>
      <c r="CRU745" s="487"/>
      <c r="CRV745" s="487"/>
      <c r="CRW745" s="487"/>
      <c r="CRX745" s="487"/>
      <c r="CRY745" s="487"/>
      <c r="CRZ745" s="487"/>
      <c r="CSA745" s="487"/>
      <c r="CSB745" s="487"/>
      <c r="CSC745" s="487"/>
      <c r="CSD745" s="487"/>
      <c r="CSE745" s="487"/>
      <c r="CSF745" s="487"/>
      <c r="CSG745" s="487"/>
      <c r="CSH745" s="487"/>
      <c r="CSI745" s="487"/>
      <c r="CSJ745" s="487"/>
      <c r="CSK745" s="487"/>
      <c r="CSL745" s="487"/>
      <c r="CSM745" s="487"/>
      <c r="CSN745" s="487"/>
      <c r="CSO745" s="487"/>
      <c r="CSP745" s="487"/>
      <c r="CSQ745" s="487"/>
      <c r="CSR745" s="487"/>
      <c r="CSS745" s="487"/>
      <c r="CST745" s="487"/>
      <c r="CSU745" s="487"/>
      <c r="CSV745" s="487"/>
      <c r="CSW745" s="487"/>
      <c r="CSX745" s="487"/>
      <c r="CSY745" s="487"/>
      <c r="CSZ745" s="487"/>
      <c r="CTA745" s="487"/>
      <c r="CTB745" s="487"/>
      <c r="CTC745" s="487"/>
      <c r="CTD745" s="487"/>
      <c r="CTE745" s="487"/>
      <c r="CTF745" s="487"/>
      <c r="CTG745" s="487"/>
      <c r="CTH745" s="487"/>
      <c r="CTI745" s="487"/>
      <c r="CTJ745" s="487"/>
      <c r="CTK745" s="487"/>
      <c r="CTL745" s="487"/>
      <c r="CTM745" s="487"/>
      <c r="CTN745" s="487"/>
      <c r="CTO745" s="487"/>
      <c r="CTP745" s="487"/>
      <c r="CTQ745" s="487"/>
      <c r="CTR745" s="487"/>
      <c r="CTS745" s="487"/>
      <c r="CTT745" s="487"/>
      <c r="CTU745" s="487"/>
      <c r="CTV745" s="487"/>
      <c r="CTW745" s="487"/>
      <c r="CTX745" s="487"/>
      <c r="CTY745" s="487"/>
      <c r="CTZ745" s="487"/>
      <c r="CUA745" s="487"/>
      <c r="CUB745" s="487"/>
      <c r="CUC745" s="487"/>
      <c r="CUD745" s="487"/>
      <c r="CUE745" s="487"/>
      <c r="CUF745" s="487"/>
      <c r="CUG745" s="487"/>
      <c r="CUH745" s="487"/>
      <c r="CUI745" s="487"/>
      <c r="CUJ745" s="487"/>
      <c r="CUK745" s="487"/>
      <c r="CUL745" s="487"/>
      <c r="CUM745" s="487"/>
      <c r="CUN745" s="487"/>
      <c r="CUO745" s="487"/>
      <c r="CUP745" s="487"/>
      <c r="CUQ745" s="487"/>
      <c r="CUR745" s="487"/>
      <c r="CUS745" s="487"/>
      <c r="CUT745" s="487"/>
      <c r="CUU745" s="487"/>
      <c r="CUV745" s="487"/>
      <c r="CUW745" s="487"/>
      <c r="CUX745" s="487"/>
      <c r="CUY745" s="487"/>
      <c r="CUZ745" s="487"/>
      <c r="CVA745" s="487"/>
      <c r="CVB745" s="487"/>
      <c r="CVC745" s="487"/>
      <c r="CVD745" s="487"/>
      <c r="CVE745" s="487"/>
      <c r="CVF745" s="487"/>
      <c r="CVG745" s="487"/>
      <c r="CVH745" s="487"/>
      <c r="CVI745" s="487"/>
      <c r="CVJ745" s="487"/>
      <c r="CVK745" s="487"/>
      <c r="CVL745" s="487"/>
      <c r="CVM745" s="487"/>
      <c r="CVN745" s="487"/>
      <c r="CVO745" s="487"/>
      <c r="CVP745" s="487"/>
      <c r="CVQ745" s="487"/>
      <c r="CVR745" s="487"/>
      <c r="CVS745" s="487"/>
      <c r="CVT745" s="487"/>
      <c r="CVU745" s="487"/>
      <c r="CVV745" s="487"/>
      <c r="CVW745" s="487"/>
      <c r="CVX745" s="487"/>
      <c r="CVY745" s="487"/>
      <c r="CVZ745" s="487"/>
      <c r="CWA745" s="487"/>
      <c r="CWB745" s="487"/>
      <c r="CWC745" s="487"/>
      <c r="CWD745" s="487"/>
      <c r="CWE745" s="487"/>
      <c r="CWF745" s="487"/>
      <c r="CWG745" s="487"/>
      <c r="CWH745" s="487"/>
      <c r="CWI745" s="487"/>
      <c r="CWJ745" s="487"/>
      <c r="CWK745" s="487"/>
      <c r="CWL745" s="487"/>
      <c r="CWM745" s="487"/>
      <c r="CWN745" s="487"/>
      <c r="CWO745" s="487"/>
      <c r="CWP745" s="487"/>
      <c r="CWQ745" s="487"/>
      <c r="CWR745" s="487"/>
      <c r="CWS745" s="487"/>
      <c r="CWT745" s="487"/>
      <c r="CWU745" s="487"/>
      <c r="CWV745" s="487"/>
      <c r="CWW745" s="487"/>
      <c r="CWX745" s="487"/>
      <c r="CWY745" s="487"/>
      <c r="CWZ745" s="487"/>
      <c r="CXA745" s="487"/>
      <c r="CXB745" s="487"/>
      <c r="CXC745" s="487"/>
      <c r="CXD745" s="487"/>
      <c r="CXE745" s="487"/>
      <c r="CXF745" s="487"/>
      <c r="CXG745" s="487"/>
      <c r="CXH745" s="487"/>
      <c r="CXI745" s="487"/>
      <c r="CXJ745" s="487"/>
      <c r="CXK745" s="487"/>
      <c r="CXL745" s="487"/>
      <c r="CXM745" s="487"/>
      <c r="CXN745" s="487"/>
      <c r="CXO745" s="487"/>
      <c r="CXP745" s="487"/>
      <c r="CXQ745" s="487"/>
      <c r="CXR745" s="487"/>
      <c r="CXS745" s="487"/>
      <c r="CXT745" s="487"/>
      <c r="CXU745" s="487"/>
      <c r="CXV745" s="487"/>
      <c r="CXW745" s="487"/>
      <c r="CXX745" s="487"/>
      <c r="CXY745" s="487"/>
      <c r="CXZ745" s="487"/>
      <c r="CYA745" s="487"/>
      <c r="CYB745" s="487"/>
      <c r="CYC745" s="487"/>
      <c r="CYD745" s="487"/>
      <c r="CYE745" s="487"/>
      <c r="CYF745" s="487"/>
      <c r="CYG745" s="487"/>
      <c r="CYH745" s="487"/>
      <c r="CYI745" s="487"/>
      <c r="CYJ745" s="487"/>
      <c r="CYK745" s="487"/>
      <c r="CYL745" s="487"/>
      <c r="CYM745" s="487"/>
      <c r="CYN745" s="487"/>
      <c r="CYO745" s="487"/>
      <c r="CYP745" s="487"/>
      <c r="CYQ745" s="487"/>
      <c r="CYR745" s="487"/>
      <c r="CYS745" s="487"/>
      <c r="CYT745" s="487"/>
      <c r="CYU745" s="487"/>
      <c r="CYV745" s="487"/>
      <c r="CYW745" s="487"/>
      <c r="CYX745" s="487"/>
      <c r="CYY745" s="487"/>
      <c r="CYZ745" s="487"/>
      <c r="CZA745" s="487"/>
      <c r="CZB745" s="487"/>
      <c r="CZC745" s="487"/>
      <c r="CZD745" s="487"/>
      <c r="CZE745" s="487"/>
      <c r="CZF745" s="487"/>
      <c r="CZG745" s="487"/>
      <c r="CZH745" s="487"/>
      <c r="CZI745" s="487"/>
      <c r="CZJ745" s="487"/>
      <c r="CZK745" s="487"/>
      <c r="CZL745" s="487"/>
      <c r="CZM745" s="487"/>
      <c r="CZN745" s="487"/>
      <c r="CZO745" s="487"/>
      <c r="CZP745" s="487"/>
      <c r="CZQ745" s="487"/>
      <c r="CZR745" s="487"/>
      <c r="CZS745" s="487"/>
      <c r="CZT745" s="487"/>
      <c r="CZU745" s="487"/>
      <c r="CZV745" s="487"/>
      <c r="CZW745" s="487"/>
      <c r="CZX745" s="487"/>
      <c r="CZY745" s="487"/>
      <c r="CZZ745" s="487"/>
      <c r="DAA745" s="487"/>
      <c r="DAB745" s="487"/>
      <c r="DAC745" s="487"/>
      <c r="DAD745" s="487"/>
      <c r="DAE745" s="487"/>
      <c r="DAF745" s="487"/>
      <c r="DAG745" s="487"/>
      <c r="DAH745" s="487"/>
      <c r="DAI745" s="487"/>
      <c r="DAJ745" s="487"/>
      <c r="DAK745" s="487"/>
      <c r="DAL745" s="487"/>
      <c r="DAM745" s="487"/>
      <c r="DAN745" s="487"/>
      <c r="DAO745" s="487"/>
      <c r="DAP745" s="487"/>
      <c r="DAQ745" s="487"/>
      <c r="DAR745" s="487"/>
      <c r="DAS745" s="487"/>
      <c r="DAT745" s="487"/>
      <c r="DAU745" s="487"/>
      <c r="DAV745" s="487"/>
      <c r="DAW745" s="487"/>
      <c r="DAX745" s="487"/>
      <c r="DAY745" s="487"/>
      <c r="DAZ745" s="487"/>
      <c r="DBA745" s="487"/>
      <c r="DBB745" s="487"/>
      <c r="DBC745" s="487"/>
      <c r="DBD745" s="487"/>
      <c r="DBE745" s="487"/>
      <c r="DBF745" s="487"/>
      <c r="DBG745" s="487"/>
      <c r="DBH745" s="487"/>
      <c r="DBI745" s="487"/>
      <c r="DBJ745" s="487"/>
      <c r="DBK745" s="487"/>
      <c r="DBL745" s="487"/>
      <c r="DBM745" s="487"/>
      <c r="DBN745" s="487"/>
      <c r="DBO745" s="487"/>
      <c r="DBP745" s="487"/>
      <c r="DBQ745" s="487"/>
      <c r="DBR745" s="487"/>
      <c r="DBS745" s="487"/>
      <c r="DBT745" s="487"/>
      <c r="DBU745" s="487"/>
      <c r="DBV745" s="487"/>
      <c r="DBW745" s="487"/>
      <c r="DBX745" s="487"/>
      <c r="DBY745" s="487"/>
      <c r="DBZ745" s="487"/>
      <c r="DCA745" s="487"/>
      <c r="DCB745" s="487"/>
      <c r="DCC745" s="487"/>
      <c r="DCD745" s="487"/>
      <c r="DCE745" s="487"/>
      <c r="DCF745" s="487"/>
      <c r="DCG745" s="487"/>
      <c r="DCH745" s="487"/>
      <c r="DCI745" s="487"/>
      <c r="DCJ745" s="487"/>
      <c r="DCK745" s="487"/>
      <c r="DCL745" s="487"/>
      <c r="DCM745" s="487"/>
      <c r="DCN745" s="487"/>
      <c r="DCO745" s="487"/>
      <c r="DCP745" s="487"/>
      <c r="DCQ745" s="487"/>
      <c r="DCR745" s="487"/>
      <c r="DCS745" s="487"/>
      <c r="DCT745" s="487"/>
      <c r="DCU745" s="487"/>
      <c r="DCV745" s="487"/>
      <c r="DCW745" s="487"/>
      <c r="DCX745" s="487"/>
      <c r="DCY745" s="487"/>
      <c r="DCZ745" s="487"/>
      <c r="DDA745" s="487"/>
      <c r="DDB745" s="487"/>
      <c r="DDC745" s="487"/>
      <c r="DDD745" s="487"/>
      <c r="DDE745" s="487"/>
      <c r="DDF745" s="487"/>
      <c r="DDG745" s="487"/>
      <c r="DDH745" s="487"/>
      <c r="DDI745" s="487"/>
      <c r="DDJ745" s="487"/>
      <c r="DDK745" s="487"/>
      <c r="DDL745" s="487"/>
      <c r="DDM745" s="487"/>
      <c r="DDN745" s="487"/>
      <c r="DDO745" s="487"/>
      <c r="DDP745" s="487"/>
      <c r="DDQ745" s="487"/>
      <c r="DDR745" s="487"/>
      <c r="DDS745" s="487"/>
      <c r="DDT745" s="487"/>
      <c r="DDU745" s="487"/>
      <c r="DDV745" s="487"/>
      <c r="DDW745" s="487"/>
      <c r="DDX745" s="487"/>
      <c r="DDY745" s="487"/>
      <c r="DDZ745" s="487"/>
      <c r="DEA745" s="487"/>
      <c r="DEB745" s="487"/>
      <c r="DEC745" s="487"/>
      <c r="DED745" s="487"/>
      <c r="DEE745" s="487"/>
      <c r="DEF745" s="487"/>
      <c r="DEG745" s="487"/>
      <c r="DEH745" s="487"/>
      <c r="DEI745" s="487"/>
      <c r="DEJ745" s="487"/>
      <c r="DEK745" s="487"/>
      <c r="DEL745" s="487"/>
      <c r="DEM745" s="487"/>
      <c r="DEN745" s="487"/>
      <c r="DEO745" s="487"/>
      <c r="DEP745" s="487"/>
      <c r="DEQ745" s="487"/>
      <c r="DER745" s="487"/>
      <c r="DES745" s="487"/>
      <c r="DET745" s="487"/>
      <c r="DEU745" s="487"/>
      <c r="DEV745" s="487"/>
      <c r="DEW745" s="487"/>
      <c r="DEX745" s="487"/>
      <c r="DEY745" s="487"/>
      <c r="DEZ745" s="487"/>
      <c r="DFA745" s="487"/>
      <c r="DFB745" s="487"/>
      <c r="DFC745" s="487"/>
      <c r="DFD745" s="487"/>
      <c r="DFE745" s="487"/>
      <c r="DFF745" s="487"/>
      <c r="DFG745" s="487"/>
      <c r="DFH745" s="487"/>
      <c r="DFI745" s="487"/>
      <c r="DFJ745" s="487"/>
      <c r="DFK745" s="487"/>
      <c r="DFL745" s="487"/>
      <c r="DFM745" s="487"/>
      <c r="DFN745" s="487"/>
      <c r="DFO745" s="487"/>
      <c r="DFP745" s="487"/>
      <c r="DFQ745" s="487"/>
      <c r="DFR745" s="487"/>
      <c r="DFS745" s="487"/>
      <c r="DFT745" s="487"/>
      <c r="DFU745" s="487"/>
      <c r="DFV745" s="487"/>
      <c r="DFW745" s="487"/>
      <c r="DFX745" s="487"/>
      <c r="DFY745" s="487"/>
      <c r="DFZ745" s="487"/>
      <c r="DGA745" s="487"/>
      <c r="DGB745" s="487"/>
      <c r="DGC745" s="487"/>
      <c r="DGD745" s="487"/>
      <c r="DGE745" s="487"/>
      <c r="DGF745" s="487"/>
      <c r="DGG745" s="487"/>
      <c r="DGH745" s="487"/>
      <c r="DGI745" s="487"/>
      <c r="DGJ745" s="487"/>
      <c r="DGK745" s="487"/>
      <c r="DGL745" s="487"/>
      <c r="DGM745" s="487"/>
      <c r="DGN745" s="487"/>
      <c r="DGO745" s="487"/>
      <c r="DGP745" s="487"/>
      <c r="DGQ745" s="487"/>
      <c r="DGR745" s="487"/>
      <c r="DGS745" s="487"/>
      <c r="DGT745" s="487"/>
      <c r="DGU745" s="487"/>
      <c r="DGV745" s="487"/>
      <c r="DGW745" s="487"/>
      <c r="DGX745" s="487"/>
      <c r="DGY745" s="487"/>
      <c r="DGZ745" s="487"/>
      <c r="DHA745" s="487"/>
      <c r="DHB745" s="487"/>
      <c r="DHC745" s="487"/>
      <c r="DHD745" s="487"/>
      <c r="DHE745" s="487"/>
      <c r="DHF745" s="487"/>
      <c r="DHG745" s="487"/>
      <c r="DHH745" s="487"/>
      <c r="DHI745" s="487"/>
      <c r="DHJ745" s="487"/>
      <c r="DHK745" s="487"/>
      <c r="DHL745" s="487"/>
      <c r="DHM745" s="487"/>
      <c r="DHN745" s="487"/>
      <c r="DHO745" s="487"/>
      <c r="DHP745" s="487"/>
      <c r="DHQ745" s="487"/>
      <c r="DHR745" s="487"/>
      <c r="DHS745" s="487"/>
      <c r="DHT745" s="487"/>
      <c r="DHU745" s="487"/>
      <c r="DHV745" s="487"/>
      <c r="DHW745" s="487"/>
      <c r="DHX745" s="487"/>
      <c r="DHY745" s="487"/>
      <c r="DHZ745" s="487"/>
      <c r="DIA745" s="487"/>
      <c r="DIB745" s="487"/>
      <c r="DIC745" s="487"/>
      <c r="DID745" s="487"/>
      <c r="DIE745" s="487"/>
      <c r="DIF745" s="487"/>
      <c r="DIG745" s="487"/>
      <c r="DIH745" s="487"/>
      <c r="DII745" s="487"/>
      <c r="DIJ745" s="487"/>
      <c r="DIK745" s="487"/>
      <c r="DIL745" s="487"/>
      <c r="DIM745" s="487"/>
      <c r="DIN745" s="487"/>
      <c r="DIO745" s="487"/>
      <c r="DIP745" s="487"/>
      <c r="DIQ745" s="487"/>
      <c r="DIR745" s="487"/>
      <c r="DIS745" s="487"/>
      <c r="DIT745" s="487"/>
      <c r="DIU745" s="487"/>
      <c r="DIV745" s="487"/>
      <c r="DIW745" s="487"/>
      <c r="DIX745" s="487"/>
      <c r="DIY745" s="487"/>
      <c r="DIZ745" s="487"/>
      <c r="DJA745" s="487"/>
      <c r="DJB745" s="487"/>
      <c r="DJC745" s="487"/>
      <c r="DJD745" s="487"/>
      <c r="DJE745" s="487"/>
      <c r="DJF745" s="487"/>
      <c r="DJG745" s="487"/>
      <c r="DJH745" s="487"/>
      <c r="DJI745" s="487"/>
      <c r="DJJ745" s="487"/>
      <c r="DJK745" s="487"/>
      <c r="DJL745" s="487"/>
      <c r="DJM745" s="487"/>
      <c r="DJN745" s="487"/>
      <c r="DJO745" s="487"/>
      <c r="DJP745" s="487"/>
      <c r="DJQ745" s="487"/>
      <c r="DJR745" s="487"/>
      <c r="DJS745" s="487"/>
      <c r="DJT745" s="487"/>
      <c r="DJU745" s="487"/>
      <c r="DJV745" s="487"/>
      <c r="DJW745" s="487"/>
      <c r="DJX745" s="487"/>
      <c r="DJY745" s="487"/>
      <c r="DJZ745" s="487"/>
      <c r="DKA745" s="487"/>
      <c r="DKB745" s="487"/>
      <c r="DKC745" s="487"/>
      <c r="DKD745" s="487"/>
      <c r="DKE745" s="487"/>
      <c r="DKF745" s="487"/>
      <c r="DKG745" s="487"/>
      <c r="DKH745" s="487"/>
      <c r="DKI745" s="487"/>
      <c r="DKJ745" s="487"/>
      <c r="DKK745" s="487"/>
      <c r="DKL745" s="487"/>
      <c r="DKM745" s="487"/>
      <c r="DKN745" s="487"/>
      <c r="DKO745" s="487"/>
      <c r="DKP745" s="487"/>
      <c r="DKQ745" s="487"/>
      <c r="DKR745" s="487"/>
      <c r="DKS745" s="487"/>
      <c r="DKT745" s="487"/>
      <c r="DKU745" s="487"/>
      <c r="DKV745" s="487"/>
      <c r="DKW745" s="487"/>
      <c r="DKX745" s="487"/>
      <c r="DKY745" s="487"/>
      <c r="DKZ745" s="487"/>
      <c r="DLA745" s="487"/>
      <c r="DLB745" s="487"/>
      <c r="DLC745" s="487"/>
      <c r="DLD745" s="487"/>
      <c r="DLE745" s="487"/>
      <c r="DLF745" s="487"/>
      <c r="DLG745" s="487"/>
      <c r="DLH745" s="487"/>
      <c r="DLI745" s="487"/>
      <c r="DLJ745" s="487"/>
      <c r="DLK745" s="487"/>
      <c r="DLL745" s="487"/>
      <c r="DLM745" s="487"/>
      <c r="DLN745" s="487"/>
      <c r="DLO745" s="487"/>
      <c r="DLP745" s="487"/>
      <c r="DLQ745" s="487"/>
      <c r="DLR745" s="487"/>
      <c r="DLS745" s="487"/>
      <c r="DLT745" s="487"/>
      <c r="DLU745" s="487"/>
      <c r="DLV745" s="487"/>
      <c r="DLW745" s="487"/>
      <c r="DLX745" s="487"/>
      <c r="DLY745" s="487"/>
      <c r="DLZ745" s="487"/>
      <c r="DMA745" s="487"/>
      <c r="DMB745" s="487"/>
      <c r="DMC745" s="487"/>
      <c r="DMD745" s="487"/>
      <c r="DME745" s="487"/>
      <c r="DMF745" s="487"/>
      <c r="DMG745" s="487"/>
      <c r="DMH745" s="487"/>
      <c r="DMI745" s="487"/>
      <c r="DMJ745" s="487"/>
      <c r="DMK745" s="487"/>
      <c r="DML745" s="487"/>
      <c r="DMM745" s="487"/>
      <c r="DMN745" s="487"/>
      <c r="DMO745" s="487"/>
      <c r="DMP745" s="487"/>
      <c r="DMQ745" s="487"/>
      <c r="DMR745" s="487"/>
      <c r="DMS745" s="487"/>
      <c r="DMT745" s="487"/>
      <c r="DMU745" s="487"/>
      <c r="DMV745" s="487"/>
      <c r="DMW745" s="487"/>
      <c r="DMX745" s="487"/>
      <c r="DMY745" s="487"/>
      <c r="DMZ745" s="487"/>
      <c r="DNA745" s="487"/>
      <c r="DNB745" s="487"/>
      <c r="DNC745" s="487"/>
      <c r="DND745" s="487"/>
      <c r="DNE745" s="487"/>
      <c r="DNF745" s="487"/>
      <c r="DNG745" s="487"/>
      <c r="DNH745" s="487"/>
      <c r="DNI745" s="487"/>
      <c r="DNJ745" s="487"/>
      <c r="DNK745" s="487"/>
      <c r="DNL745" s="487"/>
      <c r="DNM745" s="487"/>
      <c r="DNN745" s="487"/>
      <c r="DNO745" s="487"/>
      <c r="DNP745" s="487"/>
      <c r="DNQ745" s="487"/>
      <c r="DNR745" s="487"/>
      <c r="DNS745" s="487"/>
      <c r="DNT745" s="487"/>
      <c r="DNU745" s="487"/>
      <c r="DNV745" s="487"/>
      <c r="DNW745" s="487"/>
      <c r="DNX745" s="487"/>
      <c r="DNY745" s="487"/>
      <c r="DNZ745" s="487"/>
      <c r="DOA745" s="487"/>
      <c r="DOB745" s="487"/>
      <c r="DOC745" s="487"/>
      <c r="DOD745" s="487"/>
      <c r="DOE745" s="487"/>
      <c r="DOF745" s="487"/>
      <c r="DOG745" s="487"/>
      <c r="DOH745" s="487"/>
      <c r="DOI745" s="487"/>
      <c r="DOJ745" s="487"/>
      <c r="DOK745" s="487"/>
      <c r="DOL745" s="487"/>
      <c r="DOM745" s="487"/>
      <c r="DON745" s="487"/>
      <c r="DOO745" s="487"/>
      <c r="DOP745" s="487"/>
      <c r="DOQ745" s="487"/>
      <c r="DOR745" s="487"/>
      <c r="DOS745" s="487"/>
      <c r="DOT745" s="487"/>
      <c r="DOU745" s="487"/>
      <c r="DOV745" s="487"/>
      <c r="DOW745" s="487"/>
      <c r="DOX745" s="487"/>
      <c r="DOY745" s="487"/>
      <c r="DOZ745" s="487"/>
      <c r="DPA745" s="487"/>
      <c r="DPB745" s="487"/>
      <c r="DPC745" s="487"/>
      <c r="DPD745" s="487"/>
      <c r="DPE745" s="487"/>
      <c r="DPF745" s="487"/>
      <c r="DPG745" s="487"/>
      <c r="DPH745" s="487"/>
      <c r="DPI745" s="487"/>
      <c r="DPJ745" s="487"/>
      <c r="DPK745" s="487"/>
      <c r="DPL745" s="487"/>
      <c r="DPM745" s="487"/>
      <c r="DPN745" s="487"/>
      <c r="DPO745" s="487"/>
      <c r="DPP745" s="487"/>
      <c r="DPQ745" s="487"/>
      <c r="DPR745" s="487"/>
      <c r="DPS745" s="487"/>
      <c r="DPT745" s="487"/>
      <c r="DPU745" s="487"/>
      <c r="DPV745" s="487"/>
      <c r="DPW745" s="487"/>
      <c r="DPX745" s="487"/>
      <c r="DPY745" s="487"/>
      <c r="DPZ745" s="487"/>
      <c r="DQA745" s="487"/>
      <c r="DQB745" s="487"/>
      <c r="DQC745" s="487"/>
      <c r="DQD745" s="487"/>
      <c r="DQE745" s="487"/>
      <c r="DQF745" s="487"/>
      <c r="DQG745" s="487"/>
      <c r="DQH745" s="487"/>
      <c r="DQI745" s="487"/>
      <c r="DQJ745" s="487"/>
      <c r="DQK745" s="487"/>
      <c r="DQL745" s="487"/>
      <c r="DQM745" s="487"/>
      <c r="DQN745" s="487"/>
      <c r="DQO745" s="487"/>
      <c r="DQP745" s="487"/>
      <c r="DQQ745" s="487"/>
      <c r="DQR745" s="487"/>
      <c r="DQS745" s="487"/>
      <c r="DQT745" s="487"/>
      <c r="DQU745" s="487"/>
      <c r="DQV745" s="487"/>
      <c r="DQW745" s="487"/>
      <c r="DQX745" s="487"/>
      <c r="DQY745" s="487"/>
      <c r="DQZ745" s="487"/>
      <c r="DRA745" s="487"/>
      <c r="DRB745" s="487"/>
      <c r="DRC745" s="487"/>
      <c r="DRD745" s="487"/>
      <c r="DRE745" s="487"/>
      <c r="DRF745" s="487"/>
      <c r="DRG745" s="487"/>
      <c r="DRH745" s="487"/>
      <c r="DRI745" s="487"/>
      <c r="DRJ745" s="487"/>
      <c r="DRK745" s="487"/>
      <c r="DRL745" s="487"/>
      <c r="DRM745" s="487"/>
      <c r="DRN745" s="487"/>
      <c r="DRO745" s="487"/>
      <c r="DRP745" s="487"/>
      <c r="DRQ745" s="487"/>
      <c r="DRR745" s="487"/>
      <c r="DRS745" s="487"/>
      <c r="DRT745" s="487"/>
      <c r="DRU745" s="487"/>
      <c r="DRV745" s="487"/>
      <c r="DRW745" s="487"/>
      <c r="DRX745" s="487"/>
      <c r="DRY745" s="487"/>
      <c r="DRZ745" s="487"/>
      <c r="DSA745" s="487"/>
      <c r="DSB745" s="487"/>
      <c r="DSC745" s="487"/>
      <c r="DSD745" s="487"/>
      <c r="DSE745" s="487"/>
      <c r="DSF745" s="487"/>
      <c r="DSG745" s="487"/>
      <c r="DSH745" s="487"/>
      <c r="DSI745" s="487"/>
      <c r="DSJ745" s="487"/>
      <c r="DSK745" s="487"/>
      <c r="DSL745" s="487"/>
      <c r="DSM745" s="487"/>
      <c r="DSN745" s="487"/>
      <c r="DSO745" s="487"/>
      <c r="DSP745" s="487"/>
      <c r="DSQ745" s="487"/>
      <c r="DSR745" s="487"/>
      <c r="DSS745" s="487"/>
      <c r="DST745" s="487"/>
      <c r="DSU745" s="487"/>
      <c r="DSV745" s="487"/>
      <c r="DSW745" s="487"/>
      <c r="DSX745" s="487"/>
      <c r="DSY745" s="487"/>
      <c r="DSZ745" s="487"/>
      <c r="DTA745" s="487"/>
      <c r="DTB745" s="487"/>
      <c r="DTC745" s="487"/>
      <c r="DTD745" s="487"/>
      <c r="DTE745" s="487"/>
      <c r="DTF745" s="487"/>
      <c r="DTG745" s="487"/>
      <c r="DTH745" s="487"/>
      <c r="DTI745" s="487"/>
      <c r="DTJ745" s="487"/>
      <c r="DTK745" s="487"/>
      <c r="DTL745" s="487"/>
      <c r="DTM745" s="487"/>
      <c r="DTN745" s="487"/>
      <c r="DTO745" s="487"/>
      <c r="DTP745" s="487"/>
      <c r="DTQ745" s="487"/>
      <c r="DTR745" s="487"/>
      <c r="DTS745" s="487"/>
      <c r="DTT745" s="487"/>
      <c r="DTU745" s="487"/>
      <c r="DTV745" s="487"/>
      <c r="DTW745" s="487"/>
      <c r="DTX745" s="487"/>
      <c r="DTY745" s="487"/>
      <c r="DTZ745" s="487"/>
      <c r="DUA745" s="487"/>
      <c r="DUB745" s="487"/>
      <c r="DUC745" s="487"/>
      <c r="DUD745" s="487"/>
      <c r="DUE745" s="487"/>
      <c r="DUF745" s="487"/>
      <c r="DUG745" s="487"/>
      <c r="DUH745" s="487"/>
      <c r="DUI745" s="487"/>
      <c r="DUJ745" s="487"/>
      <c r="DUK745" s="487"/>
      <c r="DUL745" s="487"/>
      <c r="DUM745" s="487"/>
      <c r="DUN745" s="487"/>
      <c r="DUO745" s="487"/>
      <c r="DUP745" s="487"/>
      <c r="DUQ745" s="487"/>
      <c r="DUR745" s="487"/>
      <c r="DUS745" s="487"/>
      <c r="DUT745" s="487"/>
      <c r="DUU745" s="487"/>
      <c r="DUV745" s="487"/>
      <c r="DUW745" s="487"/>
      <c r="DUX745" s="487"/>
      <c r="DUY745" s="487"/>
      <c r="DUZ745" s="487"/>
      <c r="DVA745" s="487"/>
      <c r="DVB745" s="487"/>
      <c r="DVC745" s="487"/>
      <c r="DVD745" s="487"/>
      <c r="DVE745" s="487"/>
      <c r="DVF745" s="487"/>
      <c r="DVG745" s="487"/>
      <c r="DVH745" s="487"/>
      <c r="DVI745" s="487"/>
      <c r="DVJ745" s="487"/>
      <c r="DVK745" s="487"/>
      <c r="DVL745" s="487"/>
      <c r="DVM745" s="487"/>
      <c r="DVN745" s="487"/>
      <c r="DVO745" s="487"/>
      <c r="DVP745" s="487"/>
      <c r="DVQ745" s="487"/>
      <c r="DVR745" s="487"/>
      <c r="DVS745" s="487"/>
      <c r="DVT745" s="487"/>
      <c r="DVU745" s="487"/>
      <c r="DVV745" s="487"/>
      <c r="DVW745" s="487"/>
      <c r="DVX745" s="487"/>
      <c r="DVY745" s="487"/>
      <c r="DVZ745" s="487"/>
      <c r="DWA745" s="487"/>
      <c r="DWB745" s="487"/>
      <c r="DWC745" s="487"/>
      <c r="DWD745" s="487"/>
      <c r="DWE745" s="487"/>
      <c r="DWF745" s="487"/>
      <c r="DWG745" s="487"/>
      <c r="DWH745" s="487"/>
      <c r="DWI745" s="487"/>
      <c r="DWJ745" s="487"/>
      <c r="DWK745" s="487"/>
      <c r="DWL745" s="487"/>
      <c r="DWM745" s="487"/>
      <c r="DWN745" s="487"/>
      <c r="DWO745" s="487"/>
      <c r="DWP745" s="487"/>
      <c r="DWQ745" s="487"/>
      <c r="DWR745" s="487"/>
      <c r="DWS745" s="487"/>
      <c r="DWT745" s="487"/>
      <c r="DWU745" s="487"/>
      <c r="DWV745" s="487"/>
      <c r="DWW745" s="487"/>
      <c r="DWX745" s="487"/>
      <c r="DWY745" s="487"/>
      <c r="DWZ745" s="487"/>
      <c r="DXA745" s="487"/>
      <c r="DXB745" s="487"/>
      <c r="DXC745" s="487"/>
      <c r="DXD745" s="487"/>
      <c r="DXE745" s="487"/>
      <c r="DXF745" s="487"/>
      <c r="DXG745" s="487"/>
      <c r="DXH745" s="487"/>
      <c r="DXI745" s="487"/>
      <c r="DXJ745" s="487"/>
      <c r="DXK745" s="487"/>
      <c r="DXL745" s="487"/>
      <c r="DXM745" s="487"/>
      <c r="DXN745" s="487"/>
      <c r="DXO745" s="487"/>
      <c r="DXP745" s="487"/>
      <c r="DXQ745" s="487"/>
      <c r="DXR745" s="487"/>
      <c r="DXS745" s="487"/>
      <c r="DXT745" s="487"/>
      <c r="DXU745" s="487"/>
      <c r="DXV745" s="487"/>
      <c r="DXW745" s="487"/>
      <c r="DXX745" s="487"/>
      <c r="DXY745" s="487"/>
      <c r="DXZ745" s="487"/>
      <c r="DYA745" s="487"/>
      <c r="DYB745" s="487"/>
      <c r="DYC745" s="487"/>
      <c r="DYD745" s="487"/>
      <c r="DYE745" s="487"/>
      <c r="DYF745" s="487"/>
      <c r="DYG745" s="487"/>
      <c r="DYH745" s="487"/>
      <c r="DYI745" s="487"/>
      <c r="DYJ745" s="487"/>
      <c r="DYK745" s="487"/>
      <c r="DYL745" s="487"/>
      <c r="DYM745" s="487"/>
      <c r="DYN745" s="487"/>
      <c r="DYO745" s="487"/>
      <c r="DYP745" s="487"/>
      <c r="DYQ745" s="487"/>
      <c r="DYR745" s="487"/>
      <c r="DYS745" s="487"/>
      <c r="DYT745" s="487"/>
      <c r="DYU745" s="487"/>
      <c r="DYV745" s="487"/>
      <c r="DYW745" s="487"/>
      <c r="DYX745" s="487"/>
      <c r="DYY745" s="487"/>
      <c r="DYZ745" s="487"/>
      <c r="DZA745" s="487"/>
      <c r="DZB745" s="487"/>
      <c r="DZC745" s="487"/>
      <c r="DZD745" s="487"/>
      <c r="DZE745" s="487"/>
      <c r="DZF745" s="487"/>
      <c r="DZG745" s="487"/>
      <c r="DZH745" s="487"/>
      <c r="DZI745" s="487"/>
      <c r="DZJ745" s="487"/>
      <c r="DZK745" s="487"/>
      <c r="DZL745" s="487"/>
      <c r="DZM745" s="487"/>
      <c r="DZN745" s="487"/>
      <c r="DZO745" s="487"/>
      <c r="DZP745" s="487"/>
      <c r="DZQ745" s="487"/>
      <c r="DZR745" s="487"/>
      <c r="DZS745" s="487"/>
      <c r="DZT745" s="487"/>
      <c r="DZU745" s="487"/>
      <c r="DZV745" s="487"/>
      <c r="DZW745" s="487"/>
      <c r="DZX745" s="487"/>
      <c r="DZY745" s="487"/>
      <c r="DZZ745" s="487"/>
      <c r="EAA745" s="487"/>
      <c r="EAB745" s="487"/>
      <c r="EAC745" s="487"/>
      <c r="EAD745" s="487"/>
      <c r="EAE745" s="487"/>
      <c r="EAF745" s="487"/>
      <c r="EAG745" s="487"/>
      <c r="EAH745" s="487"/>
      <c r="EAI745" s="487"/>
      <c r="EAJ745" s="487"/>
      <c r="EAK745" s="487"/>
      <c r="EAL745" s="487"/>
      <c r="EAM745" s="487"/>
      <c r="EAN745" s="487"/>
      <c r="EAO745" s="487"/>
      <c r="EAP745" s="487"/>
      <c r="EAQ745" s="487"/>
      <c r="EAR745" s="487"/>
      <c r="EAS745" s="487"/>
      <c r="EAT745" s="487"/>
      <c r="EAU745" s="487"/>
      <c r="EAV745" s="487"/>
      <c r="EAW745" s="487"/>
      <c r="EAX745" s="487"/>
      <c r="EAY745" s="487"/>
      <c r="EAZ745" s="487"/>
      <c r="EBA745" s="487"/>
      <c r="EBB745" s="487"/>
      <c r="EBC745" s="487"/>
      <c r="EBD745" s="487"/>
      <c r="EBE745" s="487"/>
      <c r="EBF745" s="487"/>
      <c r="EBG745" s="487"/>
      <c r="EBH745" s="487"/>
      <c r="EBI745" s="487"/>
      <c r="EBJ745" s="487"/>
      <c r="EBK745" s="487"/>
      <c r="EBL745" s="487"/>
      <c r="EBM745" s="487"/>
      <c r="EBN745" s="487"/>
      <c r="EBO745" s="487"/>
      <c r="EBP745" s="487"/>
      <c r="EBQ745" s="487"/>
      <c r="EBR745" s="487"/>
      <c r="EBS745" s="487"/>
      <c r="EBT745" s="487"/>
      <c r="EBU745" s="487"/>
      <c r="EBV745" s="487"/>
      <c r="EBW745" s="487"/>
      <c r="EBX745" s="487"/>
      <c r="EBY745" s="487"/>
      <c r="EBZ745" s="487"/>
      <c r="ECA745" s="487"/>
      <c r="ECB745" s="487"/>
      <c r="ECC745" s="487"/>
      <c r="ECD745" s="487"/>
      <c r="ECE745" s="487"/>
      <c r="ECF745" s="487"/>
      <c r="ECG745" s="487"/>
      <c r="ECH745" s="487"/>
      <c r="ECI745" s="487"/>
      <c r="ECJ745" s="487"/>
      <c r="ECK745" s="487"/>
      <c r="ECL745" s="487"/>
      <c r="ECM745" s="487"/>
      <c r="ECN745" s="487"/>
      <c r="ECO745" s="487"/>
      <c r="ECP745" s="487"/>
      <c r="ECQ745" s="487"/>
      <c r="ECR745" s="487"/>
      <c r="ECS745" s="487"/>
      <c r="ECT745" s="487"/>
      <c r="ECU745" s="487"/>
      <c r="ECV745" s="487"/>
      <c r="ECW745" s="487"/>
      <c r="ECX745" s="487"/>
      <c r="ECY745" s="487"/>
      <c r="ECZ745" s="487"/>
      <c r="EDA745" s="487"/>
      <c r="EDB745" s="487"/>
      <c r="EDC745" s="487"/>
      <c r="EDD745" s="487"/>
      <c r="EDE745" s="487"/>
      <c r="EDF745" s="487"/>
      <c r="EDG745" s="487"/>
      <c r="EDH745" s="487"/>
      <c r="EDI745" s="487"/>
      <c r="EDJ745" s="487"/>
      <c r="EDK745" s="487"/>
      <c r="EDL745" s="487"/>
      <c r="EDM745" s="487"/>
      <c r="EDN745" s="487"/>
      <c r="EDO745" s="487"/>
      <c r="EDP745" s="487"/>
      <c r="EDQ745" s="487"/>
      <c r="EDR745" s="487"/>
      <c r="EDS745" s="487"/>
      <c r="EDT745" s="487"/>
      <c r="EDU745" s="487"/>
      <c r="EDV745" s="487"/>
      <c r="EDW745" s="487"/>
      <c r="EDX745" s="487"/>
      <c r="EDY745" s="487"/>
      <c r="EDZ745" s="487"/>
      <c r="EEA745" s="487"/>
      <c r="EEB745" s="487"/>
      <c r="EEC745" s="487"/>
      <c r="EED745" s="487"/>
      <c r="EEE745" s="487"/>
      <c r="EEF745" s="487"/>
      <c r="EEG745" s="487"/>
      <c r="EEH745" s="487"/>
      <c r="EEI745" s="487"/>
      <c r="EEJ745" s="487"/>
      <c r="EEK745" s="487"/>
      <c r="EEL745" s="487"/>
      <c r="EEM745" s="487"/>
      <c r="EEN745" s="487"/>
      <c r="EEO745" s="487"/>
      <c r="EEP745" s="487"/>
      <c r="EEQ745" s="487"/>
      <c r="EER745" s="487"/>
      <c r="EES745" s="487"/>
      <c r="EET745" s="487"/>
      <c r="EEU745" s="487"/>
      <c r="EEV745" s="487"/>
      <c r="EEW745" s="487"/>
      <c r="EEX745" s="487"/>
      <c r="EEY745" s="487"/>
      <c r="EEZ745" s="487"/>
      <c r="EFA745" s="487"/>
      <c r="EFB745" s="487"/>
      <c r="EFC745" s="487"/>
      <c r="EFD745" s="487"/>
      <c r="EFE745" s="487"/>
      <c r="EFF745" s="487"/>
      <c r="EFG745" s="487"/>
      <c r="EFH745" s="487"/>
      <c r="EFI745" s="487"/>
      <c r="EFJ745" s="487"/>
      <c r="EFK745" s="487"/>
      <c r="EFL745" s="487"/>
      <c r="EFM745" s="487"/>
      <c r="EFN745" s="487"/>
      <c r="EFO745" s="487"/>
      <c r="EFP745" s="487"/>
      <c r="EFQ745" s="487"/>
      <c r="EFR745" s="487"/>
      <c r="EFS745" s="487"/>
      <c r="EFT745" s="487"/>
      <c r="EFU745" s="487"/>
      <c r="EFV745" s="487"/>
      <c r="EFW745" s="487"/>
      <c r="EFX745" s="487"/>
      <c r="EFY745" s="487"/>
      <c r="EFZ745" s="487"/>
      <c r="EGA745" s="487"/>
      <c r="EGB745" s="487"/>
      <c r="EGC745" s="487"/>
      <c r="EGD745" s="487"/>
      <c r="EGE745" s="487"/>
      <c r="EGF745" s="487"/>
      <c r="EGG745" s="487"/>
      <c r="EGH745" s="487"/>
      <c r="EGI745" s="487"/>
      <c r="EGJ745" s="487"/>
      <c r="EGK745" s="487"/>
      <c r="EGL745" s="487"/>
      <c r="EGM745" s="487"/>
      <c r="EGN745" s="487"/>
      <c r="EGO745" s="487"/>
      <c r="EGP745" s="487"/>
      <c r="EGQ745" s="487"/>
      <c r="EGR745" s="487"/>
      <c r="EGS745" s="487"/>
      <c r="EGT745" s="487"/>
      <c r="EGU745" s="487"/>
      <c r="EGV745" s="487"/>
      <c r="EGW745" s="487"/>
      <c r="EGX745" s="487"/>
      <c r="EGY745" s="487"/>
      <c r="EGZ745" s="487"/>
      <c r="EHA745" s="487"/>
      <c r="EHB745" s="487"/>
      <c r="EHC745" s="487"/>
      <c r="EHD745" s="487"/>
      <c r="EHE745" s="487"/>
      <c r="EHF745" s="487"/>
      <c r="EHG745" s="487"/>
      <c r="EHH745" s="487"/>
      <c r="EHI745" s="487"/>
      <c r="EHJ745" s="487"/>
      <c r="EHK745" s="487"/>
      <c r="EHL745" s="487"/>
      <c r="EHM745" s="487"/>
      <c r="EHN745" s="487"/>
      <c r="EHO745" s="487"/>
      <c r="EHP745" s="487"/>
      <c r="EHQ745" s="487"/>
      <c r="EHR745" s="487"/>
      <c r="EHS745" s="487"/>
      <c r="EHT745" s="487"/>
      <c r="EHU745" s="487"/>
      <c r="EHV745" s="487"/>
      <c r="EHW745" s="487"/>
      <c r="EHX745" s="487"/>
      <c r="EHY745" s="487"/>
      <c r="EHZ745" s="487"/>
      <c r="EIA745" s="487"/>
      <c r="EIB745" s="487"/>
      <c r="EIC745" s="487"/>
      <c r="EID745" s="487"/>
      <c r="EIE745" s="487"/>
      <c r="EIF745" s="487"/>
      <c r="EIG745" s="487"/>
      <c r="EIH745" s="487"/>
      <c r="EII745" s="487"/>
      <c r="EIJ745" s="487"/>
      <c r="EIK745" s="487"/>
      <c r="EIL745" s="487"/>
      <c r="EIM745" s="487"/>
      <c r="EIN745" s="487"/>
      <c r="EIO745" s="487"/>
      <c r="EIP745" s="487"/>
      <c r="EIQ745" s="487"/>
      <c r="EIR745" s="487"/>
      <c r="EIS745" s="487"/>
      <c r="EIT745" s="487"/>
      <c r="EIU745" s="487"/>
      <c r="EIV745" s="487"/>
      <c r="EIW745" s="487"/>
      <c r="EIX745" s="487"/>
      <c r="EIY745" s="487"/>
      <c r="EIZ745" s="487"/>
      <c r="EJA745" s="487"/>
      <c r="EJB745" s="487"/>
      <c r="EJC745" s="487"/>
      <c r="EJD745" s="487"/>
      <c r="EJE745" s="487"/>
      <c r="EJF745" s="487"/>
      <c r="EJG745" s="487"/>
      <c r="EJH745" s="487"/>
      <c r="EJI745" s="487"/>
      <c r="EJJ745" s="487"/>
      <c r="EJK745" s="487"/>
      <c r="EJL745" s="487"/>
      <c r="EJM745" s="487"/>
      <c r="EJN745" s="487"/>
      <c r="EJO745" s="487"/>
      <c r="EJP745" s="487"/>
      <c r="EJQ745" s="487"/>
      <c r="EJR745" s="487"/>
      <c r="EJS745" s="487"/>
      <c r="EJT745" s="487"/>
      <c r="EJU745" s="487"/>
      <c r="EJV745" s="487"/>
      <c r="EJW745" s="487"/>
      <c r="EJX745" s="487"/>
      <c r="EJY745" s="487"/>
      <c r="EJZ745" s="487"/>
      <c r="EKA745" s="487"/>
      <c r="EKB745" s="487"/>
      <c r="EKC745" s="487"/>
      <c r="EKD745" s="487"/>
      <c r="EKE745" s="487"/>
      <c r="EKF745" s="487"/>
      <c r="EKG745" s="487"/>
      <c r="EKH745" s="487"/>
      <c r="EKI745" s="487"/>
      <c r="EKJ745" s="487"/>
      <c r="EKK745" s="487"/>
      <c r="EKL745" s="487"/>
      <c r="EKM745" s="487"/>
      <c r="EKN745" s="487"/>
      <c r="EKO745" s="487"/>
      <c r="EKP745" s="487"/>
      <c r="EKQ745" s="487"/>
      <c r="EKR745" s="487"/>
      <c r="EKS745" s="487"/>
      <c r="EKT745" s="487"/>
      <c r="EKU745" s="487"/>
      <c r="EKV745" s="487"/>
      <c r="EKW745" s="487"/>
      <c r="EKX745" s="487"/>
      <c r="EKY745" s="487"/>
      <c r="EKZ745" s="487"/>
      <c r="ELA745" s="487"/>
      <c r="ELB745" s="487"/>
      <c r="ELC745" s="487"/>
      <c r="ELD745" s="487"/>
      <c r="ELE745" s="487"/>
      <c r="ELF745" s="487"/>
      <c r="ELG745" s="487"/>
      <c r="ELH745" s="487"/>
      <c r="ELI745" s="487"/>
      <c r="ELJ745" s="487"/>
      <c r="ELK745" s="487"/>
      <c r="ELL745" s="487"/>
      <c r="ELM745" s="487"/>
      <c r="ELN745" s="487"/>
      <c r="ELO745" s="487"/>
      <c r="ELP745" s="487"/>
      <c r="ELQ745" s="487"/>
      <c r="ELR745" s="487"/>
      <c r="ELS745" s="487"/>
      <c r="ELT745" s="487"/>
      <c r="ELU745" s="487"/>
      <c r="ELV745" s="487"/>
      <c r="ELW745" s="487"/>
      <c r="ELX745" s="487"/>
      <c r="ELY745" s="487"/>
      <c r="ELZ745" s="487"/>
      <c r="EMA745" s="487"/>
      <c r="EMB745" s="487"/>
      <c r="EMC745" s="487"/>
      <c r="EMD745" s="487"/>
      <c r="EME745" s="487"/>
      <c r="EMF745" s="487"/>
      <c r="EMG745" s="487"/>
      <c r="EMH745" s="487"/>
      <c r="EMI745" s="487"/>
      <c r="EMJ745" s="487"/>
      <c r="EMK745" s="487"/>
      <c r="EML745" s="487"/>
      <c r="EMM745" s="487"/>
      <c r="EMN745" s="487"/>
      <c r="EMO745" s="487"/>
      <c r="EMP745" s="487"/>
      <c r="EMQ745" s="487"/>
      <c r="EMR745" s="487"/>
      <c r="EMS745" s="487"/>
      <c r="EMT745" s="487"/>
      <c r="EMU745" s="487"/>
      <c r="EMV745" s="487"/>
      <c r="EMW745" s="487"/>
      <c r="EMX745" s="487"/>
      <c r="EMY745" s="487"/>
      <c r="EMZ745" s="487"/>
      <c r="ENA745" s="487"/>
      <c r="ENB745" s="487"/>
      <c r="ENC745" s="487"/>
      <c r="END745" s="487"/>
      <c r="ENE745" s="487"/>
      <c r="ENF745" s="487"/>
      <c r="ENG745" s="487"/>
      <c r="ENH745" s="487"/>
      <c r="ENI745" s="487"/>
      <c r="ENJ745" s="487"/>
      <c r="ENK745" s="487"/>
      <c r="ENL745" s="487"/>
      <c r="ENM745" s="487"/>
      <c r="ENN745" s="487"/>
      <c r="ENO745" s="487"/>
      <c r="ENP745" s="487"/>
      <c r="ENQ745" s="487"/>
      <c r="ENR745" s="487"/>
      <c r="ENS745" s="487"/>
      <c r="ENT745" s="487"/>
      <c r="ENU745" s="487"/>
      <c r="ENV745" s="487"/>
      <c r="ENW745" s="487"/>
      <c r="ENX745" s="487"/>
      <c r="ENY745" s="487"/>
      <c r="ENZ745" s="487"/>
      <c r="EOA745" s="487"/>
      <c r="EOB745" s="487"/>
      <c r="EOC745" s="487"/>
      <c r="EOD745" s="487"/>
      <c r="EOE745" s="487"/>
      <c r="EOF745" s="487"/>
      <c r="EOG745" s="487"/>
      <c r="EOH745" s="487"/>
      <c r="EOI745" s="487"/>
      <c r="EOJ745" s="487"/>
      <c r="EOK745" s="487"/>
      <c r="EOL745" s="487"/>
      <c r="EOM745" s="487"/>
      <c r="EON745" s="487"/>
      <c r="EOO745" s="487"/>
      <c r="EOP745" s="487"/>
      <c r="EOQ745" s="487"/>
      <c r="EOR745" s="487"/>
      <c r="EOS745" s="487"/>
      <c r="EOT745" s="487"/>
      <c r="EOU745" s="487"/>
      <c r="EOV745" s="487"/>
      <c r="EOW745" s="487"/>
      <c r="EOX745" s="487"/>
      <c r="EOY745" s="487"/>
      <c r="EOZ745" s="487"/>
      <c r="EPA745" s="487"/>
      <c r="EPB745" s="487"/>
      <c r="EPC745" s="487"/>
      <c r="EPD745" s="487"/>
      <c r="EPE745" s="487"/>
      <c r="EPF745" s="487"/>
      <c r="EPG745" s="487"/>
      <c r="EPH745" s="487"/>
      <c r="EPI745" s="487"/>
      <c r="EPJ745" s="487"/>
      <c r="EPK745" s="487"/>
      <c r="EPL745" s="487"/>
      <c r="EPM745" s="487"/>
      <c r="EPN745" s="487"/>
      <c r="EPO745" s="487"/>
      <c r="EPP745" s="487"/>
      <c r="EPQ745" s="487"/>
      <c r="EPR745" s="487"/>
      <c r="EPS745" s="487"/>
      <c r="EPT745" s="487"/>
      <c r="EPU745" s="487"/>
      <c r="EPV745" s="487"/>
      <c r="EPW745" s="487"/>
      <c r="EPX745" s="487"/>
      <c r="EPY745" s="487"/>
      <c r="EPZ745" s="487"/>
      <c r="EQA745" s="487"/>
      <c r="EQB745" s="487"/>
      <c r="EQC745" s="487"/>
      <c r="EQD745" s="487"/>
      <c r="EQE745" s="487"/>
      <c r="EQF745" s="487"/>
      <c r="EQG745" s="487"/>
      <c r="EQH745" s="487"/>
      <c r="EQI745" s="487"/>
      <c r="EQJ745" s="487"/>
      <c r="EQK745" s="487"/>
      <c r="EQL745" s="487"/>
      <c r="EQM745" s="487"/>
      <c r="EQN745" s="487"/>
      <c r="EQO745" s="487"/>
      <c r="EQP745" s="487"/>
      <c r="EQQ745" s="487"/>
      <c r="EQR745" s="487"/>
      <c r="EQS745" s="487"/>
      <c r="EQT745" s="487"/>
      <c r="EQU745" s="487"/>
      <c r="EQV745" s="487"/>
      <c r="EQW745" s="487"/>
      <c r="EQX745" s="487"/>
      <c r="EQY745" s="487"/>
      <c r="EQZ745" s="487"/>
      <c r="ERA745" s="487"/>
      <c r="ERB745" s="487"/>
      <c r="ERC745" s="487"/>
      <c r="ERD745" s="487"/>
      <c r="ERE745" s="487"/>
      <c r="ERF745" s="487"/>
      <c r="ERG745" s="487"/>
      <c r="ERH745" s="487"/>
      <c r="ERI745" s="487"/>
      <c r="ERJ745" s="487"/>
      <c r="ERK745" s="487"/>
      <c r="ERL745" s="487"/>
      <c r="ERM745" s="487"/>
      <c r="ERN745" s="487"/>
      <c r="ERO745" s="487"/>
      <c r="ERP745" s="487"/>
      <c r="ERQ745" s="487"/>
      <c r="ERR745" s="487"/>
      <c r="ERS745" s="487"/>
      <c r="ERT745" s="487"/>
      <c r="ERU745" s="487"/>
      <c r="ERV745" s="487"/>
      <c r="ERW745" s="487"/>
      <c r="ERX745" s="487"/>
      <c r="ERY745" s="487"/>
      <c r="ERZ745" s="487"/>
      <c r="ESA745" s="487"/>
      <c r="ESB745" s="487"/>
      <c r="ESC745" s="487"/>
      <c r="ESD745" s="487"/>
      <c r="ESE745" s="487"/>
      <c r="ESF745" s="487"/>
      <c r="ESG745" s="487"/>
      <c r="ESH745" s="487"/>
      <c r="ESI745" s="487"/>
      <c r="ESJ745" s="487"/>
      <c r="ESK745" s="487"/>
      <c r="ESL745" s="487"/>
      <c r="ESM745" s="487"/>
      <c r="ESN745" s="487"/>
      <c r="ESO745" s="487"/>
      <c r="ESP745" s="487"/>
      <c r="ESQ745" s="487"/>
      <c r="ESR745" s="487"/>
      <c r="ESS745" s="487"/>
      <c r="EST745" s="487"/>
      <c r="ESU745" s="487"/>
      <c r="ESV745" s="487"/>
      <c r="ESW745" s="487"/>
      <c r="ESX745" s="487"/>
      <c r="ESY745" s="487"/>
      <c r="ESZ745" s="487"/>
      <c r="ETA745" s="487"/>
      <c r="ETB745" s="487"/>
      <c r="ETC745" s="487"/>
      <c r="ETD745" s="487"/>
      <c r="ETE745" s="487"/>
      <c r="ETF745" s="487"/>
      <c r="ETG745" s="487"/>
      <c r="ETH745" s="487"/>
      <c r="ETI745" s="487"/>
      <c r="ETJ745" s="487"/>
      <c r="ETK745" s="487"/>
      <c r="ETL745" s="487"/>
      <c r="ETM745" s="487"/>
      <c r="ETN745" s="487"/>
      <c r="ETO745" s="487"/>
      <c r="ETP745" s="487"/>
      <c r="ETQ745" s="487"/>
      <c r="ETR745" s="487"/>
      <c r="ETS745" s="487"/>
      <c r="ETT745" s="487"/>
      <c r="ETU745" s="487"/>
      <c r="ETV745" s="487"/>
      <c r="ETW745" s="487"/>
      <c r="ETX745" s="487"/>
      <c r="ETY745" s="487"/>
      <c r="ETZ745" s="487"/>
      <c r="EUA745" s="487"/>
      <c r="EUB745" s="487"/>
      <c r="EUC745" s="487"/>
      <c r="EUD745" s="487"/>
      <c r="EUE745" s="487"/>
      <c r="EUF745" s="487"/>
      <c r="EUG745" s="487"/>
      <c r="EUH745" s="487"/>
      <c r="EUI745" s="487"/>
      <c r="EUJ745" s="487"/>
      <c r="EUK745" s="487"/>
      <c r="EUL745" s="487"/>
      <c r="EUM745" s="487"/>
      <c r="EUN745" s="487"/>
      <c r="EUO745" s="487"/>
      <c r="EUP745" s="487"/>
      <c r="EUQ745" s="487"/>
      <c r="EUR745" s="487"/>
      <c r="EUS745" s="487"/>
      <c r="EUT745" s="487"/>
      <c r="EUU745" s="487"/>
      <c r="EUV745" s="487"/>
      <c r="EUW745" s="487"/>
      <c r="EUX745" s="487"/>
      <c r="EUY745" s="487"/>
      <c r="EUZ745" s="487"/>
      <c r="EVA745" s="487"/>
      <c r="EVB745" s="487"/>
      <c r="EVC745" s="487"/>
      <c r="EVD745" s="487"/>
      <c r="EVE745" s="487"/>
      <c r="EVF745" s="487"/>
      <c r="EVG745" s="487"/>
      <c r="EVH745" s="487"/>
      <c r="EVI745" s="487"/>
      <c r="EVJ745" s="487"/>
      <c r="EVK745" s="487"/>
      <c r="EVL745" s="487"/>
      <c r="EVM745" s="487"/>
      <c r="EVN745" s="487"/>
      <c r="EVO745" s="487"/>
      <c r="EVP745" s="487"/>
      <c r="EVQ745" s="487"/>
      <c r="EVR745" s="487"/>
      <c r="EVS745" s="487"/>
      <c r="EVT745" s="487"/>
      <c r="EVU745" s="487"/>
      <c r="EVV745" s="487"/>
      <c r="EVW745" s="487"/>
      <c r="EVX745" s="487"/>
      <c r="EVY745" s="487"/>
      <c r="EVZ745" s="487"/>
      <c r="EWA745" s="487"/>
      <c r="EWB745" s="487"/>
      <c r="EWC745" s="487"/>
      <c r="EWD745" s="487"/>
      <c r="EWE745" s="487"/>
      <c r="EWF745" s="487"/>
      <c r="EWG745" s="487"/>
      <c r="EWH745" s="487"/>
      <c r="EWI745" s="487"/>
      <c r="EWJ745" s="487"/>
      <c r="EWK745" s="487"/>
      <c r="EWL745" s="487"/>
      <c r="EWM745" s="487"/>
      <c r="EWN745" s="487"/>
      <c r="EWO745" s="487"/>
      <c r="EWP745" s="487"/>
      <c r="EWQ745" s="487"/>
      <c r="EWR745" s="487"/>
      <c r="EWS745" s="487"/>
      <c r="EWT745" s="487"/>
      <c r="EWU745" s="487"/>
      <c r="EWV745" s="487"/>
      <c r="EWW745" s="487"/>
      <c r="EWX745" s="487"/>
      <c r="EWY745" s="487"/>
      <c r="EWZ745" s="487"/>
      <c r="EXA745" s="487"/>
      <c r="EXB745" s="487"/>
      <c r="EXC745" s="487"/>
      <c r="EXD745" s="487"/>
      <c r="EXE745" s="487"/>
      <c r="EXF745" s="487"/>
      <c r="EXG745" s="487"/>
      <c r="EXH745" s="487"/>
      <c r="EXI745" s="487"/>
      <c r="EXJ745" s="487"/>
      <c r="EXK745" s="487"/>
      <c r="EXL745" s="487"/>
      <c r="EXM745" s="487"/>
      <c r="EXN745" s="487"/>
      <c r="EXO745" s="487"/>
      <c r="EXP745" s="487"/>
      <c r="EXQ745" s="487"/>
      <c r="EXR745" s="487"/>
      <c r="EXS745" s="487"/>
      <c r="EXT745" s="487"/>
      <c r="EXU745" s="487"/>
      <c r="EXV745" s="487"/>
      <c r="EXW745" s="487"/>
      <c r="EXX745" s="487"/>
      <c r="EXY745" s="487"/>
      <c r="EXZ745" s="487"/>
      <c r="EYA745" s="487"/>
      <c r="EYB745" s="487"/>
      <c r="EYC745" s="487"/>
      <c r="EYD745" s="487"/>
      <c r="EYE745" s="487"/>
      <c r="EYF745" s="487"/>
      <c r="EYG745" s="487"/>
      <c r="EYH745" s="487"/>
      <c r="EYI745" s="487"/>
      <c r="EYJ745" s="487"/>
      <c r="EYK745" s="487"/>
      <c r="EYL745" s="487"/>
      <c r="EYM745" s="487"/>
      <c r="EYN745" s="487"/>
      <c r="EYO745" s="487"/>
      <c r="EYP745" s="487"/>
      <c r="EYQ745" s="487"/>
      <c r="EYR745" s="487"/>
      <c r="EYS745" s="487"/>
      <c r="EYT745" s="487"/>
      <c r="EYU745" s="487"/>
      <c r="EYV745" s="487"/>
      <c r="EYW745" s="487"/>
      <c r="EYX745" s="487"/>
      <c r="EYY745" s="487"/>
      <c r="EYZ745" s="487"/>
      <c r="EZA745" s="487"/>
      <c r="EZB745" s="487"/>
      <c r="EZC745" s="487"/>
      <c r="EZD745" s="487"/>
      <c r="EZE745" s="487"/>
      <c r="EZF745" s="487"/>
      <c r="EZG745" s="487"/>
      <c r="EZH745" s="487"/>
      <c r="EZI745" s="487"/>
      <c r="EZJ745" s="487"/>
      <c r="EZK745" s="487"/>
      <c r="EZL745" s="487"/>
      <c r="EZM745" s="487"/>
      <c r="EZN745" s="487"/>
      <c r="EZO745" s="487"/>
      <c r="EZP745" s="487"/>
      <c r="EZQ745" s="487"/>
      <c r="EZR745" s="487"/>
      <c r="EZS745" s="487"/>
      <c r="EZT745" s="487"/>
      <c r="EZU745" s="487"/>
      <c r="EZV745" s="487"/>
      <c r="EZW745" s="487"/>
      <c r="EZX745" s="487"/>
      <c r="EZY745" s="487"/>
      <c r="EZZ745" s="487"/>
      <c r="FAA745" s="487"/>
      <c r="FAB745" s="487"/>
      <c r="FAC745" s="487"/>
      <c r="FAD745" s="487"/>
      <c r="FAE745" s="487"/>
      <c r="FAF745" s="487"/>
      <c r="FAG745" s="487"/>
      <c r="FAH745" s="487"/>
      <c r="FAI745" s="487"/>
      <c r="FAJ745" s="487"/>
      <c r="FAK745" s="487"/>
      <c r="FAL745" s="487"/>
      <c r="FAM745" s="487"/>
      <c r="FAN745" s="487"/>
      <c r="FAO745" s="487"/>
      <c r="FAP745" s="487"/>
      <c r="FAQ745" s="487"/>
      <c r="FAR745" s="487"/>
      <c r="FAS745" s="487"/>
      <c r="FAT745" s="487"/>
      <c r="FAU745" s="487"/>
      <c r="FAV745" s="487"/>
      <c r="FAW745" s="487"/>
      <c r="FAX745" s="487"/>
      <c r="FAY745" s="487"/>
      <c r="FAZ745" s="487"/>
      <c r="FBA745" s="487"/>
      <c r="FBB745" s="487"/>
      <c r="FBC745" s="487"/>
      <c r="FBD745" s="487"/>
      <c r="FBE745" s="487"/>
      <c r="FBF745" s="487"/>
      <c r="FBG745" s="487"/>
      <c r="FBH745" s="487"/>
      <c r="FBI745" s="487"/>
      <c r="FBJ745" s="487"/>
      <c r="FBK745" s="487"/>
      <c r="FBL745" s="487"/>
      <c r="FBM745" s="487"/>
      <c r="FBN745" s="487"/>
      <c r="FBO745" s="487"/>
      <c r="FBP745" s="487"/>
      <c r="FBQ745" s="487"/>
      <c r="FBR745" s="487"/>
      <c r="FBS745" s="487"/>
      <c r="FBT745" s="487"/>
      <c r="FBU745" s="487"/>
      <c r="FBV745" s="487"/>
      <c r="FBW745" s="487"/>
      <c r="FBX745" s="487"/>
      <c r="FBY745" s="487"/>
      <c r="FBZ745" s="487"/>
      <c r="FCA745" s="487"/>
      <c r="FCB745" s="487"/>
      <c r="FCC745" s="487"/>
      <c r="FCD745" s="487"/>
      <c r="FCE745" s="487"/>
      <c r="FCF745" s="487"/>
      <c r="FCG745" s="487"/>
      <c r="FCH745" s="487"/>
      <c r="FCI745" s="487"/>
      <c r="FCJ745" s="487"/>
      <c r="FCK745" s="487"/>
      <c r="FCL745" s="487"/>
      <c r="FCM745" s="487"/>
      <c r="FCN745" s="487"/>
      <c r="FCO745" s="487"/>
      <c r="FCP745" s="487"/>
      <c r="FCQ745" s="487"/>
      <c r="FCR745" s="487"/>
      <c r="FCS745" s="487"/>
      <c r="FCT745" s="487"/>
      <c r="FCU745" s="487"/>
      <c r="FCV745" s="487"/>
      <c r="FCW745" s="487"/>
      <c r="FCX745" s="487"/>
      <c r="FCY745" s="487"/>
      <c r="FCZ745" s="487"/>
      <c r="FDA745" s="487"/>
      <c r="FDB745" s="487"/>
      <c r="FDC745" s="487"/>
      <c r="FDD745" s="487"/>
      <c r="FDE745" s="487"/>
      <c r="FDF745" s="487"/>
      <c r="FDG745" s="487"/>
      <c r="FDH745" s="487"/>
      <c r="FDI745" s="487"/>
      <c r="FDJ745" s="487"/>
      <c r="FDK745" s="487"/>
      <c r="FDL745" s="487"/>
      <c r="FDM745" s="487"/>
      <c r="FDN745" s="487"/>
      <c r="FDO745" s="487"/>
      <c r="FDP745" s="487"/>
      <c r="FDQ745" s="487"/>
      <c r="FDR745" s="487"/>
      <c r="FDS745" s="487"/>
      <c r="FDT745" s="487"/>
      <c r="FDU745" s="487"/>
      <c r="FDV745" s="487"/>
      <c r="FDW745" s="487"/>
      <c r="FDX745" s="487"/>
      <c r="FDY745" s="487"/>
      <c r="FDZ745" s="487"/>
      <c r="FEA745" s="487"/>
      <c r="FEB745" s="487"/>
      <c r="FEC745" s="487"/>
      <c r="FED745" s="487"/>
      <c r="FEE745" s="487"/>
      <c r="FEF745" s="487"/>
      <c r="FEG745" s="487"/>
      <c r="FEH745" s="487"/>
      <c r="FEI745" s="487"/>
      <c r="FEJ745" s="487"/>
      <c r="FEK745" s="487"/>
      <c r="FEL745" s="487"/>
      <c r="FEM745" s="487"/>
      <c r="FEN745" s="487"/>
      <c r="FEO745" s="487"/>
      <c r="FEP745" s="487"/>
      <c r="FEQ745" s="487"/>
      <c r="FER745" s="487"/>
      <c r="FES745" s="487"/>
      <c r="FET745" s="487"/>
      <c r="FEU745" s="487"/>
      <c r="FEV745" s="487"/>
      <c r="FEW745" s="487"/>
      <c r="FEX745" s="487"/>
      <c r="FEY745" s="487"/>
      <c r="FEZ745" s="487"/>
      <c r="FFA745" s="487"/>
      <c r="FFB745" s="487"/>
      <c r="FFC745" s="487"/>
      <c r="FFD745" s="487"/>
      <c r="FFE745" s="487"/>
      <c r="FFF745" s="487"/>
      <c r="FFG745" s="487"/>
      <c r="FFH745" s="487"/>
      <c r="FFI745" s="487"/>
      <c r="FFJ745" s="487"/>
      <c r="FFK745" s="487"/>
      <c r="FFL745" s="487"/>
      <c r="FFM745" s="487"/>
      <c r="FFN745" s="487"/>
      <c r="FFO745" s="487"/>
      <c r="FFP745" s="487"/>
      <c r="FFQ745" s="487"/>
      <c r="FFR745" s="487"/>
      <c r="FFS745" s="487"/>
      <c r="FFT745" s="487"/>
      <c r="FFU745" s="487"/>
      <c r="FFV745" s="487"/>
      <c r="FFW745" s="487"/>
      <c r="FFX745" s="487"/>
      <c r="FFY745" s="487"/>
      <c r="FFZ745" s="487"/>
      <c r="FGA745" s="487"/>
      <c r="FGB745" s="487"/>
      <c r="FGC745" s="487"/>
      <c r="FGD745" s="487"/>
      <c r="FGE745" s="487"/>
      <c r="FGF745" s="487"/>
      <c r="FGG745" s="487"/>
      <c r="FGH745" s="487"/>
      <c r="FGI745" s="487"/>
      <c r="FGJ745" s="487"/>
      <c r="FGK745" s="487"/>
      <c r="FGL745" s="487"/>
      <c r="FGM745" s="487"/>
      <c r="FGN745" s="487"/>
      <c r="FGO745" s="487"/>
      <c r="FGP745" s="487"/>
      <c r="FGQ745" s="487"/>
      <c r="FGR745" s="487"/>
      <c r="FGS745" s="487"/>
      <c r="FGT745" s="487"/>
      <c r="FGU745" s="487"/>
      <c r="FGV745" s="487"/>
      <c r="FGW745" s="487"/>
      <c r="FGX745" s="487"/>
      <c r="FGY745" s="487"/>
      <c r="FGZ745" s="487"/>
      <c r="FHA745" s="487"/>
      <c r="FHB745" s="487"/>
      <c r="FHC745" s="487"/>
      <c r="FHD745" s="487"/>
      <c r="FHE745" s="487"/>
      <c r="FHF745" s="487"/>
      <c r="FHG745" s="487"/>
      <c r="FHH745" s="487"/>
      <c r="FHI745" s="487"/>
      <c r="FHJ745" s="487"/>
      <c r="FHK745" s="487"/>
      <c r="FHL745" s="487"/>
      <c r="FHM745" s="487"/>
      <c r="FHN745" s="487"/>
      <c r="FHO745" s="487"/>
      <c r="FHP745" s="487"/>
      <c r="FHQ745" s="487"/>
      <c r="FHR745" s="487"/>
      <c r="FHS745" s="487"/>
      <c r="FHT745" s="487"/>
      <c r="FHU745" s="487"/>
      <c r="FHV745" s="487"/>
      <c r="FHW745" s="487"/>
      <c r="FHX745" s="487"/>
      <c r="FHY745" s="487"/>
      <c r="FHZ745" s="487"/>
      <c r="FIA745" s="487"/>
      <c r="FIB745" s="487"/>
      <c r="FIC745" s="487"/>
      <c r="FID745" s="487"/>
      <c r="FIE745" s="487"/>
      <c r="FIF745" s="487"/>
      <c r="FIG745" s="487"/>
      <c r="FIH745" s="487"/>
      <c r="FII745" s="487"/>
      <c r="FIJ745" s="487"/>
      <c r="FIK745" s="487"/>
      <c r="FIL745" s="487"/>
      <c r="FIM745" s="487"/>
      <c r="FIN745" s="487"/>
      <c r="FIO745" s="487"/>
      <c r="FIP745" s="487"/>
      <c r="FIQ745" s="487"/>
      <c r="FIR745" s="487"/>
      <c r="FIS745" s="487"/>
      <c r="FIT745" s="487"/>
      <c r="FIU745" s="487"/>
      <c r="FIV745" s="487"/>
      <c r="FIW745" s="487"/>
      <c r="FIX745" s="487"/>
      <c r="FIY745" s="487"/>
      <c r="FIZ745" s="487"/>
      <c r="FJA745" s="487"/>
      <c r="FJB745" s="487"/>
      <c r="FJC745" s="487"/>
      <c r="FJD745" s="487"/>
      <c r="FJE745" s="487"/>
      <c r="FJF745" s="487"/>
      <c r="FJG745" s="487"/>
      <c r="FJH745" s="487"/>
      <c r="FJI745" s="487"/>
      <c r="FJJ745" s="487"/>
      <c r="FJK745" s="487"/>
      <c r="FJL745" s="487"/>
      <c r="FJM745" s="487"/>
      <c r="FJN745" s="487"/>
      <c r="FJO745" s="487"/>
      <c r="FJP745" s="487"/>
      <c r="FJQ745" s="487"/>
      <c r="FJR745" s="487"/>
      <c r="FJS745" s="487"/>
      <c r="FJT745" s="487"/>
      <c r="FJU745" s="487"/>
      <c r="FJV745" s="487"/>
      <c r="FJW745" s="487"/>
      <c r="FJX745" s="487"/>
      <c r="FJY745" s="487"/>
      <c r="FJZ745" s="487"/>
      <c r="FKA745" s="487"/>
      <c r="FKB745" s="487"/>
      <c r="FKC745" s="487"/>
      <c r="FKD745" s="487"/>
      <c r="FKE745" s="487"/>
      <c r="FKF745" s="487"/>
      <c r="FKG745" s="487"/>
      <c r="FKH745" s="487"/>
      <c r="FKI745" s="487"/>
      <c r="FKJ745" s="487"/>
      <c r="FKK745" s="487"/>
      <c r="FKL745" s="487"/>
      <c r="FKM745" s="487"/>
      <c r="FKN745" s="487"/>
      <c r="FKO745" s="487"/>
      <c r="FKP745" s="487"/>
      <c r="FKQ745" s="487"/>
      <c r="FKR745" s="487"/>
      <c r="FKS745" s="487"/>
      <c r="FKT745" s="487"/>
      <c r="FKU745" s="487"/>
      <c r="FKV745" s="487"/>
      <c r="FKW745" s="487"/>
      <c r="FKX745" s="487"/>
      <c r="FKY745" s="487"/>
      <c r="FKZ745" s="487"/>
      <c r="FLA745" s="487"/>
      <c r="FLB745" s="487"/>
      <c r="FLC745" s="487"/>
      <c r="FLD745" s="487"/>
      <c r="FLE745" s="487"/>
      <c r="FLF745" s="487"/>
      <c r="FLG745" s="487"/>
      <c r="FLH745" s="487"/>
      <c r="FLI745" s="487"/>
      <c r="FLJ745" s="487"/>
      <c r="FLK745" s="487"/>
      <c r="FLL745" s="487"/>
      <c r="FLM745" s="487"/>
      <c r="FLN745" s="487"/>
      <c r="FLO745" s="487"/>
      <c r="FLP745" s="487"/>
      <c r="FLQ745" s="487"/>
      <c r="FLR745" s="487"/>
      <c r="FLS745" s="487"/>
      <c r="FLT745" s="487"/>
      <c r="FLU745" s="487"/>
      <c r="FLV745" s="487"/>
      <c r="FLW745" s="487"/>
      <c r="FLX745" s="487"/>
      <c r="FLY745" s="487"/>
      <c r="FLZ745" s="487"/>
      <c r="FMA745" s="487"/>
      <c r="FMB745" s="487"/>
      <c r="FMC745" s="487"/>
      <c r="FMD745" s="487"/>
      <c r="FME745" s="487"/>
      <c r="FMF745" s="487"/>
      <c r="FMG745" s="487"/>
      <c r="FMH745" s="487"/>
      <c r="FMI745" s="487"/>
      <c r="FMJ745" s="487"/>
      <c r="FMK745" s="487"/>
      <c r="FML745" s="487"/>
      <c r="FMM745" s="487"/>
      <c r="FMN745" s="487"/>
      <c r="FMO745" s="487"/>
      <c r="FMP745" s="487"/>
      <c r="FMQ745" s="487"/>
      <c r="FMR745" s="487"/>
      <c r="FMS745" s="487"/>
      <c r="FMT745" s="487"/>
      <c r="FMU745" s="487"/>
      <c r="FMV745" s="487"/>
      <c r="FMW745" s="487"/>
      <c r="FMX745" s="487"/>
      <c r="FMY745" s="487"/>
      <c r="FMZ745" s="487"/>
      <c r="FNA745" s="487"/>
      <c r="FNB745" s="487"/>
      <c r="FNC745" s="487"/>
      <c r="FND745" s="487"/>
      <c r="FNE745" s="487"/>
      <c r="FNF745" s="487"/>
      <c r="FNG745" s="487"/>
      <c r="FNH745" s="487"/>
      <c r="FNI745" s="487"/>
      <c r="FNJ745" s="487"/>
      <c r="FNK745" s="487"/>
      <c r="FNL745" s="487"/>
      <c r="FNM745" s="487"/>
      <c r="FNN745" s="487"/>
      <c r="FNO745" s="487"/>
      <c r="FNP745" s="487"/>
      <c r="FNQ745" s="487"/>
      <c r="FNR745" s="487"/>
      <c r="FNS745" s="487"/>
      <c r="FNT745" s="487"/>
      <c r="FNU745" s="487"/>
      <c r="FNV745" s="487"/>
      <c r="FNW745" s="487"/>
      <c r="FNX745" s="487"/>
      <c r="FNY745" s="487"/>
      <c r="FNZ745" s="487"/>
      <c r="FOA745" s="487"/>
      <c r="FOB745" s="487"/>
      <c r="FOC745" s="487"/>
      <c r="FOD745" s="487"/>
      <c r="FOE745" s="487"/>
      <c r="FOF745" s="487"/>
      <c r="FOG745" s="487"/>
      <c r="FOH745" s="487"/>
      <c r="FOI745" s="487"/>
      <c r="FOJ745" s="487"/>
      <c r="FOK745" s="487"/>
      <c r="FOL745" s="487"/>
      <c r="FOM745" s="487"/>
      <c r="FON745" s="487"/>
      <c r="FOO745" s="487"/>
      <c r="FOP745" s="487"/>
      <c r="FOQ745" s="487"/>
      <c r="FOR745" s="487"/>
      <c r="FOS745" s="487"/>
      <c r="FOT745" s="487"/>
      <c r="FOU745" s="487"/>
      <c r="FOV745" s="487"/>
      <c r="FOW745" s="487"/>
      <c r="FOX745" s="487"/>
      <c r="FOY745" s="487"/>
      <c r="FOZ745" s="487"/>
      <c r="FPA745" s="487"/>
      <c r="FPB745" s="487"/>
      <c r="FPC745" s="487"/>
      <c r="FPD745" s="487"/>
      <c r="FPE745" s="487"/>
      <c r="FPF745" s="487"/>
      <c r="FPG745" s="487"/>
      <c r="FPH745" s="487"/>
      <c r="FPI745" s="487"/>
      <c r="FPJ745" s="487"/>
      <c r="FPK745" s="487"/>
      <c r="FPL745" s="487"/>
      <c r="FPM745" s="487"/>
      <c r="FPN745" s="487"/>
      <c r="FPO745" s="487"/>
      <c r="FPP745" s="487"/>
      <c r="FPQ745" s="487"/>
      <c r="FPR745" s="487"/>
      <c r="FPS745" s="487"/>
      <c r="FPT745" s="487"/>
      <c r="FPU745" s="487"/>
      <c r="FPV745" s="487"/>
      <c r="FPW745" s="487"/>
      <c r="FPX745" s="487"/>
      <c r="FPY745" s="487"/>
      <c r="FPZ745" s="487"/>
      <c r="FQA745" s="487"/>
      <c r="FQB745" s="487"/>
      <c r="FQC745" s="487"/>
      <c r="FQD745" s="487"/>
      <c r="FQE745" s="487"/>
      <c r="FQF745" s="487"/>
      <c r="FQG745" s="487"/>
      <c r="FQH745" s="487"/>
      <c r="FQI745" s="487"/>
      <c r="FQJ745" s="487"/>
      <c r="FQK745" s="487"/>
      <c r="FQL745" s="487"/>
      <c r="FQM745" s="487"/>
      <c r="FQN745" s="487"/>
      <c r="FQO745" s="487"/>
      <c r="FQP745" s="487"/>
      <c r="FQQ745" s="487"/>
      <c r="FQR745" s="487"/>
      <c r="FQS745" s="487"/>
      <c r="FQT745" s="487"/>
      <c r="FQU745" s="487"/>
      <c r="FQV745" s="487"/>
      <c r="FQW745" s="487"/>
      <c r="FQX745" s="487"/>
      <c r="FQY745" s="487"/>
      <c r="FQZ745" s="487"/>
      <c r="FRA745" s="487"/>
      <c r="FRB745" s="487"/>
      <c r="FRC745" s="487"/>
      <c r="FRD745" s="487"/>
      <c r="FRE745" s="487"/>
      <c r="FRF745" s="487"/>
      <c r="FRG745" s="487"/>
      <c r="FRH745" s="487"/>
      <c r="FRI745" s="487"/>
      <c r="FRJ745" s="487"/>
      <c r="FRK745" s="487"/>
      <c r="FRL745" s="487"/>
      <c r="FRM745" s="487"/>
      <c r="FRN745" s="487"/>
      <c r="FRO745" s="487"/>
      <c r="FRP745" s="487"/>
      <c r="FRQ745" s="487"/>
      <c r="FRR745" s="487"/>
      <c r="FRS745" s="487"/>
      <c r="FRT745" s="487"/>
      <c r="FRU745" s="487"/>
      <c r="FRV745" s="487"/>
      <c r="FRW745" s="487"/>
      <c r="FRX745" s="487"/>
      <c r="FRY745" s="487"/>
      <c r="FRZ745" s="487"/>
      <c r="FSA745" s="487"/>
      <c r="FSB745" s="487"/>
      <c r="FSC745" s="487"/>
      <c r="FSD745" s="487"/>
      <c r="FSE745" s="487"/>
      <c r="FSF745" s="487"/>
      <c r="FSG745" s="487"/>
      <c r="FSH745" s="487"/>
      <c r="FSI745" s="487"/>
      <c r="FSJ745" s="487"/>
      <c r="FSK745" s="487"/>
      <c r="FSL745" s="487"/>
      <c r="FSM745" s="487"/>
      <c r="FSN745" s="487"/>
      <c r="FSO745" s="487"/>
      <c r="FSP745" s="487"/>
      <c r="FSQ745" s="487"/>
      <c r="FSR745" s="487"/>
      <c r="FSS745" s="487"/>
      <c r="FST745" s="487"/>
      <c r="FSU745" s="487"/>
      <c r="FSV745" s="487"/>
      <c r="FSW745" s="487"/>
      <c r="FSX745" s="487"/>
      <c r="FSY745" s="487"/>
      <c r="FSZ745" s="487"/>
      <c r="FTA745" s="487"/>
      <c r="FTB745" s="487"/>
      <c r="FTC745" s="487"/>
      <c r="FTD745" s="487"/>
      <c r="FTE745" s="487"/>
      <c r="FTF745" s="487"/>
      <c r="FTG745" s="487"/>
      <c r="FTH745" s="487"/>
      <c r="FTI745" s="487"/>
      <c r="FTJ745" s="487"/>
      <c r="FTK745" s="487"/>
      <c r="FTL745" s="487"/>
      <c r="FTM745" s="487"/>
      <c r="FTN745" s="487"/>
      <c r="FTO745" s="487"/>
      <c r="FTP745" s="487"/>
      <c r="FTQ745" s="487"/>
      <c r="FTR745" s="487"/>
      <c r="FTS745" s="487"/>
      <c r="FTT745" s="487"/>
      <c r="FTU745" s="487"/>
      <c r="FTV745" s="487"/>
      <c r="FTW745" s="487"/>
      <c r="FTX745" s="487"/>
      <c r="FTY745" s="487"/>
      <c r="FTZ745" s="487"/>
      <c r="FUA745" s="487"/>
      <c r="FUB745" s="487"/>
      <c r="FUC745" s="487"/>
      <c r="FUD745" s="487"/>
      <c r="FUE745" s="487"/>
      <c r="FUF745" s="487"/>
      <c r="FUG745" s="487"/>
      <c r="FUH745" s="487"/>
      <c r="FUI745" s="487"/>
      <c r="FUJ745" s="487"/>
      <c r="FUK745" s="487"/>
      <c r="FUL745" s="487"/>
      <c r="FUM745" s="487"/>
      <c r="FUN745" s="487"/>
      <c r="FUO745" s="487"/>
      <c r="FUP745" s="487"/>
      <c r="FUQ745" s="487"/>
      <c r="FUR745" s="487"/>
      <c r="FUS745" s="487"/>
      <c r="FUT745" s="487"/>
      <c r="FUU745" s="487"/>
      <c r="FUV745" s="487"/>
      <c r="FUW745" s="487"/>
      <c r="FUX745" s="487"/>
      <c r="FUY745" s="487"/>
      <c r="FUZ745" s="487"/>
      <c r="FVA745" s="487"/>
      <c r="FVB745" s="487"/>
      <c r="FVC745" s="487"/>
      <c r="FVD745" s="487"/>
      <c r="FVE745" s="487"/>
      <c r="FVF745" s="487"/>
      <c r="FVG745" s="487"/>
      <c r="FVH745" s="487"/>
      <c r="FVI745" s="487"/>
      <c r="FVJ745" s="487"/>
      <c r="FVK745" s="487"/>
      <c r="FVL745" s="487"/>
      <c r="FVM745" s="487"/>
      <c r="FVN745" s="487"/>
      <c r="FVO745" s="487"/>
      <c r="FVP745" s="487"/>
      <c r="FVQ745" s="487"/>
      <c r="FVR745" s="487"/>
      <c r="FVS745" s="487"/>
      <c r="FVT745" s="487"/>
      <c r="FVU745" s="487"/>
      <c r="FVV745" s="487"/>
      <c r="FVW745" s="487"/>
      <c r="FVX745" s="487"/>
      <c r="FVY745" s="487"/>
      <c r="FVZ745" s="487"/>
      <c r="FWA745" s="487"/>
      <c r="FWB745" s="487"/>
      <c r="FWC745" s="487"/>
      <c r="FWD745" s="487"/>
      <c r="FWE745" s="487"/>
      <c r="FWF745" s="487"/>
      <c r="FWG745" s="487"/>
      <c r="FWH745" s="487"/>
      <c r="FWI745" s="487"/>
      <c r="FWJ745" s="487"/>
      <c r="FWK745" s="487"/>
      <c r="FWL745" s="487"/>
      <c r="FWM745" s="487"/>
      <c r="FWN745" s="487"/>
      <c r="FWO745" s="487"/>
      <c r="FWP745" s="487"/>
      <c r="FWQ745" s="487"/>
      <c r="FWR745" s="487"/>
      <c r="FWS745" s="487"/>
      <c r="FWT745" s="487"/>
      <c r="FWU745" s="487"/>
      <c r="FWV745" s="487"/>
      <c r="FWW745" s="487"/>
      <c r="FWX745" s="487"/>
      <c r="FWY745" s="487"/>
      <c r="FWZ745" s="487"/>
      <c r="FXA745" s="487"/>
      <c r="FXB745" s="487"/>
      <c r="FXC745" s="487"/>
      <c r="FXD745" s="487"/>
      <c r="FXE745" s="487"/>
      <c r="FXF745" s="487"/>
      <c r="FXG745" s="487"/>
      <c r="FXH745" s="487"/>
      <c r="FXI745" s="487"/>
      <c r="FXJ745" s="487"/>
      <c r="FXK745" s="487"/>
      <c r="FXL745" s="487"/>
      <c r="FXM745" s="487"/>
      <c r="FXN745" s="487"/>
      <c r="FXO745" s="487"/>
      <c r="FXP745" s="487"/>
      <c r="FXQ745" s="487"/>
      <c r="FXR745" s="487"/>
      <c r="FXS745" s="487"/>
      <c r="FXT745" s="487"/>
      <c r="FXU745" s="487"/>
      <c r="FXV745" s="487"/>
      <c r="FXW745" s="487"/>
      <c r="FXX745" s="487"/>
      <c r="FXY745" s="487"/>
      <c r="FXZ745" s="487"/>
      <c r="FYA745" s="487"/>
      <c r="FYB745" s="487"/>
      <c r="FYC745" s="487"/>
      <c r="FYD745" s="487"/>
      <c r="FYE745" s="487"/>
      <c r="FYF745" s="487"/>
      <c r="FYG745" s="487"/>
      <c r="FYH745" s="487"/>
      <c r="FYI745" s="487"/>
      <c r="FYJ745" s="487"/>
      <c r="FYK745" s="487"/>
      <c r="FYL745" s="487"/>
      <c r="FYM745" s="487"/>
      <c r="FYN745" s="487"/>
      <c r="FYO745" s="487"/>
      <c r="FYP745" s="487"/>
      <c r="FYQ745" s="487"/>
      <c r="FYR745" s="487"/>
      <c r="FYS745" s="487"/>
      <c r="FYT745" s="487"/>
      <c r="FYU745" s="487"/>
      <c r="FYV745" s="487"/>
      <c r="FYW745" s="487"/>
      <c r="FYX745" s="487"/>
      <c r="FYY745" s="487"/>
      <c r="FYZ745" s="487"/>
      <c r="FZA745" s="487"/>
      <c r="FZB745" s="487"/>
      <c r="FZC745" s="487"/>
      <c r="FZD745" s="487"/>
      <c r="FZE745" s="487"/>
      <c r="FZF745" s="487"/>
      <c r="FZG745" s="487"/>
      <c r="FZH745" s="487"/>
      <c r="FZI745" s="487"/>
      <c r="FZJ745" s="487"/>
      <c r="FZK745" s="487"/>
      <c r="FZL745" s="487"/>
      <c r="FZM745" s="487"/>
      <c r="FZN745" s="487"/>
      <c r="FZO745" s="487"/>
      <c r="FZP745" s="487"/>
      <c r="FZQ745" s="487"/>
      <c r="FZR745" s="487"/>
      <c r="FZS745" s="487"/>
      <c r="FZT745" s="487"/>
      <c r="FZU745" s="487"/>
      <c r="FZV745" s="487"/>
      <c r="FZW745" s="487"/>
      <c r="FZX745" s="487"/>
      <c r="FZY745" s="487"/>
      <c r="FZZ745" s="487"/>
      <c r="GAA745" s="487"/>
      <c r="GAB745" s="487"/>
      <c r="GAC745" s="487"/>
      <c r="GAD745" s="487"/>
      <c r="GAE745" s="487"/>
      <c r="GAF745" s="487"/>
      <c r="GAG745" s="487"/>
      <c r="GAH745" s="487"/>
      <c r="GAI745" s="487"/>
      <c r="GAJ745" s="487"/>
      <c r="GAK745" s="487"/>
      <c r="GAL745" s="487"/>
      <c r="GAM745" s="487"/>
      <c r="GAN745" s="487"/>
      <c r="GAO745" s="487"/>
      <c r="GAP745" s="487"/>
      <c r="GAQ745" s="487"/>
      <c r="GAR745" s="487"/>
      <c r="GAS745" s="487"/>
      <c r="GAT745" s="487"/>
      <c r="GAU745" s="487"/>
      <c r="GAV745" s="487"/>
      <c r="GAW745" s="487"/>
      <c r="GAX745" s="487"/>
      <c r="GAY745" s="487"/>
      <c r="GAZ745" s="487"/>
      <c r="GBA745" s="487"/>
      <c r="GBB745" s="487"/>
      <c r="GBC745" s="487"/>
      <c r="GBD745" s="487"/>
      <c r="GBE745" s="487"/>
      <c r="GBF745" s="487"/>
      <c r="GBG745" s="487"/>
      <c r="GBH745" s="487"/>
      <c r="GBI745" s="487"/>
      <c r="GBJ745" s="487"/>
      <c r="GBK745" s="487"/>
      <c r="GBL745" s="487"/>
      <c r="GBM745" s="487"/>
      <c r="GBN745" s="487"/>
      <c r="GBO745" s="487"/>
      <c r="GBP745" s="487"/>
      <c r="GBQ745" s="487"/>
      <c r="GBR745" s="487"/>
      <c r="GBS745" s="487"/>
      <c r="GBT745" s="487"/>
      <c r="GBU745" s="487"/>
      <c r="GBV745" s="487"/>
      <c r="GBW745" s="487"/>
      <c r="GBX745" s="487"/>
      <c r="GBY745" s="487"/>
      <c r="GBZ745" s="487"/>
      <c r="GCA745" s="487"/>
      <c r="GCB745" s="487"/>
      <c r="GCC745" s="487"/>
      <c r="GCD745" s="487"/>
      <c r="GCE745" s="487"/>
      <c r="GCF745" s="487"/>
      <c r="GCG745" s="487"/>
      <c r="GCH745" s="487"/>
      <c r="GCI745" s="487"/>
      <c r="GCJ745" s="487"/>
      <c r="GCK745" s="487"/>
      <c r="GCL745" s="487"/>
      <c r="GCM745" s="487"/>
      <c r="GCN745" s="487"/>
      <c r="GCO745" s="487"/>
      <c r="GCP745" s="487"/>
      <c r="GCQ745" s="487"/>
      <c r="GCR745" s="487"/>
      <c r="GCS745" s="487"/>
      <c r="GCT745" s="487"/>
      <c r="GCU745" s="487"/>
      <c r="GCV745" s="487"/>
      <c r="GCW745" s="487"/>
      <c r="GCX745" s="487"/>
      <c r="GCY745" s="487"/>
      <c r="GCZ745" s="487"/>
      <c r="GDA745" s="487"/>
      <c r="GDB745" s="487"/>
      <c r="GDC745" s="487"/>
      <c r="GDD745" s="487"/>
      <c r="GDE745" s="487"/>
      <c r="GDF745" s="487"/>
      <c r="GDG745" s="487"/>
      <c r="GDH745" s="487"/>
      <c r="GDI745" s="487"/>
      <c r="GDJ745" s="487"/>
      <c r="GDK745" s="487"/>
      <c r="GDL745" s="487"/>
      <c r="GDM745" s="487"/>
      <c r="GDN745" s="487"/>
      <c r="GDO745" s="487"/>
      <c r="GDP745" s="487"/>
      <c r="GDQ745" s="487"/>
      <c r="GDR745" s="487"/>
      <c r="GDS745" s="487"/>
      <c r="GDT745" s="487"/>
      <c r="GDU745" s="487"/>
      <c r="GDV745" s="487"/>
      <c r="GDW745" s="487"/>
      <c r="GDX745" s="487"/>
      <c r="GDY745" s="487"/>
      <c r="GDZ745" s="487"/>
      <c r="GEA745" s="487"/>
      <c r="GEB745" s="487"/>
      <c r="GEC745" s="487"/>
      <c r="GED745" s="487"/>
      <c r="GEE745" s="487"/>
      <c r="GEF745" s="487"/>
      <c r="GEG745" s="487"/>
      <c r="GEH745" s="487"/>
      <c r="GEI745" s="487"/>
      <c r="GEJ745" s="487"/>
      <c r="GEK745" s="487"/>
      <c r="GEL745" s="487"/>
      <c r="GEM745" s="487"/>
      <c r="GEN745" s="487"/>
      <c r="GEO745" s="487"/>
      <c r="GEP745" s="487"/>
      <c r="GEQ745" s="487"/>
      <c r="GER745" s="487"/>
      <c r="GES745" s="487"/>
      <c r="GET745" s="487"/>
      <c r="GEU745" s="487"/>
      <c r="GEV745" s="487"/>
      <c r="GEW745" s="487"/>
      <c r="GEX745" s="487"/>
      <c r="GEY745" s="487"/>
      <c r="GEZ745" s="487"/>
      <c r="GFA745" s="487"/>
      <c r="GFB745" s="487"/>
      <c r="GFC745" s="487"/>
      <c r="GFD745" s="487"/>
      <c r="GFE745" s="487"/>
      <c r="GFF745" s="487"/>
      <c r="GFG745" s="487"/>
      <c r="GFH745" s="487"/>
      <c r="GFI745" s="487"/>
      <c r="GFJ745" s="487"/>
      <c r="GFK745" s="487"/>
      <c r="GFL745" s="487"/>
      <c r="GFM745" s="487"/>
      <c r="GFN745" s="487"/>
      <c r="GFO745" s="487"/>
      <c r="GFP745" s="487"/>
      <c r="GFQ745" s="487"/>
      <c r="GFR745" s="487"/>
      <c r="GFS745" s="487"/>
      <c r="GFT745" s="487"/>
      <c r="GFU745" s="487"/>
      <c r="GFV745" s="487"/>
      <c r="GFW745" s="487"/>
      <c r="GFX745" s="487"/>
      <c r="GFY745" s="487"/>
      <c r="GFZ745" s="487"/>
      <c r="GGA745" s="487"/>
      <c r="GGB745" s="487"/>
      <c r="GGC745" s="487"/>
      <c r="GGD745" s="487"/>
      <c r="GGE745" s="487"/>
      <c r="GGF745" s="487"/>
      <c r="GGG745" s="487"/>
      <c r="GGH745" s="487"/>
      <c r="GGI745" s="487"/>
      <c r="GGJ745" s="487"/>
      <c r="GGK745" s="487"/>
      <c r="GGL745" s="487"/>
      <c r="GGM745" s="487"/>
      <c r="GGN745" s="487"/>
      <c r="GGO745" s="487"/>
      <c r="GGP745" s="487"/>
      <c r="GGQ745" s="487"/>
      <c r="GGR745" s="487"/>
      <c r="GGS745" s="487"/>
      <c r="GGT745" s="487"/>
      <c r="GGU745" s="487"/>
      <c r="GGV745" s="487"/>
      <c r="GGW745" s="487"/>
      <c r="GGX745" s="487"/>
      <c r="GGY745" s="487"/>
      <c r="GGZ745" s="487"/>
      <c r="GHA745" s="487"/>
      <c r="GHB745" s="487"/>
      <c r="GHC745" s="487"/>
      <c r="GHD745" s="487"/>
      <c r="GHE745" s="487"/>
      <c r="GHF745" s="487"/>
      <c r="GHG745" s="487"/>
      <c r="GHH745" s="487"/>
      <c r="GHI745" s="487"/>
      <c r="GHJ745" s="487"/>
      <c r="GHK745" s="487"/>
      <c r="GHL745" s="487"/>
      <c r="GHM745" s="487"/>
      <c r="GHN745" s="487"/>
      <c r="GHO745" s="487"/>
      <c r="GHP745" s="487"/>
      <c r="GHQ745" s="487"/>
      <c r="GHR745" s="487"/>
      <c r="GHS745" s="487"/>
      <c r="GHT745" s="487"/>
      <c r="GHU745" s="487"/>
      <c r="GHV745" s="487"/>
      <c r="GHW745" s="487"/>
      <c r="GHX745" s="487"/>
      <c r="GHY745" s="487"/>
      <c r="GHZ745" s="487"/>
      <c r="GIA745" s="487"/>
      <c r="GIB745" s="487"/>
      <c r="GIC745" s="487"/>
      <c r="GID745" s="487"/>
      <c r="GIE745" s="487"/>
      <c r="GIF745" s="487"/>
      <c r="GIG745" s="487"/>
      <c r="GIH745" s="487"/>
      <c r="GII745" s="487"/>
      <c r="GIJ745" s="487"/>
      <c r="GIK745" s="487"/>
      <c r="GIL745" s="487"/>
      <c r="GIM745" s="487"/>
      <c r="GIN745" s="487"/>
      <c r="GIO745" s="487"/>
      <c r="GIP745" s="487"/>
      <c r="GIQ745" s="487"/>
      <c r="GIR745" s="487"/>
      <c r="GIS745" s="487"/>
      <c r="GIT745" s="487"/>
      <c r="GIU745" s="487"/>
      <c r="GIV745" s="487"/>
      <c r="GIW745" s="487"/>
      <c r="GIX745" s="487"/>
      <c r="GIY745" s="487"/>
      <c r="GIZ745" s="487"/>
      <c r="GJA745" s="487"/>
      <c r="GJB745" s="487"/>
      <c r="GJC745" s="487"/>
      <c r="GJD745" s="487"/>
      <c r="GJE745" s="487"/>
      <c r="GJF745" s="487"/>
      <c r="GJG745" s="487"/>
      <c r="GJH745" s="487"/>
      <c r="GJI745" s="487"/>
      <c r="GJJ745" s="487"/>
      <c r="GJK745" s="487"/>
      <c r="GJL745" s="487"/>
      <c r="GJM745" s="487"/>
      <c r="GJN745" s="487"/>
      <c r="GJO745" s="487"/>
      <c r="GJP745" s="487"/>
      <c r="GJQ745" s="487"/>
      <c r="GJR745" s="487"/>
      <c r="GJS745" s="487"/>
      <c r="GJT745" s="487"/>
      <c r="GJU745" s="487"/>
      <c r="GJV745" s="487"/>
      <c r="GJW745" s="487"/>
      <c r="GJX745" s="487"/>
      <c r="GJY745" s="487"/>
      <c r="GJZ745" s="487"/>
      <c r="GKA745" s="487"/>
      <c r="GKB745" s="487"/>
      <c r="GKC745" s="487"/>
      <c r="GKD745" s="487"/>
      <c r="GKE745" s="487"/>
      <c r="GKF745" s="487"/>
      <c r="GKG745" s="487"/>
      <c r="GKH745" s="487"/>
      <c r="GKI745" s="487"/>
      <c r="GKJ745" s="487"/>
      <c r="GKK745" s="487"/>
      <c r="GKL745" s="487"/>
      <c r="GKM745" s="487"/>
      <c r="GKN745" s="487"/>
      <c r="GKO745" s="487"/>
      <c r="GKP745" s="487"/>
      <c r="GKQ745" s="487"/>
      <c r="GKR745" s="487"/>
      <c r="GKS745" s="487"/>
      <c r="GKT745" s="487"/>
      <c r="GKU745" s="487"/>
      <c r="GKV745" s="487"/>
      <c r="GKW745" s="487"/>
      <c r="GKX745" s="487"/>
      <c r="GKY745" s="487"/>
      <c r="GKZ745" s="487"/>
      <c r="GLA745" s="487"/>
      <c r="GLB745" s="487"/>
      <c r="GLC745" s="487"/>
      <c r="GLD745" s="487"/>
      <c r="GLE745" s="487"/>
      <c r="GLF745" s="487"/>
      <c r="GLG745" s="487"/>
      <c r="GLH745" s="487"/>
      <c r="GLI745" s="487"/>
      <c r="GLJ745" s="487"/>
      <c r="GLK745" s="487"/>
      <c r="GLL745" s="487"/>
      <c r="GLM745" s="487"/>
      <c r="GLN745" s="487"/>
      <c r="GLO745" s="487"/>
      <c r="GLP745" s="487"/>
      <c r="GLQ745" s="487"/>
      <c r="GLR745" s="487"/>
      <c r="GLS745" s="487"/>
      <c r="GLT745" s="487"/>
      <c r="GLU745" s="487"/>
      <c r="GLV745" s="487"/>
      <c r="GLW745" s="487"/>
      <c r="GLX745" s="487"/>
      <c r="GLY745" s="487"/>
      <c r="GLZ745" s="487"/>
      <c r="GMA745" s="487"/>
      <c r="GMB745" s="487"/>
      <c r="GMC745" s="487"/>
      <c r="GMD745" s="487"/>
      <c r="GME745" s="487"/>
      <c r="GMF745" s="487"/>
      <c r="GMG745" s="487"/>
      <c r="GMH745" s="487"/>
      <c r="GMI745" s="487"/>
      <c r="GMJ745" s="487"/>
      <c r="GMK745" s="487"/>
      <c r="GML745" s="487"/>
      <c r="GMM745" s="487"/>
      <c r="GMN745" s="487"/>
      <c r="GMO745" s="487"/>
      <c r="GMP745" s="487"/>
      <c r="GMQ745" s="487"/>
      <c r="GMR745" s="487"/>
      <c r="GMS745" s="487"/>
      <c r="GMT745" s="487"/>
      <c r="GMU745" s="487"/>
      <c r="GMV745" s="487"/>
      <c r="GMW745" s="487"/>
      <c r="GMX745" s="487"/>
      <c r="GMY745" s="487"/>
      <c r="GMZ745" s="487"/>
      <c r="GNA745" s="487"/>
      <c r="GNB745" s="487"/>
      <c r="GNC745" s="487"/>
      <c r="GND745" s="487"/>
      <c r="GNE745" s="487"/>
      <c r="GNF745" s="487"/>
      <c r="GNG745" s="487"/>
      <c r="GNH745" s="487"/>
      <c r="GNI745" s="487"/>
      <c r="GNJ745" s="487"/>
      <c r="GNK745" s="487"/>
      <c r="GNL745" s="487"/>
      <c r="GNM745" s="487"/>
      <c r="GNN745" s="487"/>
      <c r="GNO745" s="487"/>
      <c r="GNP745" s="487"/>
      <c r="GNQ745" s="487"/>
      <c r="GNR745" s="487"/>
      <c r="GNS745" s="487"/>
      <c r="GNT745" s="487"/>
      <c r="GNU745" s="487"/>
      <c r="GNV745" s="487"/>
      <c r="GNW745" s="487"/>
      <c r="GNX745" s="487"/>
      <c r="GNY745" s="487"/>
      <c r="GNZ745" s="487"/>
      <c r="GOA745" s="487"/>
      <c r="GOB745" s="487"/>
      <c r="GOC745" s="487"/>
      <c r="GOD745" s="487"/>
      <c r="GOE745" s="487"/>
      <c r="GOF745" s="487"/>
      <c r="GOG745" s="487"/>
      <c r="GOH745" s="487"/>
      <c r="GOI745" s="487"/>
      <c r="GOJ745" s="487"/>
      <c r="GOK745" s="487"/>
      <c r="GOL745" s="487"/>
      <c r="GOM745" s="487"/>
      <c r="GON745" s="487"/>
      <c r="GOO745" s="487"/>
      <c r="GOP745" s="487"/>
      <c r="GOQ745" s="487"/>
      <c r="GOR745" s="487"/>
      <c r="GOS745" s="487"/>
      <c r="GOT745" s="487"/>
      <c r="GOU745" s="487"/>
      <c r="GOV745" s="487"/>
      <c r="GOW745" s="487"/>
      <c r="GOX745" s="487"/>
      <c r="GOY745" s="487"/>
      <c r="GOZ745" s="487"/>
      <c r="GPA745" s="487"/>
      <c r="GPB745" s="487"/>
      <c r="GPC745" s="487"/>
      <c r="GPD745" s="487"/>
      <c r="GPE745" s="487"/>
      <c r="GPF745" s="487"/>
      <c r="GPG745" s="487"/>
      <c r="GPH745" s="487"/>
      <c r="GPI745" s="487"/>
      <c r="GPJ745" s="487"/>
      <c r="GPK745" s="487"/>
      <c r="GPL745" s="487"/>
      <c r="GPM745" s="487"/>
      <c r="GPN745" s="487"/>
      <c r="GPO745" s="487"/>
      <c r="GPP745" s="487"/>
      <c r="GPQ745" s="487"/>
      <c r="GPR745" s="487"/>
      <c r="GPS745" s="487"/>
      <c r="GPT745" s="487"/>
      <c r="GPU745" s="487"/>
      <c r="GPV745" s="487"/>
      <c r="GPW745" s="487"/>
      <c r="GPX745" s="487"/>
      <c r="GPY745" s="487"/>
      <c r="GPZ745" s="487"/>
      <c r="GQA745" s="487"/>
      <c r="GQB745" s="487"/>
      <c r="GQC745" s="487"/>
      <c r="GQD745" s="487"/>
      <c r="GQE745" s="487"/>
      <c r="GQF745" s="487"/>
      <c r="GQG745" s="487"/>
      <c r="GQH745" s="487"/>
      <c r="GQI745" s="487"/>
      <c r="GQJ745" s="487"/>
      <c r="GQK745" s="487"/>
      <c r="GQL745" s="487"/>
      <c r="GQM745" s="487"/>
      <c r="GQN745" s="487"/>
      <c r="GQO745" s="487"/>
      <c r="GQP745" s="487"/>
      <c r="GQQ745" s="487"/>
      <c r="GQR745" s="487"/>
      <c r="GQS745" s="487"/>
      <c r="GQT745" s="487"/>
      <c r="GQU745" s="487"/>
      <c r="GQV745" s="487"/>
      <c r="GQW745" s="487"/>
      <c r="GQX745" s="487"/>
      <c r="GQY745" s="487"/>
      <c r="GQZ745" s="487"/>
      <c r="GRA745" s="487"/>
      <c r="GRB745" s="487"/>
      <c r="GRC745" s="487"/>
      <c r="GRD745" s="487"/>
      <c r="GRE745" s="487"/>
      <c r="GRF745" s="487"/>
      <c r="GRG745" s="487"/>
      <c r="GRH745" s="487"/>
      <c r="GRI745" s="487"/>
      <c r="GRJ745" s="487"/>
      <c r="GRK745" s="487"/>
      <c r="GRL745" s="487"/>
      <c r="GRM745" s="487"/>
      <c r="GRN745" s="487"/>
      <c r="GRO745" s="487"/>
      <c r="GRP745" s="487"/>
      <c r="GRQ745" s="487"/>
      <c r="GRR745" s="487"/>
      <c r="GRS745" s="487"/>
      <c r="GRT745" s="487"/>
      <c r="GRU745" s="487"/>
      <c r="GRV745" s="487"/>
      <c r="GRW745" s="487"/>
      <c r="GRX745" s="487"/>
      <c r="GRY745" s="487"/>
      <c r="GRZ745" s="487"/>
      <c r="GSA745" s="487"/>
      <c r="GSB745" s="487"/>
      <c r="GSC745" s="487"/>
      <c r="GSD745" s="487"/>
      <c r="GSE745" s="487"/>
      <c r="GSF745" s="487"/>
      <c r="GSG745" s="487"/>
      <c r="GSH745" s="487"/>
      <c r="GSI745" s="487"/>
      <c r="GSJ745" s="487"/>
      <c r="GSK745" s="487"/>
      <c r="GSL745" s="487"/>
      <c r="GSM745" s="487"/>
      <c r="GSN745" s="487"/>
      <c r="GSO745" s="487"/>
      <c r="GSP745" s="487"/>
      <c r="GSQ745" s="487"/>
      <c r="GSR745" s="487"/>
      <c r="GSS745" s="487"/>
      <c r="GST745" s="487"/>
      <c r="GSU745" s="487"/>
      <c r="GSV745" s="487"/>
      <c r="GSW745" s="487"/>
      <c r="GSX745" s="487"/>
      <c r="GSY745" s="487"/>
      <c r="GSZ745" s="487"/>
      <c r="GTA745" s="487"/>
      <c r="GTB745" s="487"/>
      <c r="GTC745" s="487"/>
      <c r="GTD745" s="487"/>
      <c r="GTE745" s="487"/>
      <c r="GTF745" s="487"/>
      <c r="GTG745" s="487"/>
      <c r="GTH745" s="487"/>
      <c r="GTI745" s="487"/>
      <c r="GTJ745" s="487"/>
      <c r="GTK745" s="487"/>
      <c r="GTL745" s="487"/>
      <c r="GTM745" s="487"/>
      <c r="GTN745" s="487"/>
      <c r="GTO745" s="487"/>
      <c r="GTP745" s="487"/>
      <c r="GTQ745" s="487"/>
      <c r="GTR745" s="487"/>
      <c r="GTS745" s="487"/>
      <c r="GTT745" s="487"/>
      <c r="GTU745" s="487"/>
      <c r="GTV745" s="487"/>
      <c r="GTW745" s="487"/>
      <c r="GTX745" s="487"/>
      <c r="GTY745" s="487"/>
      <c r="GTZ745" s="487"/>
      <c r="GUA745" s="487"/>
      <c r="GUB745" s="487"/>
      <c r="GUC745" s="487"/>
      <c r="GUD745" s="487"/>
      <c r="GUE745" s="487"/>
      <c r="GUF745" s="487"/>
      <c r="GUG745" s="487"/>
      <c r="GUH745" s="487"/>
      <c r="GUI745" s="487"/>
      <c r="GUJ745" s="487"/>
      <c r="GUK745" s="487"/>
      <c r="GUL745" s="487"/>
      <c r="GUM745" s="487"/>
      <c r="GUN745" s="487"/>
      <c r="GUO745" s="487"/>
      <c r="GUP745" s="487"/>
      <c r="GUQ745" s="487"/>
      <c r="GUR745" s="487"/>
      <c r="GUS745" s="487"/>
      <c r="GUT745" s="487"/>
      <c r="GUU745" s="487"/>
      <c r="GUV745" s="487"/>
      <c r="GUW745" s="487"/>
      <c r="GUX745" s="487"/>
      <c r="GUY745" s="487"/>
      <c r="GUZ745" s="487"/>
      <c r="GVA745" s="487"/>
      <c r="GVB745" s="487"/>
      <c r="GVC745" s="487"/>
      <c r="GVD745" s="487"/>
      <c r="GVE745" s="487"/>
      <c r="GVF745" s="487"/>
      <c r="GVG745" s="487"/>
      <c r="GVH745" s="487"/>
      <c r="GVI745" s="487"/>
      <c r="GVJ745" s="487"/>
      <c r="GVK745" s="487"/>
      <c r="GVL745" s="487"/>
      <c r="GVM745" s="487"/>
      <c r="GVN745" s="487"/>
      <c r="GVO745" s="487"/>
      <c r="GVP745" s="487"/>
      <c r="GVQ745" s="487"/>
      <c r="GVR745" s="487"/>
      <c r="GVS745" s="487"/>
      <c r="GVT745" s="487"/>
      <c r="GVU745" s="487"/>
      <c r="GVV745" s="487"/>
      <c r="GVW745" s="487"/>
      <c r="GVX745" s="487"/>
      <c r="GVY745" s="487"/>
      <c r="GVZ745" s="487"/>
      <c r="GWA745" s="487"/>
      <c r="GWB745" s="487"/>
      <c r="GWC745" s="487"/>
      <c r="GWD745" s="487"/>
      <c r="GWE745" s="487"/>
      <c r="GWF745" s="487"/>
      <c r="GWG745" s="487"/>
      <c r="GWH745" s="487"/>
      <c r="GWI745" s="487"/>
      <c r="GWJ745" s="487"/>
      <c r="GWK745" s="487"/>
      <c r="GWL745" s="487"/>
      <c r="GWM745" s="487"/>
      <c r="GWN745" s="487"/>
      <c r="GWO745" s="487"/>
      <c r="GWP745" s="487"/>
      <c r="GWQ745" s="487"/>
      <c r="GWR745" s="487"/>
      <c r="GWS745" s="487"/>
      <c r="GWT745" s="487"/>
      <c r="GWU745" s="487"/>
      <c r="GWV745" s="487"/>
      <c r="GWW745" s="487"/>
      <c r="GWX745" s="487"/>
      <c r="GWY745" s="487"/>
      <c r="GWZ745" s="487"/>
      <c r="GXA745" s="487"/>
      <c r="GXB745" s="487"/>
      <c r="GXC745" s="487"/>
      <c r="GXD745" s="487"/>
      <c r="GXE745" s="487"/>
      <c r="GXF745" s="487"/>
      <c r="GXG745" s="487"/>
      <c r="GXH745" s="487"/>
      <c r="GXI745" s="487"/>
      <c r="GXJ745" s="487"/>
      <c r="GXK745" s="487"/>
      <c r="GXL745" s="487"/>
      <c r="GXM745" s="487"/>
      <c r="GXN745" s="487"/>
      <c r="GXO745" s="487"/>
      <c r="GXP745" s="487"/>
      <c r="GXQ745" s="487"/>
      <c r="GXR745" s="487"/>
      <c r="GXS745" s="487"/>
      <c r="GXT745" s="487"/>
      <c r="GXU745" s="487"/>
      <c r="GXV745" s="487"/>
      <c r="GXW745" s="487"/>
      <c r="GXX745" s="487"/>
      <c r="GXY745" s="487"/>
      <c r="GXZ745" s="487"/>
      <c r="GYA745" s="487"/>
      <c r="GYB745" s="487"/>
      <c r="GYC745" s="487"/>
      <c r="GYD745" s="487"/>
      <c r="GYE745" s="487"/>
      <c r="GYF745" s="487"/>
      <c r="GYG745" s="487"/>
      <c r="GYH745" s="487"/>
      <c r="GYI745" s="487"/>
      <c r="GYJ745" s="487"/>
      <c r="GYK745" s="487"/>
      <c r="GYL745" s="487"/>
      <c r="GYM745" s="487"/>
      <c r="GYN745" s="487"/>
      <c r="GYO745" s="487"/>
      <c r="GYP745" s="487"/>
      <c r="GYQ745" s="487"/>
      <c r="GYR745" s="487"/>
      <c r="GYS745" s="487"/>
      <c r="GYT745" s="487"/>
      <c r="GYU745" s="487"/>
      <c r="GYV745" s="487"/>
      <c r="GYW745" s="487"/>
      <c r="GYX745" s="487"/>
      <c r="GYY745" s="487"/>
      <c r="GYZ745" s="487"/>
      <c r="GZA745" s="487"/>
      <c r="GZB745" s="487"/>
      <c r="GZC745" s="487"/>
      <c r="GZD745" s="487"/>
      <c r="GZE745" s="487"/>
      <c r="GZF745" s="487"/>
      <c r="GZG745" s="487"/>
      <c r="GZH745" s="487"/>
      <c r="GZI745" s="487"/>
      <c r="GZJ745" s="487"/>
      <c r="GZK745" s="487"/>
      <c r="GZL745" s="487"/>
      <c r="GZM745" s="487"/>
      <c r="GZN745" s="487"/>
      <c r="GZO745" s="487"/>
      <c r="GZP745" s="487"/>
      <c r="GZQ745" s="487"/>
      <c r="GZR745" s="487"/>
      <c r="GZS745" s="487"/>
      <c r="GZT745" s="487"/>
      <c r="GZU745" s="487"/>
      <c r="GZV745" s="487"/>
      <c r="GZW745" s="487"/>
      <c r="GZX745" s="487"/>
      <c r="GZY745" s="487"/>
      <c r="GZZ745" s="487"/>
      <c r="HAA745" s="487"/>
      <c r="HAB745" s="487"/>
      <c r="HAC745" s="487"/>
      <c r="HAD745" s="487"/>
      <c r="HAE745" s="487"/>
      <c r="HAF745" s="487"/>
      <c r="HAG745" s="487"/>
      <c r="HAH745" s="487"/>
      <c r="HAI745" s="487"/>
      <c r="HAJ745" s="487"/>
      <c r="HAK745" s="487"/>
      <c r="HAL745" s="487"/>
      <c r="HAM745" s="487"/>
      <c r="HAN745" s="487"/>
      <c r="HAO745" s="487"/>
      <c r="HAP745" s="487"/>
      <c r="HAQ745" s="487"/>
      <c r="HAR745" s="487"/>
      <c r="HAS745" s="487"/>
      <c r="HAT745" s="487"/>
      <c r="HAU745" s="487"/>
      <c r="HAV745" s="487"/>
      <c r="HAW745" s="487"/>
      <c r="HAX745" s="487"/>
      <c r="HAY745" s="487"/>
      <c r="HAZ745" s="487"/>
      <c r="HBA745" s="487"/>
      <c r="HBB745" s="487"/>
      <c r="HBC745" s="487"/>
      <c r="HBD745" s="487"/>
      <c r="HBE745" s="487"/>
      <c r="HBF745" s="487"/>
      <c r="HBG745" s="487"/>
      <c r="HBH745" s="487"/>
      <c r="HBI745" s="487"/>
      <c r="HBJ745" s="487"/>
      <c r="HBK745" s="487"/>
      <c r="HBL745" s="487"/>
      <c r="HBM745" s="487"/>
      <c r="HBN745" s="487"/>
      <c r="HBO745" s="487"/>
      <c r="HBP745" s="487"/>
      <c r="HBQ745" s="487"/>
      <c r="HBR745" s="487"/>
      <c r="HBS745" s="487"/>
      <c r="HBT745" s="487"/>
      <c r="HBU745" s="487"/>
      <c r="HBV745" s="487"/>
      <c r="HBW745" s="487"/>
      <c r="HBX745" s="487"/>
      <c r="HBY745" s="487"/>
      <c r="HBZ745" s="487"/>
      <c r="HCA745" s="487"/>
      <c r="HCB745" s="487"/>
      <c r="HCC745" s="487"/>
      <c r="HCD745" s="487"/>
      <c r="HCE745" s="487"/>
      <c r="HCF745" s="487"/>
      <c r="HCG745" s="487"/>
      <c r="HCH745" s="487"/>
      <c r="HCI745" s="487"/>
      <c r="HCJ745" s="487"/>
      <c r="HCK745" s="487"/>
      <c r="HCL745" s="487"/>
      <c r="HCM745" s="487"/>
      <c r="HCN745" s="487"/>
      <c r="HCO745" s="487"/>
      <c r="HCP745" s="487"/>
      <c r="HCQ745" s="487"/>
      <c r="HCR745" s="487"/>
      <c r="HCS745" s="487"/>
      <c r="HCT745" s="487"/>
      <c r="HCU745" s="487"/>
      <c r="HCV745" s="487"/>
      <c r="HCW745" s="487"/>
      <c r="HCX745" s="487"/>
      <c r="HCY745" s="487"/>
      <c r="HCZ745" s="487"/>
      <c r="HDA745" s="487"/>
      <c r="HDB745" s="487"/>
      <c r="HDC745" s="487"/>
      <c r="HDD745" s="487"/>
      <c r="HDE745" s="487"/>
      <c r="HDF745" s="487"/>
      <c r="HDG745" s="487"/>
      <c r="HDH745" s="487"/>
      <c r="HDI745" s="487"/>
      <c r="HDJ745" s="487"/>
      <c r="HDK745" s="487"/>
      <c r="HDL745" s="487"/>
      <c r="HDM745" s="487"/>
      <c r="HDN745" s="487"/>
      <c r="HDO745" s="487"/>
      <c r="HDP745" s="487"/>
      <c r="HDQ745" s="487"/>
      <c r="HDR745" s="487"/>
      <c r="HDS745" s="487"/>
      <c r="HDT745" s="487"/>
      <c r="HDU745" s="487"/>
      <c r="HDV745" s="487"/>
      <c r="HDW745" s="487"/>
      <c r="HDX745" s="487"/>
      <c r="HDY745" s="487"/>
      <c r="HDZ745" s="487"/>
      <c r="HEA745" s="487"/>
      <c r="HEB745" s="487"/>
      <c r="HEC745" s="487"/>
      <c r="HED745" s="487"/>
      <c r="HEE745" s="487"/>
      <c r="HEF745" s="487"/>
      <c r="HEG745" s="487"/>
      <c r="HEH745" s="487"/>
      <c r="HEI745" s="487"/>
      <c r="HEJ745" s="487"/>
      <c r="HEK745" s="487"/>
      <c r="HEL745" s="487"/>
      <c r="HEM745" s="487"/>
      <c r="HEN745" s="487"/>
      <c r="HEO745" s="487"/>
      <c r="HEP745" s="487"/>
      <c r="HEQ745" s="487"/>
      <c r="HER745" s="487"/>
      <c r="HES745" s="487"/>
      <c r="HET745" s="487"/>
      <c r="HEU745" s="487"/>
      <c r="HEV745" s="487"/>
      <c r="HEW745" s="487"/>
      <c r="HEX745" s="487"/>
      <c r="HEY745" s="487"/>
      <c r="HEZ745" s="487"/>
      <c r="HFA745" s="487"/>
      <c r="HFB745" s="487"/>
      <c r="HFC745" s="487"/>
      <c r="HFD745" s="487"/>
      <c r="HFE745" s="487"/>
      <c r="HFF745" s="487"/>
      <c r="HFG745" s="487"/>
      <c r="HFH745" s="487"/>
      <c r="HFI745" s="487"/>
      <c r="HFJ745" s="487"/>
      <c r="HFK745" s="487"/>
      <c r="HFL745" s="487"/>
      <c r="HFM745" s="487"/>
      <c r="HFN745" s="487"/>
      <c r="HFO745" s="487"/>
      <c r="HFP745" s="487"/>
      <c r="HFQ745" s="487"/>
      <c r="HFR745" s="487"/>
      <c r="HFS745" s="487"/>
      <c r="HFT745" s="487"/>
      <c r="HFU745" s="487"/>
      <c r="HFV745" s="487"/>
      <c r="HFW745" s="487"/>
      <c r="HFX745" s="487"/>
      <c r="HFY745" s="487"/>
      <c r="HFZ745" s="487"/>
      <c r="HGA745" s="487"/>
      <c r="HGB745" s="487"/>
      <c r="HGC745" s="487"/>
      <c r="HGD745" s="487"/>
      <c r="HGE745" s="487"/>
      <c r="HGF745" s="487"/>
      <c r="HGG745" s="487"/>
      <c r="HGH745" s="487"/>
      <c r="HGI745" s="487"/>
      <c r="HGJ745" s="487"/>
      <c r="HGK745" s="487"/>
      <c r="HGL745" s="487"/>
      <c r="HGM745" s="487"/>
      <c r="HGN745" s="487"/>
      <c r="HGO745" s="487"/>
      <c r="HGP745" s="487"/>
      <c r="HGQ745" s="487"/>
      <c r="HGR745" s="487"/>
      <c r="HGS745" s="487"/>
      <c r="HGT745" s="487"/>
      <c r="HGU745" s="487"/>
      <c r="HGV745" s="487"/>
      <c r="HGW745" s="487"/>
      <c r="HGX745" s="487"/>
      <c r="HGY745" s="487"/>
      <c r="HGZ745" s="487"/>
      <c r="HHA745" s="487"/>
      <c r="HHB745" s="487"/>
      <c r="HHC745" s="487"/>
      <c r="HHD745" s="487"/>
      <c r="HHE745" s="487"/>
      <c r="HHF745" s="487"/>
      <c r="HHG745" s="487"/>
      <c r="HHH745" s="487"/>
      <c r="HHI745" s="487"/>
      <c r="HHJ745" s="487"/>
      <c r="HHK745" s="487"/>
      <c r="HHL745" s="487"/>
      <c r="HHM745" s="487"/>
      <c r="HHN745" s="487"/>
      <c r="HHO745" s="487"/>
      <c r="HHP745" s="487"/>
      <c r="HHQ745" s="487"/>
      <c r="HHR745" s="487"/>
      <c r="HHS745" s="487"/>
      <c r="HHT745" s="487"/>
      <c r="HHU745" s="487"/>
      <c r="HHV745" s="487"/>
      <c r="HHW745" s="487"/>
      <c r="HHX745" s="487"/>
      <c r="HHY745" s="487"/>
      <c r="HHZ745" s="487"/>
      <c r="HIA745" s="487"/>
      <c r="HIB745" s="487"/>
      <c r="HIC745" s="487"/>
      <c r="HID745" s="487"/>
      <c r="HIE745" s="487"/>
      <c r="HIF745" s="487"/>
      <c r="HIG745" s="487"/>
      <c r="HIH745" s="487"/>
      <c r="HII745" s="487"/>
      <c r="HIJ745" s="487"/>
      <c r="HIK745" s="487"/>
      <c r="HIL745" s="487"/>
      <c r="HIM745" s="487"/>
      <c r="HIN745" s="487"/>
      <c r="HIO745" s="487"/>
      <c r="HIP745" s="487"/>
      <c r="HIQ745" s="487"/>
      <c r="HIR745" s="487"/>
      <c r="HIS745" s="487"/>
      <c r="HIT745" s="487"/>
      <c r="HIU745" s="487"/>
      <c r="HIV745" s="487"/>
      <c r="HIW745" s="487"/>
      <c r="HIX745" s="487"/>
      <c r="HIY745" s="487"/>
      <c r="HIZ745" s="487"/>
      <c r="HJA745" s="487"/>
      <c r="HJB745" s="487"/>
      <c r="HJC745" s="487"/>
      <c r="HJD745" s="487"/>
      <c r="HJE745" s="487"/>
      <c r="HJF745" s="487"/>
      <c r="HJG745" s="487"/>
      <c r="HJH745" s="487"/>
      <c r="HJI745" s="487"/>
      <c r="HJJ745" s="487"/>
      <c r="HJK745" s="487"/>
      <c r="HJL745" s="487"/>
      <c r="HJM745" s="487"/>
      <c r="HJN745" s="487"/>
      <c r="HJO745" s="487"/>
      <c r="HJP745" s="487"/>
      <c r="HJQ745" s="487"/>
      <c r="HJR745" s="487"/>
      <c r="HJS745" s="487"/>
      <c r="HJT745" s="487"/>
      <c r="HJU745" s="487"/>
      <c r="HJV745" s="487"/>
      <c r="HJW745" s="487"/>
      <c r="HJX745" s="487"/>
      <c r="HJY745" s="487"/>
      <c r="HJZ745" s="487"/>
      <c r="HKA745" s="487"/>
      <c r="HKB745" s="487"/>
      <c r="HKC745" s="487"/>
      <c r="HKD745" s="487"/>
      <c r="HKE745" s="487"/>
      <c r="HKF745" s="487"/>
      <c r="HKG745" s="487"/>
      <c r="HKH745" s="487"/>
      <c r="HKI745" s="487"/>
      <c r="HKJ745" s="487"/>
      <c r="HKK745" s="487"/>
      <c r="HKL745" s="487"/>
      <c r="HKM745" s="487"/>
      <c r="HKN745" s="487"/>
      <c r="HKO745" s="487"/>
      <c r="HKP745" s="487"/>
      <c r="HKQ745" s="487"/>
      <c r="HKR745" s="487"/>
      <c r="HKS745" s="487"/>
      <c r="HKT745" s="487"/>
      <c r="HKU745" s="487"/>
      <c r="HKV745" s="487"/>
      <c r="HKW745" s="487"/>
      <c r="HKX745" s="487"/>
      <c r="HKY745" s="487"/>
      <c r="HKZ745" s="487"/>
      <c r="HLA745" s="487"/>
      <c r="HLB745" s="487"/>
      <c r="HLC745" s="487"/>
      <c r="HLD745" s="487"/>
      <c r="HLE745" s="487"/>
      <c r="HLF745" s="487"/>
      <c r="HLG745" s="487"/>
      <c r="HLH745" s="487"/>
      <c r="HLI745" s="487"/>
      <c r="HLJ745" s="487"/>
      <c r="HLK745" s="487"/>
      <c r="HLL745" s="487"/>
      <c r="HLM745" s="487"/>
      <c r="HLN745" s="487"/>
      <c r="HLO745" s="487"/>
      <c r="HLP745" s="487"/>
      <c r="HLQ745" s="487"/>
      <c r="HLR745" s="487"/>
      <c r="HLS745" s="487"/>
      <c r="HLT745" s="487"/>
      <c r="HLU745" s="487"/>
      <c r="HLV745" s="487"/>
      <c r="HLW745" s="487"/>
      <c r="HLX745" s="487"/>
      <c r="HLY745" s="487"/>
      <c r="HLZ745" s="487"/>
      <c r="HMA745" s="487"/>
      <c r="HMB745" s="487"/>
      <c r="HMC745" s="487"/>
      <c r="HMD745" s="487"/>
      <c r="HME745" s="487"/>
      <c r="HMF745" s="487"/>
      <c r="HMG745" s="487"/>
      <c r="HMH745" s="487"/>
      <c r="HMI745" s="487"/>
      <c r="HMJ745" s="487"/>
      <c r="HMK745" s="487"/>
      <c r="HML745" s="487"/>
      <c r="HMM745" s="487"/>
      <c r="HMN745" s="487"/>
      <c r="HMO745" s="487"/>
      <c r="HMP745" s="487"/>
      <c r="HMQ745" s="487"/>
      <c r="HMR745" s="487"/>
      <c r="HMS745" s="487"/>
      <c r="HMT745" s="487"/>
      <c r="HMU745" s="487"/>
      <c r="HMV745" s="487"/>
      <c r="HMW745" s="487"/>
      <c r="HMX745" s="487"/>
      <c r="HMY745" s="487"/>
      <c r="HMZ745" s="487"/>
      <c r="HNA745" s="487"/>
      <c r="HNB745" s="487"/>
      <c r="HNC745" s="487"/>
      <c r="HND745" s="487"/>
      <c r="HNE745" s="487"/>
      <c r="HNF745" s="487"/>
      <c r="HNG745" s="487"/>
      <c r="HNH745" s="487"/>
      <c r="HNI745" s="487"/>
      <c r="HNJ745" s="487"/>
      <c r="HNK745" s="487"/>
      <c r="HNL745" s="487"/>
      <c r="HNM745" s="487"/>
      <c r="HNN745" s="487"/>
      <c r="HNO745" s="487"/>
      <c r="HNP745" s="487"/>
      <c r="HNQ745" s="487"/>
      <c r="HNR745" s="487"/>
      <c r="HNS745" s="487"/>
      <c r="HNT745" s="487"/>
      <c r="HNU745" s="487"/>
      <c r="HNV745" s="487"/>
      <c r="HNW745" s="487"/>
      <c r="HNX745" s="487"/>
      <c r="HNY745" s="487"/>
      <c r="HNZ745" s="487"/>
      <c r="HOA745" s="487"/>
      <c r="HOB745" s="487"/>
      <c r="HOC745" s="487"/>
      <c r="HOD745" s="487"/>
      <c r="HOE745" s="487"/>
      <c r="HOF745" s="487"/>
      <c r="HOG745" s="487"/>
      <c r="HOH745" s="487"/>
      <c r="HOI745" s="487"/>
      <c r="HOJ745" s="487"/>
      <c r="HOK745" s="487"/>
      <c r="HOL745" s="487"/>
      <c r="HOM745" s="487"/>
      <c r="HON745" s="487"/>
      <c r="HOO745" s="487"/>
      <c r="HOP745" s="487"/>
      <c r="HOQ745" s="487"/>
      <c r="HOR745" s="487"/>
      <c r="HOS745" s="487"/>
      <c r="HOT745" s="487"/>
      <c r="HOU745" s="487"/>
      <c r="HOV745" s="487"/>
      <c r="HOW745" s="487"/>
      <c r="HOX745" s="487"/>
      <c r="HOY745" s="487"/>
      <c r="HOZ745" s="487"/>
      <c r="HPA745" s="487"/>
      <c r="HPB745" s="487"/>
      <c r="HPC745" s="487"/>
      <c r="HPD745" s="487"/>
      <c r="HPE745" s="487"/>
      <c r="HPF745" s="487"/>
      <c r="HPG745" s="487"/>
      <c r="HPH745" s="487"/>
      <c r="HPI745" s="487"/>
      <c r="HPJ745" s="487"/>
      <c r="HPK745" s="487"/>
      <c r="HPL745" s="487"/>
      <c r="HPM745" s="487"/>
      <c r="HPN745" s="487"/>
      <c r="HPO745" s="487"/>
      <c r="HPP745" s="487"/>
      <c r="HPQ745" s="487"/>
      <c r="HPR745" s="487"/>
      <c r="HPS745" s="487"/>
      <c r="HPT745" s="487"/>
      <c r="HPU745" s="487"/>
      <c r="HPV745" s="487"/>
      <c r="HPW745" s="487"/>
      <c r="HPX745" s="487"/>
      <c r="HPY745" s="487"/>
      <c r="HPZ745" s="487"/>
      <c r="HQA745" s="487"/>
      <c r="HQB745" s="487"/>
      <c r="HQC745" s="487"/>
      <c r="HQD745" s="487"/>
      <c r="HQE745" s="487"/>
      <c r="HQF745" s="487"/>
      <c r="HQG745" s="487"/>
      <c r="HQH745" s="487"/>
      <c r="HQI745" s="487"/>
      <c r="HQJ745" s="487"/>
      <c r="HQK745" s="487"/>
      <c r="HQL745" s="487"/>
      <c r="HQM745" s="487"/>
      <c r="HQN745" s="487"/>
      <c r="HQO745" s="487"/>
      <c r="HQP745" s="487"/>
      <c r="HQQ745" s="487"/>
      <c r="HQR745" s="487"/>
      <c r="HQS745" s="487"/>
      <c r="HQT745" s="487"/>
      <c r="HQU745" s="487"/>
      <c r="HQV745" s="487"/>
      <c r="HQW745" s="487"/>
      <c r="HQX745" s="487"/>
      <c r="HQY745" s="487"/>
      <c r="HQZ745" s="487"/>
      <c r="HRA745" s="487"/>
      <c r="HRB745" s="487"/>
      <c r="HRC745" s="487"/>
      <c r="HRD745" s="487"/>
      <c r="HRE745" s="487"/>
      <c r="HRF745" s="487"/>
      <c r="HRG745" s="487"/>
      <c r="HRH745" s="487"/>
      <c r="HRI745" s="487"/>
      <c r="HRJ745" s="487"/>
      <c r="HRK745" s="487"/>
      <c r="HRL745" s="487"/>
      <c r="HRM745" s="487"/>
      <c r="HRN745" s="487"/>
      <c r="HRO745" s="487"/>
      <c r="HRP745" s="487"/>
      <c r="HRQ745" s="487"/>
      <c r="HRR745" s="487"/>
      <c r="HRS745" s="487"/>
      <c r="HRT745" s="487"/>
      <c r="HRU745" s="487"/>
      <c r="HRV745" s="487"/>
      <c r="HRW745" s="487"/>
      <c r="HRX745" s="487"/>
      <c r="HRY745" s="487"/>
      <c r="HRZ745" s="487"/>
      <c r="HSA745" s="487"/>
      <c r="HSB745" s="487"/>
      <c r="HSC745" s="487"/>
      <c r="HSD745" s="487"/>
      <c r="HSE745" s="487"/>
      <c r="HSF745" s="487"/>
      <c r="HSG745" s="487"/>
      <c r="HSH745" s="487"/>
      <c r="HSI745" s="487"/>
      <c r="HSJ745" s="487"/>
      <c r="HSK745" s="487"/>
      <c r="HSL745" s="487"/>
      <c r="HSM745" s="487"/>
      <c r="HSN745" s="487"/>
      <c r="HSO745" s="487"/>
      <c r="HSP745" s="487"/>
      <c r="HSQ745" s="487"/>
      <c r="HSR745" s="487"/>
      <c r="HSS745" s="487"/>
      <c r="HST745" s="487"/>
      <c r="HSU745" s="487"/>
      <c r="HSV745" s="487"/>
      <c r="HSW745" s="487"/>
      <c r="HSX745" s="487"/>
      <c r="HSY745" s="487"/>
      <c r="HSZ745" s="487"/>
      <c r="HTA745" s="487"/>
      <c r="HTB745" s="487"/>
      <c r="HTC745" s="487"/>
      <c r="HTD745" s="487"/>
      <c r="HTE745" s="487"/>
      <c r="HTF745" s="487"/>
      <c r="HTG745" s="487"/>
      <c r="HTH745" s="487"/>
      <c r="HTI745" s="487"/>
      <c r="HTJ745" s="487"/>
      <c r="HTK745" s="487"/>
      <c r="HTL745" s="487"/>
      <c r="HTM745" s="487"/>
      <c r="HTN745" s="487"/>
      <c r="HTO745" s="487"/>
      <c r="HTP745" s="487"/>
      <c r="HTQ745" s="487"/>
      <c r="HTR745" s="487"/>
      <c r="HTS745" s="487"/>
      <c r="HTT745" s="487"/>
      <c r="HTU745" s="487"/>
      <c r="HTV745" s="487"/>
      <c r="HTW745" s="487"/>
      <c r="HTX745" s="487"/>
      <c r="HTY745" s="487"/>
      <c r="HTZ745" s="487"/>
      <c r="HUA745" s="487"/>
      <c r="HUB745" s="487"/>
      <c r="HUC745" s="487"/>
      <c r="HUD745" s="487"/>
      <c r="HUE745" s="487"/>
      <c r="HUF745" s="487"/>
      <c r="HUG745" s="487"/>
      <c r="HUH745" s="487"/>
      <c r="HUI745" s="487"/>
      <c r="HUJ745" s="487"/>
      <c r="HUK745" s="487"/>
      <c r="HUL745" s="487"/>
      <c r="HUM745" s="487"/>
      <c r="HUN745" s="487"/>
      <c r="HUO745" s="487"/>
      <c r="HUP745" s="487"/>
      <c r="HUQ745" s="487"/>
      <c r="HUR745" s="487"/>
      <c r="HUS745" s="487"/>
      <c r="HUT745" s="487"/>
      <c r="HUU745" s="487"/>
      <c r="HUV745" s="487"/>
      <c r="HUW745" s="487"/>
      <c r="HUX745" s="487"/>
      <c r="HUY745" s="487"/>
      <c r="HUZ745" s="487"/>
      <c r="HVA745" s="487"/>
      <c r="HVB745" s="487"/>
      <c r="HVC745" s="487"/>
      <c r="HVD745" s="487"/>
      <c r="HVE745" s="487"/>
      <c r="HVF745" s="487"/>
      <c r="HVG745" s="487"/>
      <c r="HVH745" s="487"/>
      <c r="HVI745" s="487"/>
      <c r="HVJ745" s="487"/>
      <c r="HVK745" s="487"/>
      <c r="HVL745" s="487"/>
      <c r="HVM745" s="487"/>
      <c r="HVN745" s="487"/>
      <c r="HVO745" s="487"/>
      <c r="HVP745" s="487"/>
      <c r="HVQ745" s="487"/>
      <c r="HVR745" s="487"/>
      <c r="HVS745" s="487"/>
      <c r="HVT745" s="487"/>
      <c r="HVU745" s="487"/>
      <c r="HVV745" s="487"/>
      <c r="HVW745" s="487"/>
      <c r="HVX745" s="487"/>
      <c r="HVY745" s="487"/>
      <c r="HVZ745" s="487"/>
      <c r="HWA745" s="487"/>
      <c r="HWB745" s="487"/>
      <c r="HWC745" s="487"/>
      <c r="HWD745" s="487"/>
      <c r="HWE745" s="487"/>
      <c r="HWF745" s="487"/>
      <c r="HWG745" s="487"/>
      <c r="HWH745" s="487"/>
      <c r="HWI745" s="487"/>
      <c r="HWJ745" s="487"/>
      <c r="HWK745" s="487"/>
      <c r="HWL745" s="487"/>
      <c r="HWM745" s="487"/>
      <c r="HWN745" s="487"/>
      <c r="HWO745" s="487"/>
      <c r="HWP745" s="487"/>
      <c r="HWQ745" s="487"/>
      <c r="HWR745" s="487"/>
      <c r="HWS745" s="487"/>
      <c r="HWT745" s="487"/>
      <c r="HWU745" s="487"/>
      <c r="HWV745" s="487"/>
      <c r="HWW745" s="487"/>
      <c r="HWX745" s="487"/>
      <c r="HWY745" s="487"/>
      <c r="HWZ745" s="487"/>
      <c r="HXA745" s="487"/>
      <c r="HXB745" s="487"/>
      <c r="HXC745" s="487"/>
      <c r="HXD745" s="487"/>
      <c r="HXE745" s="487"/>
      <c r="HXF745" s="487"/>
      <c r="HXG745" s="487"/>
      <c r="HXH745" s="487"/>
      <c r="HXI745" s="487"/>
      <c r="HXJ745" s="487"/>
      <c r="HXK745" s="487"/>
      <c r="HXL745" s="487"/>
      <c r="HXM745" s="487"/>
      <c r="HXN745" s="487"/>
      <c r="HXO745" s="487"/>
      <c r="HXP745" s="487"/>
      <c r="HXQ745" s="487"/>
      <c r="HXR745" s="487"/>
      <c r="HXS745" s="487"/>
      <c r="HXT745" s="487"/>
      <c r="HXU745" s="487"/>
      <c r="HXV745" s="487"/>
      <c r="HXW745" s="487"/>
      <c r="HXX745" s="487"/>
      <c r="HXY745" s="487"/>
      <c r="HXZ745" s="487"/>
      <c r="HYA745" s="487"/>
      <c r="HYB745" s="487"/>
      <c r="HYC745" s="487"/>
      <c r="HYD745" s="487"/>
      <c r="HYE745" s="487"/>
      <c r="HYF745" s="487"/>
      <c r="HYG745" s="487"/>
      <c r="HYH745" s="487"/>
      <c r="HYI745" s="487"/>
      <c r="HYJ745" s="487"/>
      <c r="HYK745" s="487"/>
      <c r="HYL745" s="487"/>
      <c r="HYM745" s="487"/>
      <c r="HYN745" s="487"/>
      <c r="HYO745" s="487"/>
      <c r="HYP745" s="487"/>
      <c r="HYQ745" s="487"/>
      <c r="HYR745" s="487"/>
      <c r="HYS745" s="487"/>
      <c r="HYT745" s="487"/>
      <c r="HYU745" s="487"/>
      <c r="HYV745" s="487"/>
      <c r="HYW745" s="487"/>
      <c r="HYX745" s="487"/>
      <c r="HYY745" s="487"/>
      <c r="HYZ745" s="487"/>
      <c r="HZA745" s="487"/>
      <c r="HZB745" s="487"/>
      <c r="HZC745" s="487"/>
      <c r="HZD745" s="487"/>
      <c r="HZE745" s="487"/>
      <c r="HZF745" s="487"/>
      <c r="HZG745" s="487"/>
      <c r="HZH745" s="487"/>
      <c r="HZI745" s="487"/>
      <c r="HZJ745" s="487"/>
      <c r="HZK745" s="487"/>
      <c r="HZL745" s="487"/>
      <c r="HZM745" s="487"/>
      <c r="HZN745" s="487"/>
      <c r="HZO745" s="487"/>
      <c r="HZP745" s="487"/>
      <c r="HZQ745" s="487"/>
      <c r="HZR745" s="487"/>
      <c r="HZS745" s="487"/>
      <c r="HZT745" s="487"/>
      <c r="HZU745" s="487"/>
      <c r="HZV745" s="487"/>
      <c r="HZW745" s="487"/>
      <c r="HZX745" s="487"/>
      <c r="HZY745" s="487"/>
      <c r="HZZ745" s="487"/>
      <c r="IAA745" s="487"/>
      <c r="IAB745" s="487"/>
      <c r="IAC745" s="487"/>
      <c r="IAD745" s="487"/>
      <c r="IAE745" s="487"/>
      <c r="IAF745" s="487"/>
      <c r="IAG745" s="487"/>
      <c r="IAH745" s="487"/>
      <c r="IAI745" s="487"/>
      <c r="IAJ745" s="487"/>
      <c r="IAK745" s="487"/>
      <c r="IAL745" s="487"/>
      <c r="IAM745" s="487"/>
      <c r="IAN745" s="487"/>
      <c r="IAO745" s="487"/>
      <c r="IAP745" s="487"/>
      <c r="IAQ745" s="487"/>
      <c r="IAR745" s="487"/>
      <c r="IAS745" s="487"/>
      <c r="IAT745" s="487"/>
      <c r="IAU745" s="487"/>
      <c r="IAV745" s="487"/>
      <c r="IAW745" s="487"/>
      <c r="IAX745" s="487"/>
      <c r="IAY745" s="487"/>
      <c r="IAZ745" s="487"/>
      <c r="IBA745" s="487"/>
      <c r="IBB745" s="487"/>
      <c r="IBC745" s="487"/>
      <c r="IBD745" s="487"/>
      <c r="IBE745" s="487"/>
      <c r="IBF745" s="487"/>
      <c r="IBG745" s="487"/>
      <c r="IBH745" s="487"/>
      <c r="IBI745" s="487"/>
      <c r="IBJ745" s="487"/>
      <c r="IBK745" s="487"/>
      <c r="IBL745" s="487"/>
      <c r="IBM745" s="487"/>
      <c r="IBN745" s="487"/>
      <c r="IBO745" s="487"/>
      <c r="IBP745" s="487"/>
      <c r="IBQ745" s="487"/>
      <c r="IBR745" s="487"/>
      <c r="IBS745" s="487"/>
      <c r="IBT745" s="487"/>
      <c r="IBU745" s="487"/>
      <c r="IBV745" s="487"/>
      <c r="IBW745" s="487"/>
      <c r="IBX745" s="487"/>
      <c r="IBY745" s="487"/>
      <c r="IBZ745" s="487"/>
      <c r="ICA745" s="487"/>
      <c r="ICB745" s="487"/>
      <c r="ICC745" s="487"/>
      <c r="ICD745" s="487"/>
      <c r="ICE745" s="487"/>
      <c r="ICF745" s="487"/>
      <c r="ICG745" s="487"/>
      <c r="ICH745" s="487"/>
      <c r="ICI745" s="487"/>
      <c r="ICJ745" s="487"/>
      <c r="ICK745" s="487"/>
      <c r="ICL745" s="487"/>
      <c r="ICM745" s="487"/>
      <c r="ICN745" s="487"/>
      <c r="ICO745" s="487"/>
      <c r="ICP745" s="487"/>
      <c r="ICQ745" s="487"/>
      <c r="ICR745" s="487"/>
      <c r="ICS745" s="487"/>
      <c r="ICT745" s="487"/>
      <c r="ICU745" s="487"/>
      <c r="ICV745" s="487"/>
      <c r="ICW745" s="487"/>
      <c r="ICX745" s="487"/>
      <c r="ICY745" s="487"/>
      <c r="ICZ745" s="487"/>
      <c r="IDA745" s="487"/>
      <c r="IDB745" s="487"/>
      <c r="IDC745" s="487"/>
      <c r="IDD745" s="487"/>
      <c r="IDE745" s="487"/>
      <c r="IDF745" s="487"/>
      <c r="IDG745" s="487"/>
      <c r="IDH745" s="487"/>
      <c r="IDI745" s="487"/>
      <c r="IDJ745" s="487"/>
      <c r="IDK745" s="487"/>
      <c r="IDL745" s="487"/>
      <c r="IDM745" s="487"/>
      <c r="IDN745" s="487"/>
      <c r="IDO745" s="487"/>
      <c r="IDP745" s="487"/>
      <c r="IDQ745" s="487"/>
      <c r="IDR745" s="487"/>
      <c r="IDS745" s="487"/>
      <c r="IDT745" s="487"/>
      <c r="IDU745" s="487"/>
      <c r="IDV745" s="487"/>
      <c r="IDW745" s="487"/>
      <c r="IDX745" s="487"/>
      <c r="IDY745" s="487"/>
      <c r="IDZ745" s="487"/>
      <c r="IEA745" s="487"/>
      <c r="IEB745" s="487"/>
      <c r="IEC745" s="487"/>
      <c r="IED745" s="487"/>
      <c r="IEE745" s="487"/>
      <c r="IEF745" s="487"/>
      <c r="IEG745" s="487"/>
      <c r="IEH745" s="487"/>
      <c r="IEI745" s="487"/>
      <c r="IEJ745" s="487"/>
      <c r="IEK745" s="487"/>
      <c r="IEL745" s="487"/>
      <c r="IEM745" s="487"/>
      <c r="IEN745" s="487"/>
      <c r="IEO745" s="487"/>
      <c r="IEP745" s="487"/>
      <c r="IEQ745" s="487"/>
      <c r="IER745" s="487"/>
      <c r="IES745" s="487"/>
      <c r="IET745" s="487"/>
      <c r="IEU745" s="487"/>
      <c r="IEV745" s="487"/>
      <c r="IEW745" s="487"/>
      <c r="IEX745" s="487"/>
      <c r="IEY745" s="487"/>
      <c r="IEZ745" s="487"/>
      <c r="IFA745" s="487"/>
      <c r="IFB745" s="487"/>
      <c r="IFC745" s="487"/>
      <c r="IFD745" s="487"/>
      <c r="IFE745" s="487"/>
      <c r="IFF745" s="487"/>
      <c r="IFG745" s="487"/>
      <c r="IFH745" s="487"/>
      <c r="IFI745" s="487"/>
      <c r="IFJ745" s="487"/>
      <c r="IFK745" s="487"/>
      <c r="IFL745" s="487"/>
      <c r="IFM745" s="487"/>
      <c r="IFN745" s="487"/>
      <c r="IFO745" s="487"/>
      <c r="IFP745" s="487"/>
      <c r="IFQ745" s="487"/>
      <c r="IFR745" s="487"/>
      <c r="IFS745" s="487"/>
      <c r="IFT745" s="487"/>
      <c r="IFU745" s="487"/>
      <c r="IFV745" s="487"/>
      <c r="IFW745" s="487"/>
      <c r="IFX745" s="487"/>
      <c r="IFY745" s="487"/>
      <c r="IFZ745" s="487"/>
      <c r="IGA745" s="487"/>
      <c r="IGB745" s="487"/>
      <c r="IGC745" s="487"/>
      <c r="IGD745" s="487"/>
      <c r="IGE745" s="487"/>
      <c r="IGF745" s="487"/>
      <c r="IGG745" s="487"/>
      <c r="IGH745" s="487"/>
      <c r="IGI745" s="487"/>
      <c r="IGJ745" s="487"/>
      <c r="IGK745" s="487"/>
      <c r="IGL745" s="487"/>
      <c r="IGM745" s="487"/>
      <c r="IGN745" s="487"/>
      <c r="IGO745" s="487"/>
      <c r="IGP745" s="487"/>
      <c r="IGQ745" s="487"/>
      <c r="IGR745" s="487"/>
      <c r="IGS745" s="487"/>
      <c r="IGT745" s="487"/>
      <c r="IGU745" s="487"/>
      <c r="IGV745" s="487"/>
      <c r="IGW745" s="487"/>
      <c r="IGX745" s="487"/>
      <c r="IGY745" s="487"/>
      <c r="IGZ745" s="487"/>
      <c r="IHA745" s="487"/>
      <c r="IHB745" s="487"/>
      <c r="IHC745" s="487"/>
      <c r="IHD745" s="487"/>
      <c r="IHE745" s="487"/>
      <c r="IHF745" s="487"/>
      <c r="IHG745" s="487"/>
      <c r="IHH745" s="487"/>
      <c r="IHI745" s="487"/>
      <c r="IHJ745" s="487"/>
      <c r="IHK745" s="487"/>
      <c r="IHL745" s="487"/>
      <c r="IHM745" s="487"/>
      <c r="IHN745" s="487"/>
      <c r="IHO745" s="487"/>
      <c r="IHP745" s="487"/>
      <c r="IHQ745" s="487"/>
      <c r="IHR745" s="487"/>
      <c r="IHS745" s="487"/>
      <c r="IHT745" s="487"/>
      <c r="IHU745" s="487"/>
      <c r="IHV745" s="487"/>
      <c r="IHW745" s="487"/>
      <c r="IHX745" s="487"/>
      <c r="IHY745" s="487"/>
      <c r="IHZ745" s="487"/>
      <c r="IIA745" s="487"/>
      <c r="IIB745" s="487"/>
      <c r="IIC745" s="487"/>
      <c r="IID745" s="487"/>
      <c r="IIE745" s="487"/>
      <c r="IIF745" s="487"/>
      <c r="IIG745" s="487"/>
      <c r="IIH745" s="487"/>
      <c r="III745" s="487"/>
      <c r="IIJ745" s="487"/>
      <c r="IIK745" s="487"/>
      <c r="IIL745" s="487"/>
      <c r="IIM745" s="487"/>
      <c r="IIN745" s="487"/>
      <c r="IIO745" s="487"/>
      <c r="IIP745" s="487"/>
      <c r="IIQ745" s="487"/>
      <c r="IIR745" s="487"/>
      <c r="IIS745" s="487"/>
      <c r="IIT745" s="487"/>
      <c r="IIU745" s="487"/>
      <c r="IIV745" s="487"/>
      <c r="IIW745" s="487"/>
      <c r="IIX745" s="487"/>
      <c r="IIY745" s="487"/>
      <c r="IIZ745" s="487"/>
      <c r="IJA745" s="487"/>
      <c r="IJB745" s="487"/>
      <c r="IJC745" s="487"/>
      <c r="IJD745" s="487"/>
      <c r="IJE745" s="487"/>
      <c r="IJF745" s="487"/>
      <c r="IJG745" s="487"/>
      <c r="IJH745" s="487"/>
      <c r="IJI745" s="487"/>
      <c r="IJJ745" s="487"/>
      <c r="IJK745" s="487"/>
      <c r="IJL745" s="487"/>
      <c r="IJM745" s="487"/>
      <c r="IJN745" s="487"/>
      <c r="IJO745" s="487"/>
      <c r="IJP745" s="487"/>
      <c r="IJQ745" s="487"/>
      <c r="IJR745" s="487"/>
      <c r="IJS745" s="487"/>
      <c r="IJT745" s="487"/>
      <c r="IJU745" s="487"/>
      <c r="IJV745" s="487"/>
      <c r="IJW745" s="487"/>
      <c r="IJX745" s="487"/>
      <c r="IJY745" s="487"/>
      <c r="IJZ745" s="487"/>
      <c r="IKA745" s="487"/>
      <c r="IKB745" s="487"/>
      <c r="IKC745" s="487"/>
      <c r="IKD745" s="487"/>
      <c r="IKE745" s="487"/>
      <c r="IKF745" s="487"/>
      <c r="IKG745" s="487"/>
      <c r="IKH745" s="487"/>
      <c r="IKI745" s="487"/>
      <c r="IKJ745" s="487"/>
      <c r="IKK745" s="487"/>
      <c r="IKL745" s="487"/>
      <c r="IKM745" s="487"/>
      <c r="IKN745" s="487"/>
      <c r="IKO745" s="487"/>
      <c r="IKP745" s="487"/>
      <c r="IKQ745" s="487"/>
      <c r="IKR745" s="487"/>
      <c r="IKS745" s="487"/>
      <c r="IKT745" s="487"/>
      <c r="IKU745" s="487"/>
      <c r="IKV745" s="487"/>
      <c r="IKW745" s="487"/>
      <c r="IKX745" s="487"/>
      <c r="IKY745" s="487"/>
      <c r="IKZ745" s="487"/>
      <c r="ILA745" s="487"/>
      <c r="ILB745" s="487"/>
      <c r="ILC745" s="487"/>
      <c r="ILD745" s="487"/>
      <c r="ILE745" s="487"/>
      <c r="ILF745" s="487"/>
      <c r="ILG745" s="487"/>
      <c r="ILH745" s="487"/>
      <c r="ILI745" s="487"/>
      <c r="ILJ745" s="487"/>
      <c r="ILK745" s="487"/>
      <c r="ILL745" s="487"/>
      <c r="ILM745" s="487"/>
      <c r="ILN745" s="487"/>
      <c r="ILO745" s="487"/>
      <c r="ILP745" s="487"/>
      <c r="ILQ745" s="487"/>
      <c r="ILR745" s="487"/>
      <c r="ILS745" s="487"/>
      <c r="ILT745" s="487"/>
      <c r="ILU745" s="487"/>
      <c r="ILV745" s="487"/>
      <c r="ILW745" s="487"/>
      <c r="ILX745" s="487"/>
      <c r="ILY745" s="487"/>
      <c r="ILZ745" s="487"/>
      <c r="IMA745" s="487"/>
      <c r="IMB745" s="487"/>
      <c r="IMC745" s="487"/>
      <c r="IMD745" s="487"/>
      <c r="IME745" s="487"/>
      <c r="IMF745" s="487"/>
      <c r="IMG745" s="487"/>
      <c r="IMH745" s="487"/>
      <c r="IMI745" s="487"/>
      <c r="IMJ745" s="487"/>
      <c r="IMK745" s="487"/>
      <c r="IML745" s="487"/>
      <c r="IMM745" s="487"/>
      <c r="IMN745" s="487"/>
      <c r="IMO745" s="487"/>
      <c r="IMP745" s="487"/>
      <c r="IMQ745" s="487"/>
      <c r="IMR745" s="487"/>
      <c r="IMS745" s="487"/>
      <c r="IMT745" s="487"/>
      <c r="IMU745" s="487"/>
      <c r="IMV745" s="487"/>
      <c r="IMW745" s="487"/>
      <c r="IMX745" s="487"/>
      <c r="IMY745" s="487"/>
      <c r="IMZ745" s="487"/>
      <c r="INA745" s="487"/>
      <c r="INB745" s="487"/>
      <c r="INC745" s="487"/>
      <c r="IND745" s="487"/>
      <c r="INE745" s="487"/>
      <c r="INF745" s="487"/>
      <c r="ING745" s="487"/>
      <c r="INH745" s="487"/>
      <c r="INI745" s="487"/>
      <c r="INJ745" s="487"/>
      <c r="INK745" s="487"/>
      <c r="INL745" s="487"/>
      <c r="INM745" s="487"/>
      <c r="INN745" s="487"/>
      <c r="INO745" s="487"/>
      <c r="INP745" s="487"/>
      <c r="INQ745" s="487"/>
      <c r="INR745" s="487"/>
      <c r="INS745" s="487"/>
      <c r="INT745" s="487"/>
      <c r="INU745" s="487"/>
      <c r="INV745" s="487"/>
      <c r="INW745" s="487"/>
      <c r="INX745" s="487"/>
      <c r="INY745" s="487"/>
      <c r="INZ745" s="487"/>
      <c r="IOA745" s="487"/>
      <c r="IOB745" s="487"/>
      <c r="IOC745" s="487"/>
      <c r="IOD745" s="487"/>
      <c r="IOE745" s="487"/>
      <c r="IOF745" s="487"/>
      <c r="IOG745" s="487"/>
      <c r="IOH745" s="487"/>
      <c r="IOI745" s="487"/>
      <c r="IOJ745" s="487"/>
      <c r="IOK745" s="487"/>
      <c r="IOL745" s="487"/>
      <c r="IOM745" s="487"/>
      <c r="ION745" s="487"/>
      <c r="IOO745" s="487"/>
      <c r="IOP745" s="487"/>
      <c r="IOQ745" s="487"/>
      <c r="IOR745" s="487"/>
      <c r="IOS745" s="487"/>
      <c r="IOT745" s="487"/>
      <c r="IOU745" s="487"/>
      <c r="IOV745" s="487"/>
      <c r="IOW745" s="487"/>
      <c r="IOX745" s="487"/>
      <c r="IOY745" s="487"/>
      <c r="IOZ745" s="487"/>
      <c r="IPA745" s="487"/>
      <c r="IPB745" s="487"/>
      <c r="IPC745" s="487"/>
      <c r="IPD745" s="487"/>
      <c r="IPE745" s="487"/>
      <c r="IPF745" s="487"/>
      <c r="IPG745" s="487"/>
      <c r="IPH745" s="487"/>
      <c r="IPI745" s="487"/>
      <c r="IPJ745" s="487"/>
      <c r="IPK745" s="487"/>
      <c r="IPL745" s="487"/>
      <c r="IPM745" s="487"/>
      <c r="IPN745" s="487"/>
      <c r="IPO745" s="487"/>
      <c r="IPP745" s="487"/>
      <c r="IPQ745" s="487"/>
      <c r="IPR745" s="487"/>
      <c r="IPS745" s="487"/>
      <c r="IPT745" s="487"/>
      <c r="IPU745" s="487"/>
      <c r="IPV745" s="487"/>
      <c r="IPW745" s="487"/>
      <c r="IPX745" s="487"/>
      <c r="IPY745" s="487"/>
      <c r="IPZ745" s="487"/>
      <c r="IQA745" s="487"/>
      <c r="IQB745" s="487"/>
      <c r="IQC745" s="487"/>
      <c r="IQD745" s="487"/>
      <c r="IQE745" s="487"/>
      <c r="IQF745" s="487"/>
      <c r="IQG745" s="487"/>
      <c r="IQH745" s="487"/>
      <c r="IQI745" s="487"/>
      <c r="IQJ745" s="487"/>
      <c r="IQK745" s="487"/>
      <c r="IQL745" s="487"/>
      <c r="IQM745" s="487"/>
      <c r="IQN745" s="487"/>
      <c r="IQO745" s="487"/>
      <c r="IQP745" s="487"/>
      <c r="IQQ745" s="487"/>
      <c r="IQR745" s="487"/>
      <c r="IQS745" s="487"/>
      <c r="IQT745" s="487"/>
      <c r="IQU745" s="487"/>
      <c r="IQV745" s="487"/>
      <c r="IQW745" s="487"/>
      <c r="IQX745" s="487"/>
      <c r="IQY745" s="487"/>
      <c r="IQZ745" s="487"/>
      <c r="IRA745" s="487"/>
      <c r="IRB745" s="487"/>
      <c r="IRC745" s="487"/>
      <c r="IRD745" s="487"/>
      <c r="IRE745" s="487"/>
      <c r="IRF745" s="487"/>
      <c r="IRG745" s="487"/>
      <c r="IRH745" s="487"/>
      <c r="IRI745" s="487"/>
      <c r="IRJ745" s="487"/>
      <c r="IRK745" s="487"/>
      <c r="IRL745" s="487"/>
      <c r="IRM745" s="487"/>
      <c r="IRN745" s="487"/>
      <c r="IRO745" s="487"/>
      <c r="IRP745" s="487"/>
      <c r="IRQ745" s="487"/>
      <c r="IRR745" s="487"/>
      <c r="IRS745" s="487"/>
      <c r="IRT745" s="487"/>
      <c r="IRU745" s="487"/>
      <c r="IRV745" s="487"/>
      <c r="IRW745" s="487"/>
      <c r="IRX745" s="487"/>
      <c r="IRY745" s="487"/>
      <c r="IRZ745" s="487"/>
      <c r="ISA745" s="487"/>
      <c r="ISB745" s="487"/>
      <c r="ISC745" s="487"/>
      <c r="ISD745" s="487"/>
      <c r="ISE745" s="487"/>
      <c r="ISF745" s="487"/>
      <c r="ISG745" s="487"/>
      <c r="ISH745" s="487"/>
      <c r="ISI745" s="487"/>
      <c r="ISJ745" s="487"/>
      <c r="ISK745" s="487"/>
      <c r="ISL745" s="487"/>
      <c r="ISM745" s="487"/>
      <c r="ISN745" s="487"/>
      <c r="ISO745" s="487"/>
      <c r="ISP745" s="487"/>
      <c r="ISQ745" s="487"/>
      <c r="ISR745" s="487"/>
      <c r="ISS745" s="487"/>
      <c r="IST745" s="487"/>
      <c r="ISU745" s="487"/>
      <c r="ISV745" s="487"/>
      <c r="ISW745" s="487"/>
      <c r="ISX745" s="487"/>
      <c r="ISY745" s="487"/>
      <c r="ISZ745" s="487"/>
      <c r="ITA745" s="487"/>
      <c r="ITB745" s="487"/>
      <c r="ITC745" s="487"/>
      <c r="ITD745" s="487"/>
      <c r="ITE745" s="487"/>
      <c r="ITF745" s="487"/>
      <c r="ITG745" s="487"/>
      <c r="ITH745" s="487"/>
      <c r="ITI745" s="487"/>
      <c r="ITJ745" s="487"/>
      <c r="ITK745" s="487"/>
      <c r="ITL745" s="487"/>
      <c r="ITM745" s="487"/>
      <c r="ITN745" s="487"/>
      <c r="ITO745" s="487"/>
      <c r="ITP745" s="487"/>
      <c r="ITQ745" s="487"/>
      <c r="ITR745" s="487"/>
      <c r="ITS745" s="487"/>
      <c r="ITT745" s="487"/>
      <c r="ITU745" s="487"/>
      <c r="ITV745" s="487"/>
      <c r="ITW745" s="487"/>
      <c r="ITX745" s="487"/>
      <c r="ITY745" s="487"/>
      <c r="ITZ745" s="487"/>
      <c r="IUA745" s="487"/>
      <c r="IUB745" s="487"/>
      <c r="IUC745" s="487"/>
      <c r="IUD745" s="487"/>
      <c r="IUE745" s="487"/>
      <c r="IUF745" s="487"/>
      <c r="IUG745" s="487"/>
      <c r="IUH745" s="487"/>
      <c r="IUI745" s="487"/>
      <c r="IUJ745" s="487"/>
      <c r="IUK745" s="487"/>
      <c r="IUL745" s="487"/>
      <c r="IUM745" s="487"/>
      <c r="IUN745" s="487"/>
      <c r="IUO745" s="487"/>
      <c r="IUP745" s="487"/>
      <c r="IUQ745" s="487"/>
      <c r="IUR745" s="487"/>
      <c r="IUS745" s="487"/>
      <c r="IUT745" s="487"/>
      <c r="IUU745" s="487"/>
      <c r="IUV745" s="487"/>
      <c r="IUW745" s="487"/>
      <c r="IUX745" s="487"/>
      <c r="IUY745" s="487"/>
      <c r="IUZ745" s="487"/>
      <c r="IVA745" s="487"/>
      <c r="IVB745" s="487"/>
      <c r="IVC745" s="487"/>
      <c r="IVD745" s="487"/>
      <c r="IVE745" s="487"/>
      <c r="IVF745" s="487"/>
      <c r="IVG745" s="487"/>
      <c r="IVH745" s="487"/>
      <c r="IVI745" s="487"/>
      <c r="IVJ745" s="487"/>
      <c r="IVK745" s="487"/>
      <c r="IVL745" s="487"/>
      <c r="IVM745" s="487"/>
      <c r="IVN745" s="487"/>
      <c r="IVO745" s="487"/>
      <c r="IVP745" s="487"/>
      <c r="IVQ745" s="487"/>
      <c r="IVR745" s="487"/>
      <c r="IVS745" s="487"/>
      <c r="IVT745" s="487"/>
      <c r="IVU745" s="487"/>
      <c r="IVV745" s="487"/>
      <c r="IVW745" s="487"/>
      <c r="IVX745" s="487"/>
      <c r="IVY745" s="487"/>
      <c r="IVZ745" s="487"/>
      <c r="IWA745" s="487"/>
      <c r="IWB745" s="487"/>
      <c r="IWC745" s="487"/>
      <c r="IWD745" s="487"/>
      <c r="IWE745" s="487"/>
      <c r="IWF745" s="487"/>
      <c r="IWG745" s="487"/>
      <c r="IWH745" s="487"/>
      <c r="IWI745" s="487"/>
      <c r="IWJ745" s="487"/>
      <c r="IWK745" s="487"/>
      <c r="IWL745" s="487"/>
      <c r="IWM745" s="487"/>
      <c r="IWN745" s="487"/>
      <c r="IWO745" s="487"/>
      <c r="IWP745" s="487"/>
      <c r="IWQ745" s="487"/>
      <c r="IWR745" s="487"/>
      <c r="IWS745" s="487"/>
      <c r="IWT745" s="487"/>
      <c r="IWU745" s="487"/>
      <c r="IWV745" s="487"/>
      <c r="IWW745" s="487"/>
      <c r="IWX745" s="487"/>
      <c r="IWY745" s="487"/>
      <c r="IWZ745" s="487"/>
      <c r="IXA745" s="487"/>
      <c r="IXB745" s="487"/>
      <c r="IXC745" s="487"/>
      <c r="IXD745" s="487"/>
      <c r="IXE745" s="487"/>
      <c r="IXF745" s="487"/>
      <c r="IXG745" s="487"/>
      <c r="IXH745" s="487"/>
      <c r="IXI745" s="487"/>
      <c r="IXJ745" s="487"/>
      <c r="IXK745" s="487"/>
      <c r="IXL745" s="487"/>
      <c r="IXM745" s="487"/>
      <c r="IXN745" s="487"/>
      <c r="IXO745" s="487"/>
      <c r="IXP745" s="487"/>
      <c r="IXQ745" s="487"/>
      <c r="IXR745" s="487"/>
      <c r="IXS745" s="487"/>
      <c r="IXT745" s="487"/>
      <c r="IXU745" s="487"/>
      <c r="IXV745" s="487"/>
      <c r="IXW745" s="487"/>
      <c r="IXX745" s="487"/>
      <c r="IXY745" s="487"/>
      <c r="IXZ745" s="487"/>
      <c r="IYA745" s="487"/>
      <c r="IYB745" s="487"/>
      <c r="IYC745" s="487"/>
      <c r="IYD745" s="487"/>
      <c r="IYE745" s="487"/>
      <c r="IYF745" s="487"/>
      <c r="IYG745" s="487"/>
      <c r="IYH745" s="487"/>
      <c r="IYI745" s="487"/>
      <c r="IYJ745" s="487"/>
      <c r="IYK745" s="487"/>
      <c r="IYL745" s="487"/>
      <c r="IYM745" s="487"/>
      <c r="IYN745" s="487"/>
      <c r="IYO745" s="487"/>
      <c r="IYP745" s="487"/>
      <c r="IYQ745" s="487"/>
      <c r="IYR745" s="487"/>
      <c r="IYS745" s="487"/>
      <c r="IYT745" s="487"/>
      <c r="IYU745" s="487"/>
      <c r="IYV745" s="487"/>
      <c r="IYW745" s="487"/>
      <c r="IYX745" s="487"/>
      <c r="IYY745" s="487"/>
      <c r="IYZ745" s="487"/>
      <c r="IZA745" s="487"/>
      <c r="IZB745" s="487"/>
      <c r="IZC745" s="487"/>
      <c r="IZD745" s="487"/>
      <c r="IZE745" s="487"/>
      <c r="IZF745" s="487"/>
      <c r="IZG745" s="487"/>
      <c r="IZH745" s="487"/>
      <c r="IZI745" s="487"/>
      <c r="IZJ745" s="487"/>
      <c r="IZK745" s="487"/>
      <c r="IZL745" s="487"/>
      <c r="IZM745" s="487"/>
      <c r="IZN745" s="487"/>
      <c r="IZO745" s="487"/>
      <c r="IZP745" s="487"/>
      <c r="IZQ745" s="487"/>
      <c r="IZR745" s="487"/>
      <c r="IZS745" s="487"/>
      <c r="IZT745" s="487"/>
      <c r="IZU745" s="487"/>
      <c r="IZV745" s="487"/>
      <c r="IZW745" s="487"/>
      <c r="IZX745" s="487"/>
      <c r="IZY745" s="487"/>
      <c r="IZZ745" s="487"/>
      <c r="JAA745" s="487"/>
      <c r="JAB745" s="487"/>
      <c r="JAC745" s="487"/>
      <c r="JAD745" s="487"/>
      <c r="JAE745" s="487"/>
      <c r="JAF745" s="487"/>
      <c r="JAG745" s="487"/>
      <c r="JAH745" s="487"/>
      <c r="JAI745" s="487"/>
      <c r="JAJ745" s="487"/>
      <c r="JAK745" s="487"/>
      <c r="JAL745" s="487"/>
      <c r="JAM745" s="487"/>
      <c r="JAN745" s="487"/>
      <c r="JAO745" s="487"/>
      <c r="JAP745" s="487"/>
      <c r="JAQ745" s="487"/>
      <c r="JAR745" s="487"/>
      <c r="JAS745" s="487"/>
      <c r="JAT745" s="487"/>
      <c r="JAU745" s="487"/>
      <c r="JAV745" s="487"/>
      <c r="JAW745" s="487"/>
      <c r="JAX745" s="487"/>
      <c r="JAY745" s="487"/>
      <c r="JAZ745" s="487"/>
      <c r="JBA745" s="487"/>
      <c r="JBB745" s="487"/>
      <c r="JBC745" s="487"/>
      <c r="JBD745" s="487"/>
      <c r="JBE745" s="487"/>
      <c r="JBF745" s="487"/>
      <c r="JBG745" s="487"/>
      <c r="JBH745" s="487"/>
      <c r="JBI745" s="487"/>
      <c r="JBJ745" s="487"/>
      <c r="JBK745" s="487"/>
      <c r="JBL745" s="487"/>
      <c r="JBM745" s="487"/>
      <c r="JBN745" s="487"/>
      <c r="JBO745" s="487"/>
      <c r="JBP745" s="487"/>
      <c r="JBQ745" s="487"/>
      <c r="JBR745" s="487"/>
      <c r="JBS745" s="487"/>
      <c r="JBT745" s="487"/>
      <c r="JBU745" s="487"/>
      <c r="JBV745" s="487"/>
      <c r="JBW745" s="487"/>
      <c r="JBX745" s="487"/>
      <c r="JBY745" s="487"/>
      <c r="JBZ745" s="487"/>
      <c r="JCA745" s="487"/>
      <c r="JCB745" s="487"/>
      <c r="JCC745" s="487"/>
      <c r="JCD745" s="487"/>
      <c r="JCE745" s="487"/>
      <c r="JCF745" s="487"/>
      <c r="JCG745" s="487"/>
      <c r="JCH745" s="487"/>
      <c r="JCI745" s="487"/>
      <c r="JCJ745" s="487"/>
      <c r="JCK745" s="487"/>
      <c r="JCL745" s="487"/>
      <c r="JCM745" s="487"/>
      <c r="JCN745" s="487"/>
      <c r="JCO745" s="487"/>
      <c r="JCP745" s="487"/>
      <c r="JCQ745" s="487"/>
      <c r="JCR745" s="487"/>
      <c r="JCS745" s="487"/>
      <c r="JCT745" s="487"/>
      <c r="JCU745" s="487"/>
      <c r="JCV745" s="487"/>
      <c r="JCW745" s="487"/>
      <c r="JCX745" s="487"/>
      <c r="JCY745" s="487"/>
      <c r="JCZ745" s="487"/>
      <c r="JDA745" s="487"/>
      <c r="JDB745" s="487"/>
      <c r="JDC745" s="487"/>
      <c r="JDD745" s="487"/>
      <c r="JDE745" s="487"/>
      <c r="JDF745" s="487"/>
      <c r="JDG745" s="487"/>
      <c r="JDH745" s="487"/>
      <c r="JDI745" s="487"/>
      <c r="JDJ745" s="487"/>
      <c r="JDK745" s="487"/>
      <c r="JDL745" s="487"/>
      <c r="JDM745" s="487"/>
      <c r="JDN745" s="487"/>
      <c r="JDO745" s="487"/>
      <c r="JDP745" s="487"/>
      <c r="JDQ745" s="487"/>
      <c r="JDR745" s="487"/>
      <c r="JDS745" s="487"/>
      <c r="JDT745" s="487"/>
      <c r="JDU745" s="487"/>
      <c r="JDV745" s="487"/>
      <c r="JDW745" s="487"/>
      <c r="JDX745" s="487"/>
      <c r="JDY745" s="487"/>
      <c r="JDZ745" s="487"/>
      <c r="JEA745" s="487"/>
      <c r="JEB745" s="487"/>
      <c r="JEC745" s="487"/>
      <c r="JED745" s="487"/>
      <c r="JEE745" s="487"/>
      <c r="JEF745" s="487"/>
      <c r="JEG745" s="487"/>
      <c r="JEH745" s="487"/>
      <c r="JEI745" s="487"/>
      <c r="JEJ745" s="487"/>
      <c r="JEK745" s="487"/>
      <c r="JEL745" s="487"/>
      <c r="JEM745" s="487"/>
      <c r="JEN745" s="487"/>
      <c r="JEO745" s="487"/>
      <c r="JEP745" s="487"/>
      <c r="JEQ745" s="487"/>
      <c r="JER745" s="487"/>
      <c r="JES745" s="487"/>
      <c r="JET745" s="487"/>
      <c r="JEU745" s="487"/>
      <c r="JEV745" s="487"/>
      <c r="JEW745" s="487"/>
      <c r="JEX745" s="487"/>
      <c r="JEY745" s="487"/>
      <c r="JEZ745" s="487"/>
      <c r="JFA745" s="487"/>
      <c r="JFB745" s="487"/>
      <c r="JFC745" s="487"/>
      <c r="JFD745" s="487"/>
      <c r="JFE745" s="487"/>
      <c r="JFF745" s="487"/>
      <c r="JFG745" s="487"/>
      <c r="JFH745" s="487"/>
      <c r="JFI745" s="487"/>
      <c r="JFJ745" s="487"/>
      <c r="JFK745" s="487"/>
      <c r="JFL745" s="487"/>
      <c r="JFM745" s="487"/>
      <c r="JFN745" s="487"/>
      <c r="JFO745" s="487"/>
      <c r="JFP745" s="487"/>
      <c r="JFQ745" s="487"/>
      <c r="JFR745" s="487"/>
      <c r="JFS745" s="487"/>
      <c r="JFT745" s="487"/>
      <c r="JFU745" s="487"/>
      <c r="JFV745" s="487"/>
      <c r="JFW745" s="487"/>
      <c r="JFX745" s="487"/>
      <c r="JFY745" s="487"/>
      <c r="JFZ745" s="487"/>
      <c r="JGA745" s="487"/>
      <c r="JGB745" s="487"/>
      <c r="JGC745" s="487"/>
      <c r="JGD745" s="487"/>
      <c r="JGE745" s="487"/>
      <c r="JGF745" s="487"/>
      <c r="JGG745" s="487"/>
      <c r="JGH745" s="487"/>
      <c r="JGI745" s="487"/>
      <c r="JGJ745" s="487"/>
      <c r="JGK745" s="487"/>
      <c r="JGL745" s="487"/>
      <c r="JGM745" s="487"/>
      <c r="JGN745" s="487"/>
      <c r="JGO745" s="487"/>
      <c r="JGP745" s="487"/>
      <c r="JGQ745" s="487"/>
      <c r="JGR745" s="487"/>
      <c r="JGS745" s="487"/>
      <c r="JGT745" s="487"/>
      <c r="JGU745" s="487"/>
      <c r="JGV745" s="487"/>
      <c r="JGW745" s="487"/>
      <c r="JGX745" s="487"/>
      <c r="JGY745" s="487"/>
      <c r="JGZ745" s="487"/>
      <c r="JHA745" s="487"/>
      <c r="JHB745" s="487"/>
      <c r="JHC745" s="487"/>
      <c r="JHD745" s="487"/>
      <c r="JHE745" s="487"/>
      <c r="JHF745" s="487"/>
      <c r="JHG745" s="487"/>
      <c r="JHH745" s="487"/>
      <c r="JHI745" s="487"/>
      <c r="JHJ745" s="487"/>
      <c r="JHK745" s="487"/>
      <c r="JHL745" s="487"/>
      <c r="JHM745" s="487"/>
      <c r="JHN745" s="487"/>
      <c r="JHO745" s="487"/>
      <c r="JHP745" s="487"/>
      <c r="JHQ745" s="487"/>
      <c r="JHR745" s="487"/>
      <c r="JHS745" s="487"/>
      <c r="JHT745" s="487"/>
      <c r="JHU745" s="487"/>
      <c r="JHV745" s="487"/>
      <c r="JHW745" s="487"/>
      <c r="JHX745" s="487"/>
      <c r="JHY745" s="487"/>
      <c r="JHZ745" s="487"/>
      <c r="JIA745" s="487"/>
      <c r="JIB745" s="487"/>
      <c r="JIC745" s="487"/>
      <c r="JID745" s="487"/>
      <c r="JIE745" s="487"/>
      <c r="JIF745" s="487"/>
      <c r="JIG745" s="487"/>
      <c r="JIH745" s="487"/>
      <c r="JII745" s="487"/>
      <c r="JIJ745" s="487"/>
      <c r="JIK745" s="487"/>
      <c r="JIL745" s="487"/>
      <c r="JIM745" s="487"/>
      <c r="JIN745" s="487"/>
      <c r="JIO745" s="487"/>
      <c r="JIP745" s="487"/>
      <c r="JIQ745" s="487"/>
      <c r="JIR745" s="487"/>
      <c r="JIS745" s="487"/>
      <c r="JIT745" s="487"/>
      <c r="JIU745" s="487"/>
      <c r="JIV745" s="487"/>
      <c r="JIW745" s="487"/>
      <c r="JIX745" s="487"/>
      <c r="JIY745" s="487"/>
      <c r="JIZ745" s="487"/>
      <c r="JJA745" s="487"/>
      <c r="JJB745" s="487"/>
      <c r="JJC745" s="487"/>
      <c r="JJD745" s="487"/>
      <c r="JJE745" s="487"/>
      <c r="JJF745" s="487"/>
      <c r="JJG745" s="487"/>
      <c r="JJH745" s="487"/>
      <c r="JJI745" s="487"/>
      <c r="JJJ745" s="487"/>
      <c r="JJK745" s="487"/>
      <c r="JJL745" s="487"/>
      <c r="JJM745" s="487"/>
      <c r="JJN745" s="487"/>
      <c r="JJO745" s="487"/>
      <c r="JJP745" s="487"/>
      <c r="JJQ745" s="487"/>
      <c r="JJR745" s="487"/>
      <c r="JJS745" s="487"/>
      <c r="JJT745" s="487"/>
      <c r="JJU745" s="487"/>
      <c r="JJV745" s="487"/>
      <c r="JJW745" s="487"/>
      <c r="JJX745" s="487"/>
      <c r="JJY745" s="487"/>
      <c r="JJZ745" s="487"/>
      <c r="JKA745" s="487"/>
      <c r="JKB745" s="487"/>
      <c r="JKC745" s="487"/>
      <c r="JKD745" s="487"/>
      <c r="JKE745" s="487"/>
      <c r="JKF745" s="487"/>
      <c r="JKG745" s="487"/>
      <c r="JKH745" s="487"/>
      <c r="JKI745" s="487"/>
      <c r="JKJ745" s="487"/>
      <c r="JKK745" s="487"/>
      <c r="JKL745" s="487"/>
      <c r="JKM745" s="487"/>
      <c r="JKN745" s="487"/>
      <c r="JKO745" s="487"/>
      <c r="JKP745" s="487"/>
      <c r="JKQ745" s="487"/>
      <c r="JKR745" s="487"/>
      <c r="JKS745" s="487"/>
      <c r="JKT745" s="487"/>
      <c r="JKU745" s="487"/>
      <c r="JKV745" s="487"/>
      <c r="JKW745" s="487"/>
      <c r="JKX745" s="487"/>
      <c r="JKY745" s="487"/>
      <c r="JKZ745" s="487"/>
      <c r="JLA745" s="487"/>
      <c r="JLB745" s="487"/>
      <c r="JLC745" s="487"/>
      <c r="JLD745" s="487"/>
      <c r="JLE745" s="487"/>
      <c r="JLF745" s="487"/>
      <c r="JLG745" s="487"/>
      <c r="JLH745" s="487"/>
      <c r="JLI745" s="487"/>
      <c r="JLJ745" s="487"/>
      <c r="JLK745" s="487"/>
      <c r="JLL745" s="487"/>
      <c r="JLM745" s="487"/>
      <c r="JLN745" s="487"/>
      <c r="JLO745" s="487"/>
      <c r="JLP745" s="487"/>
      <c r="JLQ745" s="487"/>
      <c r="JLR745" s="487"/>
      <c r="JLS745" s="487"/>
      <c r="JLT745" s="487"/>
      <c r="JLU745" s="487"/>
      <c r="JLV745" s="487"/>
      <c r="JLW745" s="487"/>
      <c r="JLX745" s="487"/>
      <c r="JLY745" s="487"/>
      <c r="JLZ745" s="487"/>
      <c r="JMA745" s="487"/>
      <c r="JMB745" s="487"/>
      <c r="JMC745" s="487"/>
      <c r="JMD745" s="487"/>
      <c r="JME745" s="487"/>
      <c r="JMF745" s="487"/>
      <c r="JMG745" s="487"/>
      <c r="JMH745" s="487"/>
      <c r="JMI745" s="487"/>
      <c r="JMJ745" s="487"/>
      <c r="JMK745" s="487"/>
      <c r="JML745" s="487"/>
      <c r="JMM745" s="487"/>
      <c r="JMN745" s="487"/>
      <c r="JMO745" s="487"/>
      <c r="JMP745" s="487"/>
      <c r="JMQ745" s="487"/>
      <c r="JMR745" s="487"/>
      <c r="JMS745" s="487"/>
      <c r="JMT745" s="487"/>
      <c r="JMU745" s="487"/>
      <c r="JMV745" s="487"/>
      <c r="JMW745" s="487"/>
      <c r="JMX745" s="487"/>
      <c r="JMY745" s="487"/>
      <c r="JMZ745" s="487"/>
      <c r="JNA745" s="487"/>
      <c r="JNB745" s="487"/>
      <c r="JNC745" s="487"/>
      <c r="JND745" s="487"/>
      <c r="JNE745" s="487"/>
      <c r="JNF745" s="487"/>
      <c r="JNG745" s="487"/>
      <c r="JNH745" s="487"/>
      <c r="JNI745" s="487"/>
      <c r="JNJ745" s="487"/>
      <c r="JNK745" s="487"/>
      <c r="JNL745" s="487"/>
      <c r="JNM745" s="487"/>
      <c r="JNN745" s="487"/>
      <c r="JNO745" s="487"/>
      <c r="JNP745" s="487"/>
      <c r="JNQ745" s="487"/>
      <c r="JNR745" s="487"/>
      <c r="JNS745" s="487"/>
      <c r="JNT745" s="487"/>
      <c r="JNU745" s="487"/>
      <c r="JNV745" s="487"/>
      <c r="JNW745" s="487"/>
      <c r="JNX745" s="487"/>
      <c r="JNY745" s="487"/>
      <c r="JNZ745" s="487"/>
      <c r="JOA745" s="487"/>
      <c r="JOB745" s="487"/>
      <c r="JOC745" s="487"/>
      <c r="JOD745" s="487"/>
      <c r="JOE745" s="487"/>
      <c r="JOF745" s="487"/>
      <c r="JOG745" s="487"/>
      <c r="JOH745" s="487"/>
      <c r="JOI745" s="487"/>
      <c r="JOJ745" s="487"/>
      <c r="JOK745" s="487"/>
      <c r="JOL745" s="487"/>
      <c r="JOM745" s="487"/>
      <c r="JON745" s="487"/>
      <c r="JOO745" s="487"/>
      <c r="JOP745" s="487"/>
      <c r="JOQ745" s="487"/>
      <c r="JOR745" s="487"/>
      <c r="JOS745" s="487"/>
      <c r="JOT745" s="487"/>
      <c r="JOU745" s="487"/>
      <c r="JOV745" s="487"/>
      <c r="JOW745" s="487"/>
      <c r="JOX745" s="487"/>
      <c r="JOY745" s="487"/>
      <c r="JOZ745" s="487"/>
      <c r="JPA745" s="487"/>
      <c r="JPB745" s="487"/>
      <c r="JPC745" s="487"/>
      <c r="JPD745" s="487"/>
      <c r="JPE745" s="487"/>
      <c r="JPF745" s="487"/>
      <c r="JPG745" s="487"/>
      <c r="JPH745" s="487"/>
      <c r="JPI745" s="487"/>
      <c r="JPJ745" s="487"/>
      <c r="JPK745" s="487"/>
      <c r="JPL745" s="487"/>
      <c r="JPM745" s="487"/>
      <c r="JPN745" s="487"/>
      <c r="JPO745" s="487"/>
      <c r="JPP745" s="487"/>
      <c r="JPQ745" s="487"/>
      <c r="JPR745" s="487"/>
      <c r="JPS745" s="487"/>
      <c r="JPT745" s="487"/>
      <c r="JPU745" s="487"/>
      <c r="JPV745" s="487"/>
      <c r="JPW745" s="487"/>
      <c r="JPX745" s="487"/>
      <c r="JPY745" s="487"/>
      <c r="JPZ745" s="487"/>
      <c r="JQA745" s="487"/>
      <c r="JQB745" s="487"/>
      <c r="JQC745" s="487"/>
      <c r="JQD745" s="487"/>
      <c r="JQE745" s="487"/>
      <c r="JQF745" s="487"/>
      <c r="JQG745" s="487"/>
      <c r="JQH745" s="487"/>
      <c r="JQI745" s="487"/>
      <c r="JQJ745" s="487"/>
      <c r="JQK745" s="487"/>
      <c r="JQL745" s="487"/>
      <c r="JQM745" s="487"/>
      <c r="JQN745" s="487"/>
      <c r="JQO745" s="487"/>
      <c r="JQP745" s="487"/>
      <c r="JQQ745" s="487"/>
      <c r="JQR745" s="487"/>
      <c r="JQS745" s="487"/>
      <c r="JQT745" s="487"/>
      <c r="JQU745" s="487"/>
      <c r="JQV745" s="487"/>
      <c r="JQW745" s="487"/>
      <c r="JQX745" s="487"/>
      <c r="JQY745" s="487"/>
      <c r="JQZ745" s="487"/>
      <c r="JRA745" s="487"/>
      <c r="JRB745" s="487"/>
      <c r="JRC745" s="487"/>
      <c r="JRD745" s="487"/>
      <c r="JRE745" s="487"/>
      <c r="JRF745" s="487"/>
      <c r="JRG745" s="487"/>
      <c r="JRH745" s="487"/>
      <c r="JRI745" s="487"/>
      <c r="JRJ745" s="487"/>
      <c r="JRK745" s="487"/>
      <c r="JRL745" s="487"/>
      <c r="JRM745" s="487"/>
      <c r="JRN745" s="487"/>
      <c r="JRO745" s="487"/>
      <c r="JRP745" s="487"/>
      <c r="JRQ745" s="487"/>
      <c r="JRR745" s="487"/>
      <c r="JRS745" s="487"/>
      <c r="JRT745" s="487"/>
      <c r="JRU745" s="487"/>
      <c r="JRV745" s="487"/>
      <c r="JRW745" s="487"/>
      <c r="JRX745" s="487"/>
      <c r="JRY745" s="487"/>
      <c r="JRZ745" s="487"/>
      <c r="JSA745" s="487"/>
      <c r="JSB745" s="487"/>
      <c r="JSC745" s="487"/>
      <c r="JSD745" s="487"/>
      <c r="JSE745" s="487"/>
      <c r="JSF745" s="487"/>
      <c r="JSG745" s="487"/>
      <c r="JSH745" s="487"/>
      <c r="JSI745" s="487"/>
      <c r="JSJ745" s="487"/>
      <c r="JSK745" s="487"/>
      <c r="JSL745" s="487"/>
      <c r="JSM745" s="487"/>
      <c r="JSN745" s="487"/>
      <c r="JSO745" s="487"/>
      <c r="JSP745" s="487"/>
      <c r="JSQ745" s="487"/>
      <c r="JSR745" s="487"/>
      <c r="JSS745" s="487"/>
      <c r="JST745" s="487"/>
      <c r="JSU745" s="487"/>
      <c r="JSV745" s="487"/>
      <c r="JSW745" s="487"/>
      <c r="JSX745" s="487"/>
      <c r="JSY745" s="487"/>
      <c r="JSZ745" s="487"/>
      <c r="JTA745" s="487"/>
      <c r="JTB745" s="487"/>
      <c r="JTC745" s="487"/>
      <c r="JTD745" s="487"/>
      <c r="JTE745" s="487"/>
      <c r="JTF745" s="487"/>
      <c r="JTG745" s="487"/>
      <c r="JTH745" s="487"/>
      <c r="JTI745" s="487"/>
      <c r="JTJ745" s="487"/>
      <c r="JTK745" s="487"/>
      <c r="JTL745" s="487"/>
      <c r="JTM745" s="487"/>
      <c r="JTN745" s="487"/>
      <c r="JTO745" s="487"/>
      <c r="JTP745" s="487"/>
      <c r="JTQ745" s="487"/>
      <c r="JTR745" s="487"/>
      <c r="JTS745" s="487"/>
      <c r="JTT745" s="487"/>
      <c r="JTU745" s="487"/>
      <c r="JTV745" s="487"/>
      <c r="JTW745" s="487"/>
      <c r="JTX745" s="487"/>
      <c r="JTY745" s="487"/>
      <c r="JTZ745" s="487"/>
      <c r="JUA745" s="487"/>
      <c r="JUB745" s="487"/>
      <c r="JUC745" s="487"/>
      <c r="JUD745" s="487"/>
      <c r="JUE745" s="487"/>
      <c r="JUF745" s="487"/>
      <c r="JUG745" s="487"/>
      <c r="JUH745" s="487"/>
      <c r="JUI745" s="487"/>
      <c r="JUJ745" s="487"/>
      <c r="JUK745" s="487"/>
      <c r="JUL745" s="487"/>
      <c r="JUM745" s="487"/>
      <c r="JUN745" s="487"/>
      <c r="JUO745" s="487"/>
      <c r="JUP745" s="487"/>
      <c r="JUQ745" s="487"/>
      <c r="JUR745" s="487"/>
      <c r="JUS745" s="487"/>
      <c r="JUT745" s="487"/>
      <c r="JUU745" s="487"/>
      <c r="JUV745" s="487"/>
      <c r="JUW745" s="487"/>
      <c r="JUX745" s="487"/>
      <c r="JUY745" s="487"/>
      <c r="JUZ745" s="487"/>
      <c r="JVA745" s="487"/>
      <c r="JVB745" s="487"/>
      <c r="JVC745" s="487"/>
      <c r="JVD745" s="487"/>
      <c r="JVE745" s="487"/>
      <c r="JVF745" s="487"/>
      <c r="JVG745" s="487"/>
      <c r="JVH745" s="487"/>
      <c r="JVI745" s="487"/>
      <c r="JVJ745" s="487"/>
      <c r="JVK745" s="487"/>
      <c r="JVL745" s="487"/>
      <c r="JVM745" s="487"/>
      <c r="JVN745" s="487"/>
      <c r="JVO745" s="487"/>
      <c r="JVP745" s="487"/>
      <c r="JVQ745" s="487"/>
      <c r="JVR745" s="487"/>
      <c r="JVS745" s="487"/>
      <c r="JVT745" s="487"/>
      <c r="JVU745" s="487"/>
      <c r="JVV745" s="487"/>
      <c r="JVW745" s="487"/>
      <c r="JVX745" s="487"/>
      <c r="JVY745" s="487"/>
      <c r="JVZ745" s="487"/>
      <c r="JWA745" s="487"/>
      <c r="JWB745" s="487"/>
      <c r="JWC745" s="487"/>
      <c r="JWD745" s="487"/>
      <c r="JWE745" s="487"/>
      <c r="JWF745" s="487"/>
      <c r="JWG745" s="487"/>
      <c r="JWH745" s="487"/>
      <c r="JWI745" s="487"/>
      <c r="JWJ745" s="487"/>
      <c r="JWK745" s="487"/>
      <c r="JWL745" s="487"/>
      <c r="JWM745" s="487"/>
      <c r="JWN745" s="487"/>
      <c r="JWO745" s="487"/>
      <c r="JWP745" s="487"/>
      <c r="JWQ745" s="487"/>
      <c r="JWR745" s="487"/>
      <c r="JWS745" s="487"/>
      <c r="JWT745" s="487"/>
      <c r="JWU745" s="487"/>
      <c r="JWV745" s="487"/>
      <c r="JWW745" s="487"/>
      <c r="JWX745" s="487"/>
      <c r="JWY745" s="487"/>
      <c r="JWZ745" s="487"/>
      <c r="JXA745" s="487"/>
      <c r="JXB745" s="487"/>
      <c r="JXC745" s="487"/>
      <c r="JXD745" s="487"/>
      <c r="JXE745" s="487"/>
      <c r="JXF745" s="487"/>
      <c r="JXG745" s="487"/>
      <c r="JXH745" s="487"/>
      <c r="JXI745" s="487"/>
      <c r="JXJ745" s="487"/>
      <c r="JXK745" s="487"/>
      <c r="JXL745" s="487"/>
      <c r="JXM745" s="487"/>
      <c r="JXN745" s="487"/>
      <c r="JXO745" s="487"/>
      <c r="JXP745" s="487"/>
      <c r="JXQ745" s="487"/>
      <c r="JXR745" s="487"/>
      <c r="JXS745" s="487"/>
      <c r="JXT745" s="487"/>
      <c r="JXU745" s="487"/>
      <c r="JXV745" s="487"/>
      <c r="JXW745" s="487"/>
      <c r="JXX745" s="487"/>
      <c r="JXY745" s="487"/>
      <c r="JXZ745" s="487"/>
      <c r="JYA745" s="487"/>
      <c r="JYB745" s="487"/>
      <c r="JYC745" s="487"/>
      <c r="JYD745" s="487"/>
      <c r="JYE745" s="487"/>
      <c r="JYF745" s="487"/>
      <c r="JYG745" s="487"/>
      <c r="JYH745" s="487"/>
      <c r="JYI745" s="487"/>
      <c r="JYJ745" s="487"/>
      <c r="JYK745" s="487"/>
      <c r="JYL745" s="487"/>
      <c r="JYM745" s="487"/>
      <c r="JYN745" s="487"/>
      <c r="JYO745" s="487"/>
      <c r="JYP745" s="487"/>
      <c r="JYQ745" s="487"/>
      <c r="JYR745" s="487"/>
      <c r="JYS745" s="487"/>
      <c r="JYT745" s="487"/>
      <c r="JYU745" s="487"/>
      <c r="JYV745" s="487"/>
      <c r="JYW745" s="487"/>
      <c r="JYX745" s="487"/>
      <c r="JYY745" s="487"/>
      <c r="JYZ745" s="487"/>
      <c r="JZA745" s="487"/>
      <c r="JZB745" s="487"/>
      <c r="JZC745" s="487"/>
      <c r="JZD745" s="487"/>
      <c r="JZE745" s="487"/>
      <c r="JZF745" s="487"/>
      <c r="JZG745" s="487"/>
      <c r="JZH745" s="487"/>
      <c r="JZI745" s="487"/>
      <c r="JZJ745" s="487"/>
      <c r="JZK745" s="487"/>
      <c r="JZL745" s="487"/>
      <c r="JZM745" s="487"/>
      <c r="JZN745" s="487"/>
      <c r="JZO745" s="487"/>
      <c r="JZP745" s="487"/>
      <c r="JZQ745" s="487"/>
      <c r="JZR745" s="487"/>
      <c r="JZS745" s="487"/>
      <c r="JZT745" s="487"/>
      <c r="JZU745" s="487"/>
      <c r="JZV745" s="487"/>
      <c r="JZW745" s="487"/>
      <c r="JZX745" s="487"/>
      <c r="JZY745" s="487"/>
      <c r="JZZ745" s="487"/>
      <c r="KAA745" s="487"/>
      <c r="KAB745" s="487"/>
      <c r="KAC745" s="487"/>
      <c r="KAD745" s="487"/>
      <c r="KAE745" s="487"/>
      <c r="KAF745" s="487"/>
      <c r="KAG745" s="487"/>
      <c r="KAH745" s="487"/>
      <c r="KAI745" s="487"/>
      <c r="KAJ745" s="487"/>
      <c r="KAK745" s="487"/>
      <c r="KAL745" s="487"/>
      <c r="KAM745" s="487"/>
      <c r="KAN745" s="487"/>
      <c r="KAO745" s="487"/>
      <c r="KAP745" s="487"/>
      <c r="KAQ745" s="487"/>
      <c r="KAR745" s="487"/>
      <c r="KAS745" s="487"/>
      <c r="KAT745" s="487"/>
      <c r="KAU745" s="487"/>
      <c r="KAV745" s="487"/>
      <c r="KAW745" s="487"/>
      <c r="KAX745" s="487"/>
      <c r="KAY745" s="487"/>
      <c r="KAZ745" s="487"/>
      <c r="KBA745" s="487"/>
      <c r="KBB745" s="487"/>
      <c r="KBC745" s="487"/>
      <c r="KBD745" s="487"/>
      <c r="KBE745" s="487"/>
      <c r="KBF745" s="487"/>
      <c r="KBG745" s="487"/>
      <c r="KBH745" s="487"/>
      <c r="KBI745" s="487"/>
      <c r="KBJ745" s="487"/>
      <c r="KBK745" s="487"/>
      <c r="KBL745" s="487"/>
      <c r="KBM745" s="487"/>
      <c r="KBN745" s="487"/>
      <c r="KBO745" s="487"/>
      <c r="KBP745" s="487"/>
      <c r="KBQ745" s="487"/>
      <c r="KBR745" s="487"/>
      <c r="KBS745" s="487"/>
      <c r="KBT745" s="487"/>
      <c r="KBU745" s="487"/>
      <c r="KBV745" s="487"/>
      <c r="KBW745" s="487"/>
      <c r="KBX745" s="487"/>
      <c r="KBY745" s="487"/>
      <c r="KBZ745" s="487"/>
      <c r="KCA745" s="487"/>
      <c r="KCB745" s="487"/>
      <c r="KCC745" s="487"/>
      <c r="KCD745" s="487"/>
      <c r="KCE745" s="487"/>
      <c r="KCF745" s="487"/>
      <c r="KCG745" s="487"/>
      <c r="KCH745" s="487"/>
      <c r="KCI745" s="487"/>
      <c r="KCJ745" s="487"/>
      <c r="KCK745" s="487"/>
      <c r="KCL745" s="487"/>
      <c r="KCM745" s="487"/>
      <c r="KCN745" s="487"/>
      <c r="KCO745" s="487"/>
      <c r="KCP745" s="487"/>
      <c r="KCQ745" s="487"/>
      <c r="KCR745" s="487"/>
      <c r="KCS745" s="487"/>
      <c r="KCT745" s="487"/>
      <c r="KCU745" s="487"/>
      <c r="KCV745" s="487"/>
      <c r="KCW745" s="487"/>
      <c r="KCX745" s="487"/>
      <c r="KCY745" s="487"/>
      <c r="KCZ745" s="487"/>
      <c r="KDA745" s="487"/>
      <c r="KDB745" s="487"/>
      <c r="KDC745" s="487"/>
      <c r="KDD745" s="487"/>
      <c r="KDE745" s="487"/>
      <c r="KDF745" s="487"/>
      <c r="KDG745" s="487"/>
      <c r="KDH745" s="487"/>
      <c r="KDI745" s="487"/>
      <c r="KDJ745" s="487"/>
      <c r="KDK745" s="487"/>
      <c r="KDL745" s="487"/>
      <c r="KDM745" s="487"/>
      <c r="KDN745" s="487"/>
      <c r="KDO745" s="487"/>
      <c r="KDP745" s="487"/>
      <c r="KDQ745" s="487"/>
      <c r="KDR745" s="487"/>
      <c r="KDS745" s="487"/>
      <c r="KDT745" s="487"/>
      <c r="KDU745" s="487"/>
      <c r="KDV745" s="487"/>
      <c r="KDW745" s="487"/>
      <c r="KDX745" s="487"/>
      <c r="KDY745" s="487"/>
      <c r="KDZ745" s="487"/>
      <c r="KEA745" s="487"/>
      <c r="KEB745" s="487"/>
      <c r="KEC745" s="487"/>
      <c r="KED745" s="487"/>
      <c r="KEE745" s="487"/>
      <c r="KEF745" s="487"/>
      <c r="KEG745" s="487"/>
      <c r="KEH745" s="487"/>
      <c r="KEI745" s="487"/>
      <c r="KEJ745" s="487"/>
      <c r="KEK745" s="487"/>
      <c r="KEL745" s="487"/>
      <c r="KEM745" s="487"/>
      <c r="KEN745" s="487"/>
      <c r="KEO745" s="487"/>
      <c r="KEP745" s="487"/>
      <c r="KEQ745" s="487"/>
      <c r="KER745" s="487"/>
      <c r="KES745" s="487"/>
      <c r="KET745" s="487"/>
      <c r="KEU745" s="487"/>
      <c r="KEV745" s="487"/>
      <c r="KEW745" s="487"/>
      <c r="KEX745" s="487"/>
      <c r="KEY745" s="487"/>
      <c r="KEZ745" s="487"/>
      <c r="KFA745" s="487"/>
      <c r="KFB745" s="487"/>
      <c r="KFC745" s="487"/>
      <c r="KFD745" s="487"/>
      <c r="KFE745" s="487"/>
      <c r="KFF745" s="487"/>
      <c r="KFG745" s="487"/>
      <c r="KFH745" s="487"/>
      <c r="KFI745" s="487"/>
      <c r="KFJ745" s="487"/>
      <c r="KFK745" s="487"/>
      <c r="KFL745" s="487"/>
      <c r="KFM745" s="487"/>
      <c r="KFN745" s="487"/>
      <c r="KFO745" s="487"/>
      <c r="KFP745" s="487"/>
      <c r="KFQ745" s="487"/>
      <c r="KFR745" s="487"/>
      <c r="KFS745" s="487"/>
      <c r="KFT745" s="487"/>
      <c r="KFU745" s="487"/>
      <c r="KFV745" s="487"/>
      <c r="KFW745" s="487"/>
      <c r="KFX745" s="487"/>
      <c r="KFY745" s="487"/>
      <c r="KFZ745" s="487"/>
      <c r="KGA745" s="487"/>
      <c r="KGB745" s="487"/>
      <c r="KGC745" s="487"/>
      <c r="KGD745" s="487"/>
      <c r="KGE745" s="487"/>
      <c r="KGF745" s="487"/>
      <c r="KGG745" s="487"/>
      <c r="KGH745" s="487"/>
      <c r="KGI745" s="487"/>
      <c r="KGJ745" s="487"/>
      <c r="KGK745" s="487"/>
      <c r="KGL745" s="487"/>
      <c r="KGM745" s="487"/>
      <c r="KGN745" s="487"/>
      <c r="KGO745" s="487"/>
      <c r="KGP745" s="487"/>
      <c r="KGQ745" s="487"/>
      <c r="KGR745" s="487"/>
      <c r="KGS745" s="487"/>
      <c r="KGT745" s="487"/>
      <c r="KGU745" s="487"/>
      <c r="KGV745" s="487"/>
      <c r="KGW745" s="487"/>
      <c r="KGX745" s="487"/>
      <c r="KGY745" s="487"/>
      <c r="KGZ745" s="487"/>
      <c r="KHA745" s="487"/>
      <c r="KHB745" s="487"/>
      <c r="KHC745" s="487"/>
      <c r="KHD745" s="487"/>
      <c r="KHE745" s="487"/>
      <c r="KHF745" s="487"/>
      <c r="KHG745" s="487"/>
      <c r="KHH745" s="487"/>
      <c r="KHI745" s="487"/>
      <c r="KHJ745" s="487"/>
      <c r="KHK745" s="487"/>
      <c r="KHL745" s="487"/>
      <c r="KHM745" s="487"/>
      <c r="KHN745" s="487"/>
      <c r="KHO745" s="487"/>
      <c r="KHP745" s="487"/>
      <c r="KHQ745" s="487"/>
      <c r="KHR745" s="487"/>
      <c r="KHS745" s="487"/>
      <c r="KHT745" s="487"/>
      <c r="KHU745" s="487"/>
      <c r="KHV745" s="487"/>
      <c r="KHW745" s="487"/>
      <c r="KHX745" s="487"/>
      <c r="KHY745" s="487"/>
      <c r="KHZ745" s="487"/>
      <c r="KIA745" s="487"/>
      <c r="KIB745" s="487"/>
      <c r="KIC745" s="487"/>
      <c r="KID745" s="487"/>
      <c r="KIE745" s="487"/>
      <c r="KIF745" s="487"/>
      <c r="KIG745" s="487"/>
      <c r="KIH745" s="487"/>
      <c r="KII745" s="487"/>
      <c r="KIJ745" s="487"/>
      <c r="KIK745" s="487"/>
      <c r="KIL745" s="487"/>
      <c r="KIM745" s="487"/>
      <c r="KIN745" s="487"/>
      <c r="KIO745" s="487"/>
      <c r="KIP745" s="487"/>
      <c r="KIQ745" s="487"/>
      <c r="KIR745" s="487"/>
      <c r="KIS745" s="487"/>
      <c r="KIT745" s="487"/>
      <c r="KIU745" s="487"/>
      <c r="KIV745" s="487"/>
      <c r="KIW745" s="487"/>
      <c r="KIX745" s="487"/>
      <c r="KIY745" s="487"/>
      <c r="KIZ745" s="487"/>
      <c r="KJA745" s="487"/>
      <c r="KJB745" s="487"/>
      <c r="KJC745" s="487"/>
      <c r="KJD745" s="487"/>
      <c r="KJE745" s="487"/>
      <c r="KJF745" s="487"/>
      <c r="KJG745" s="487"/>
      <c r="KJH745" s="487"/>
      <c r="KJI745" s="487"/>
      <c r="KJJ745" s="487"/>
      <c r="KJK745" s="487"/>
      <c r="KJL745" s="487"/>
      <c r="KJM745" s="487"/>
      <c r="KJN745" s="487"/>
      <c r="KJO745" s="487"/>
      <c r="KJP745" s="487"/>
      <c r="KJQ745" s="487"/>
      <c r="KJR745" s="487"/>
      <c r="KJS745" s="487"/>
      <c r="KJT745" s="487"/>
      <c r="KJU745" s="487"/>
      <c r="KJV745" s="487"/>
      <c r="KJW745" s="487"/>
      <c r="KJX745" s="487"/>
      <c r="KJY745" s="487"/>
      <c r="KJZ745" s="487"/>
      <c r="KKA745" s="487"/>
      <c r="KKB745" s="487"/>
      <c r="KKC745" s="487"/>
      <c r="KKD745" s="487"/>
      <c r="KKE745" s="487"/>
      <c r="KKF745" s="487"/>
      <c r="KKG745" s="487"/>
      <c r="KKH745" s="487"/>
      <c r="KKI745" s="487"/>
      <c r="KKJ745" s="487"/>
      <c r="KKK745" s="487"/>
      <c r="KKL745" s="487"/>
      <c r="KKM745" s="487"/>
      <c r="KKN745" s="487"/>
      <c r="KKO745" s="487"/>
      <c r="KKP745" s="487"/>
      <c r="KKQ745" s="487"/>
      <c r="KKR745" s="487"/>
      <c r="KKS745" s="487"/>
      <c r="KKT745" s="487"/>
      <c r="KKU745" s="487"/>
      <c r="KKV745" s="487"/>
      <c r="KKW745" s="487"/>
      <c r="KKX745" s="487"/>
      <c r="KKY745" s="487"/>
      <c r="KKZ745" s="487"/>
      <c r="KLA745" s="487"/>
      <c r="KLB745" s="487"/>
      <c r="KLC745" s="487"/>
      <c r="KLD745" s="487"/>
      <c r="KLE745" s="487"/>
      <c r="KLF745" s="487"/>
      <c r="KLG745" s="487"/>
      <c r="KLH745" s="487"/>
      <c r="KLI745" s="487"/>
      <c r="KLJ745" s="487"/>
      <c r="KLK745" s="487"/>
      <c r="KLL745" s="487"/>
      <c r="KLM745" s="487"/>
      <c r="KLN745" s="487"/>
      <c r="KLO745" s="487"/>
      <c r="KLP745" s="487"/>
      <c r="KLQ745" s="487"/>
      <c r="KLR745" s="487"/>
      <c r="KLS745" s="487"/>
      <c r="KLT745" s="487"/>
      <c r="KLU745" s="487"/>
      <c r="KLV745" s="487"/>
      <c r="KLW745" s="487"/>
      <c r="KLX745" s="487"/>
      <c r="KLY745" s="487"/>
      <c r="KLZ745" s="487"/>
      <c r="KMA745" s="487"/>
      <c r="KMB745" s="487"/>
      <c r="KMC745" s="487"/>
      <c r="KMD745" s="487"/>
      <c r="KME745" s="487"/>
      <c r="KMF745" s="487"/>
      <c r="KMG745" s="487"/>
      <c r="KMH745" s="487"/>
      <c r="KMI745" s="487"/>
      <c r="KMJ745" s="487"/>
      <c r="KMK745" s="487"/>
      <c r="KML745" s="487"/>
      <c r="KMM745" s="487"/>
      <c r="KMN745" s="487"/>
      <c r="KMO745" s="487"/>
      <c r="KMP745" s="487"/>
      <c r="KMQ745" s="487"/>
      <c r="KMR745" s="487"/>
      <c r="KMS745" s="487"/>
      <c r="KMT745" s="487"/>
      <c r="KMU745" s="487"/>
      <c r="KMV745" s="487"/>
      <c r="KMW745" s="487"/>
      <c r="KMX745" s="487"/>
      <c r="KMY745" s="487"/>
      <c r="KMZ745" s="487"/>
      <c r="KNA745" s="487"/>
      <c r="KNB745" s="487"/>
      <c r="KNC745" s="487"/>
      <c r="KND745" s="487"/>
      <c r="KNE745" s="487"/>
      <c r="KNF745" s="487"/>
      <c r="KNG745" s="487"/>
      <c r="KNH745" s="487"/>
      <c r="KNI745" s="487"/>
      <c r="KNJ745" s="487"/>
      <c r="KNK745" s="487"/>
      <c r="KNL745" s="487"/>
      <c r="KNM745" s="487"/>
      <c r="KNN745" s="487"/>
      <c r="KNO745" s="487"/>
      <c r="KNP745" s="487"/>
      <c r="KNQ745" s="487"/>
      <c r="KNR745" s="487"/>
      <c r="KNS745" s="487"/>
      <c r="KNT745" s="487"/>
      <c r="KNU745" s="487"/>
      <c r="KNV745" s="487"/>
      <c r="KNW745" s="487"/>
      <c r="KNX745" s="487"/>
      <c r="KNY745" s="487"/>
      <c r="KNZ745" s="487"/>
      <c r="KOA745" s="487"/>
      <c r="KOB745" s="487"/>
      <c r="KOC745" s="487"/>
      <c r="KOD745" s="487"/>
      <c r="KOE745" s="487"/>
      <c r="KOF745" s="487"/>
      <c r="KOG745" s="487"/>
      <c r="KOH745" s="487"/>
      <c r="KOI745" s="487"/>
      <c r="KOJ745" s="487"/>
      <c r="KOK745" s="487"/>
      <c r="KOL745" s="487"/>
      <c r="KOM745" s="487"/>
      <c r="KON745" s="487"/>
      <c r="KOO745" s="487"/>
      <c r="KOP745" s="487"/>
      <c r="KOQ745" s="487"/>
      <c r="KOR745" s="487"/>
      <c r="KOS745" s="487"/>
      <c r="KOT745" s="487"/>
      <c r="KOU745" s="487"/>
      <c r="KOV745" s="487"/>
      <c r="KOW745" s="487"/>
      <c r="KOX745" s="487"/>
      <c r="KOY745" s="487"/>
      <c r="KOZ745" s="487"/>
      <c r="KPA745" s="487"/>
      <c r="KPB745" s="487"/>
      <c r="KPC745" s="487"/>
      <c r="KPD745" s="487"/>
      <c r="KPE745" s="487"/>
      <c r="KPF745" s="487"/>
      <c r="KPG745" s="487"/>
      <c r="KPH745" s="487"/>
      <c r="KPI745" s="487"/>
      <c r="KPJ745" s="487"/>
      <c r="KPK745" s="487"/>
      <c r="KPL745" s="487"/>
      <c r="KPM745" s="487"/>
      <c r="KPN745" s="487"/>
      <c r="KPO745" s="487"/>
      <c r="KPP745" s="487"/>
      <c r="KPQ745" s="487"/>
      <c r="KPR745" s="487"/>
      <c r="KPS745" s="487"/>
      <c r="KPT745" s="487"/>
      <c r="KPU745" s="487"/>
      <c r="KPV745" s="487"/>
      <c r="KPW745" s="487"/>
      <c r="KPX745" s="487"/>
      <c r="KPY745" s="487"/>
      <c r="KPZ745" s="487"/>
      <c r="KQA745" s="487"/>
      <c r="KQB745" s="487"/>
      <c r="KQC745" s="487"/>
      <c r="KQD745" s="487"/>
      <c r="KQE745" s="487"/>
      <c r="KQF745" s="487"/>
      <c r="KQG745" s="487"/>
      <c r="KQH745" s="487"/>
      <c r="KQI745" s="487"/>
      <c r="KQJ745" s="487"/>
      <c r="KQK745" s="487"/>
      <c r="KQL745" s="487"/>
      <c r="KQM745" s="487"/>
      <c r="KQN745" s="487"/>
      <c r="KQO745" s="487"/>
      <c r="KQP745" s="487"/>
      <c r="KQQ745" s="487"/>
      <c r="KQR745" s="487"/>
      <c r="KQS745" s="487"/>
      <c r="KQT745" s="487"/>
      <c r="KQU745" s="487"/>
      <c r="KQV745" s="487"/>
      <c r="KQW745" s="487"/>
      <c r="KQX745" s="487"/>
      <c r="KQY745" s="487"/>
      <c r="KQZ745" s="487"/>
      <c r="KRA745" s="487"/>
      <c r="KRB745" s="487"/>
      <c r="KRC745" s="487"/>
      <c r="KRD745" s="487"/>
      <c r="KRE745" s="487"/>
      <c r="KRF745" s="487"/>
      <c r="KRG745" s="487"/>
      <c r="KRH745" s="487"/>
      <c r="KRI745" s="487"/>
      <c r="KRJ745" s="487"/>
      <c r="KRK745" s="487"/>
      <c r="KRL745" s="487"/>
      <c r="KRM745" s="487"/>
      <c r="KRN745" s="487"/>
      <c r="KRO745" s="487"/>
      <c r="KRP745" s="487"/>
      <c r="KRQ745" s="487"/>
      <c r="KRR745" s="487"/>
      <c r="KRS745" s="487"/>
      <c r="KRT745" s="487"/>
      <c r="KRU745" s="487"/>
      <c r="KRV745" s="487"/>
      <c r="KRW745" s="487"/>
      <c r="KRX745" s="487"/>
      <c r="KRY745" s="487"/>
      <c r="KRZ745" s="487"/>
      <c r="KSA745" s="487"/>
      <c r="KSB745" s="487"/>
      <c r="KSC745" s="487"/>
      <c r="KSD745" s="487"/>
      <c r="KSE745" s="487"/>
      <c r="KSF745" s="487"/>
      <c r="KSG745" s="487"/>
      <c r="KSH745" s="487"/>
      <c r="KSI745" s="487"/>
      <c r="KSJ745" s="487"/>
      <c r="KSK745" s="487"/>
      <c r="KSL745" s="487"/>
      <c r="KSM745" s="487"/>
      <c r="KSN745" s="487"/>
      <c r="KSO745" s="487"/>
      <c r="KSP745" s="487"/>
      <c r="KSQ745" s="487"/>
      <c r="KSR745" s="487"/>
      <c r="KSS745" s="487"/>
      <c r="KST745" s="487"/>
      <c r="KSU745" s="487"/>
      <c r="KSV745" s="487"/>
      <c r="KSW745" s="487"/>
      <c r="KSX745" s="487"/>
      <c r="KSY745" s="487"/>
      <c r="KSZ745" s="487"/>
      <c r="KTA745" s="487"/>
      <c r="KTB745" s="487"/>
      <c r="KTC745" s="487"/>
      <c r="KTD745" s="487"/>
      <c r="KTE745" s="487"/>
      <c r="KTF745" s="487"/>
      <c r="KTG745" s="487"/>
      <c r="KTH745" s="487"/>
      <c r="KTI745" s="487"/>
      <c r="KTJ745" s="487"/>
      <c r="KTK745" s="487"/>
      <c r="KTL745" s="487"/>
      <c r="KTM745" s="487"/>
      <c r="KTN745" s="487"/>
      <c r="KTO745" s="487"/>
      <c r="KTP745" s="487"/>
      <c r="KTQ745" s="487"/>
      <c r="KTR745" s="487"/>
      <c r="KTS745" s="487"/>
      <c r="KTT745" s="487"/>
      <c r="KTU745" s="487"/>
      <c r="KTV745" s="487"/>
      <c r="KTW745" s="487"/>
      <c r="KTX745" s="487"/>
      <c r="KTY745" s="487"/>
      <c r="KTZ745" s="487"/>
      <c r="KUA745" s="487"/>
      <c r="KUB745" s="487"/>
      <c r="KUC745" s="487"/>
      <c r="KUD745" s="487"/>
      <c r="KUE745" s="487"/>
      <c r="KUF745" s="487"/>
      <c r="KUG745" s="487"/>
      <c r="KUH745" s="487"/>
      <c r="KUI745" s="487"/>
      <c r="KUJ745" s="487"/>
      <c r="KUK745" s="487"/>
      <c r="KUL745" s="487"/>
      <c r="KUM745" s="487"/>
      <c r="KUN745" s="487"/>
      <c r="KUO745" s="487"/>
      <c r="KUP745" s="487"/>
      <c r="KUQ745" s="487"/>
      <c r="KUR745" s="487"/>
      <c r="KUS745" s="487"/>
      <c r="KUT745" s="487"/>
      <c r="KUU745" s="487"/>
      <c r="KUV745" s="487"/>
      <c r="KUW745" s="487"/>
      <c r="KUX745" s="487"/>
      <c r="KUY745" s="487"/>
      <c r="KUZ745" s="487"/>
      <c r="KVA745" s="487"/>
      <c r="KVB745" s="487"/>
      <c r="KVC745" s="487"/>
      <c r="KVD745" s="487"/>
      <c r="KVE745" s="487"/>
      <c r="KVF745" s="487"/>
      <c r="KVG745" s="487"/>
      <c r="KVH745" s="487"/>
      <c r="KVI745" s="487"/>
      <c r="KVJ745" s="487"/>
      <c r="KVK745" s="487"/>
      <c r="KVL745" s="487"/>
      <c r="KVM745" s="487"/>
      <c r="KVN745" s="487"/>
      <c r="KVO745" s="487"/>
      <c r="KVP745" s="487"/>
      <c r="KVQ745" s="487"/>
      <c r="KVR745" s="487"/>
      <c r="KVS745" s="487"/>
      <c r="KVT745" s="487"/>
      <c r="KVU745" s="487"/>
      <c r="KVV745" s="487"/>
      <c r="KVW745" s="487"/>
      <c r="KVX745" s="487"/>
      <c r="KVY745" s="487"/>
      <c r="KVZ745" s="487"/>
      <c r="KWA745" s="487"/>
      <c r="KWB745" s="487"/>
      <c r="KWC745" s="487"/>
      <c r="KWD745" s="487"/>
      <c r="KWE745" s="487"/>
      <c r="KWF745" s="487"/>
      <c r="KWG745" s="487"/>
      <c r="KWH745" s="487"/>
      <c r="KWI745" s="487"/>
      <c r="KWJ745" s="487"/>
      <c r="KWK745" s="487"/>
      <c r="KWL745" s="487"/>
      <c r="KWM745" s="487"/>
      <c r="KWN745" s="487"/>
      <c r="KWO745" s="487"/>
      <c r="KWP745" s="487"/>
      <c r="KWQ745" s="487"/>
      <c r="KWR745" s="487"/>
      <c r="KWS745" s="487"/>
      <c r="KWT745" s="487"/>
      <c r="KWU745" s="487"/>
      <c r="KWV745" s="487"/>
      <c r="KWW745" s="487"/>
      <c r="KWX745" s="487"/>
      <c r="KWY745" s="487"/>
      <c r="KWZ745" s="487"/>
      <c r="KXA745" s="487"/>
      <c r="KXB745" s="487"/>
      <c r="KXC745" s="487"/>
      <c r="KXD745" s="487"/>
      <c r="KXE745" s="487"/>
      <c r="KXF745" s="487"/>
      <c r="KXG745" s="487"/>
      <c r="KXH745" s="487"/>
      <c r="KXI745" s="487"/>
      <c r="KXJ745" s="487"/>
      <c r="KXK745" s="487"/>
      <c r="KXL745" s="487"/>
      <c r="KXM745" s="487"/>
      <c r="KXN745" s="487"/>
      <c r="KXO745" s="487"/>
      <c r="KXP745" s="487"/>
      <c r="KXQ745" s="487"/>
      <c r="KXR745" s="487"/>
      <c r="KXS745" s="487"/>
      <c r="KXT745" s="487"/>
      <c r="KXU745" s="487"/>
      <c r="KXV745" s="487"/>
      <c r="KXW745" s="487"/>
      <c r="KXX745" s="487"/>
      <c r="KXY745" s="487"/>
      <c r="KXZ745" s="487"/>
      <c r="KYA745" s="487"/>
      <c r="KYB745" s="487"/>
      <c r="KYC745" s="487"/>
      <c r="KYD745" s="487"/>
      <c r="KYE745" s="487"/>
      <c r="KYF745" s="487"/>
      <c r="KYG745" s="487"/>
      <c r="KYH745" s="487"/>
      <c r="KYI745" s="487"/>
      <c r="KYJ745" s="487"/>
      <c r="KYK745" s="487"/>
      <c r="KYL745" s="487"/>
      <c r="KYM745" s="487"/>
      <c r="KYN745" s="487"/>
      <c r="KYO745" s="487"/>
      <c r="KYP745" s="487"/>
      <c r="KYQ745" s="487"/>
      <c r="KYR745" s="487"/>
      <c r="KYS745" s="487"/>
      <c r="KYT745" s="487"/>
      <c r="KYU745" s="487"/>
      <c r="KYV745" s="487"/>
      <c r="KYW745" s="487"/>
      <c r="KYX745" s="487"/>
      <c r="KYY745" s="487"/>
      <c r="KYZ745" s="487"/>
      <c r="KZA745" s="487"/>
      <c r="KZB745" s="487"/>
      <c r="KZC745" s="487"/>
      <c r="KZD745" s="487"/>
      <c r="KZE745" s="487"/>
      <c r="KZF745" s="487"/>
      <c r="KZG745" s="487"/>
      <c r="KZH745" s="487"/>
      <c r="KZI745" s="487"/>
      <c r="KZJ745" s="487"/>
      <c r="KZK745" s="487"/>
      <c r="KZL745" s="487"/>
      <c r="KZM745" s="487"/>
      <c r="KZN745" s="487"/>
      <c r="KZO745" s="487"/>
      <c r="KZP745" s="487"/>
      <c r="KZQ745" s="487"/>
      <c r="KZR745" s="487"/>
      <c r="KZS745" s="487"/>
      <c r="KZT745" s="487"/>
      <c r="KZU745" s="487"/>
      <c r="KZV745" s="487"/>
      <c r="KZW745" s="487"/>
      <c r="KZX745" s="487"/>
      <c r="KZY745" s="487"/>
      <c r="KZZ745" s="487"/>
      <c r="LAA745" s="487"/>
      <c r="LAB745" s="487"/>
      <c r="LAC745" s="487"/>
      <c r="LAD745" s="487"/>
      <c r="LAE745" s="487"/>
      <c r="LAF745" s="487"/>
      <c r="LAG745" s="487"/>
      <c r="LAH745" s="487"/>
      <c r="LAI745" s="487"/>
      <c r="LAJ745" s="487"/>
      <c r="LAK745" s="487"/>
      <c r="LAL745" s="487"/>
      <c r="LAM745" s="487"/>
      <c r="LAN745" s="487"/>
      <c r="LAO745" s="487"/>
      <c r="LAP745" s="487"/>
      <c r="LAQ745" s="487"/>
      <c r="LAR745" s="487"/>
      <c r="LAS745" s="487"/>
      <c r="LAT745" s="487"/>
      <c r="LAU745" s="487"/>
      <c r="LAV745" s="487"/>
      <c r="LAW745" s="487"/>
      <c r="LAX745" s="487"/>
      <c r="LAY745" s="487"/>
      <c r="LAZ745" s="487"/>
      <c r="LBA745" s="487"/>
      <c r="LBB745" s="487"/>
      <c r="LBC745" s="487"/>
      <c r="LBD745" s="487"/>
      <c r="LBE745" s="487"/>
      <c r="LBF745" s="487"/>
      <c r="LBG745" s="487"/>
      <c r="LBH745" s="487"/>
      <c r="LBI745" s="487"/>
      <c r="LBJ745" s="487"/>
      <c r="LBK745" s="487"/>
      <c r="LBL745" s="487"/>
      <c r="LBM745" s="487"/>
      <c r="LBN745" s="487"/>
      <c r="LBO745" s="487"/>
      <c r="LBP745" s="487"/>
      <c r="LBQ745" s="487"/>
      <c r="LBR745" s="487"/>
      <c r="LBS745" s="487"/>
      <c r="LBT745" s="487"/>
      <c r="LBU745" s="487"/>
      <c r="LBV745" s="487"/>
      <c r="LBW745" s="487"/>
      <c r="LBX745" s="487"/>
      <c r="LBY745" s="487"/>
      <c r="LBZ745" s="487"/>
      <c r="LCA745" s="487"/>
      <c r="LCB745" s="487"/>
      <c r="LCC745" s="487"/>
      <c r="LCD745" s="487"/>
      <c r="LCE745" s="487"/>
      <c r="LCF745" s="487"/>
      <c r="LCG745" s="487"/>
      <c r="LCH745" s="487"/>
      <c r="LCI745" s="487"/>
      <c r="LCJ745" s="487"/>
      <c r="LCK745" s="487"/>
      <c r="LCL745" s="487"/>
      <c r="LCM745" s="487"/>
      <c r="LCN745" s="487"/>
      <c r="LCO745" s="487"/>
      <c r="LCP745" s="487"/>
      <c r="LCQ745" s="487"/>
      <c r="LCR745" s="487"/>
      <c r="LCS745" s="487"/>
      <c r="LCT745" s="487"/>
      <c r="LCU745" s="487"/>
      <c r="LCV745" s="487"/>
      <c r="LCW745" s="487"/>
      <c r="LCX745" s="487"/>
      <c r="LCY745" s="487"/>
      <c r="LCZ745" s="487"/>
      <c r="LDA745" s="487"/>
      <c r="LDB745" s="487"/>
      <c r="LDC745" s="487"/>
      <c r="LDD745" s="487"/>
      <c r="LDE745" s="487"/>
      <c r="LDF745" s="487"/>
      <c r="LDG745" s="487"/>
      <c r="LDH745" s="487"/>
      <c r="LDI745" s="487"/>
      <c r="LDJ745" s="487"/>
      <c r="LDK745" s="487"/>
      <c r="LDL745" s="487"/>
      <c r="LDM745" s="487"/>
      <c r="LDN745" s="487"/>
      <c r="LDO745" s="487"/>
      <c r="LDP745" s="487"/>
      <c r="LDQ745" s="487"/>
      <c r="LDR745" s="487"/>
      <c r="LDS745" s="487"/>
      <c r="LDT745" s="487"/>
      <c r="LDU745" s="487"/>
      <c r="LDV745" s="487"/>
      <c r="LDW745" s="487"/>
      <c r="LDX745" s="487"/>
      <c r="LDY745" s="487"/>
      <c r="LDZ745" s="487"/>
      <c r="LEA745" s="487"/>
      <c r="LEB745" s="487"/>
      <c r="LEC745" s="487"/>
      <c r="LED745" s="487"/>
      <c r="LEE745" s="487"/>
      <c r="LEF745" s="487"/>
      <c r="LEG745" s="487"/>
      <c r="LEH745" s="487"/>
      <c r="LEI745" s="487"/>
      <c r="LEJ745" s="487"/>
      <c r="LEK745" s="487"/>
      <c r="LEL745" s="487"/>
      <c r="LEM745" s="487"/>
      <c r="LEN745" s="487"/>
      <c r="LEO745" s="487"/>
      <c r="LEP745" s="487"/>
      <c r="LEQ745" s="487"/>
      <c r="LER745" s="487"/>
      <c r="LES745" s="487"/>
      <c r="LET745" s="487"/>
      <c r="LEU745" s="487"/>
      <c r="LEV745" s="487"/>
      <c r="LEW745" s="487"/>
      <c r="LEX745" s="487"/>
      <c r="LEY745" s="487"/>
      <c r="LEZ745" s="487"/>
      <c r="LFA745" s="487"/>
      <c r="LFB745" s="487"/>
      <c r="LFC745" s="487"/>
      <c r="LFD745" s="487"/>
      <c r="LFE745" s="487"/>
      <c r="LFF745" s="487"/>
      <c r="LFG745" s="487"/>
      <c r="LFH745" s="487"/>
      <c r="LFI745" s="487"/>
      <c r="LFJ745" s="487"/>
      <c r="LFK745" s="487"/>
      <c r="LFL745" s="487"/>
      <c r="LFM745" s="487"/>
      <c r="LFN745" s="487"/>
      <c r="LFO745" s="487"/>
      <c r="LFP745" s="487"/>
      <c r="LFQ745" s="487"/>
      <c r="LFR745" s="487"/>
      <c r="LFS745" s="487"/>
      <c r="LFT745" s="487"/>
      <c r="LFU745" s="487"/>
      <c r="LFV745" s="487"/>
      <c r="LFW745" s="487"/>
      <c r="LFX745" s="487"/>
      <c r="LFY745" s="487"/>
      <c r="LFZ745" s="487"/>
      <c r="LGA745" s="487"/>
      <c r="LGB745" s="487"/>
      <c r="LGC745" s="487"/>
      <c r="LGD745" s="487"/>
      <c r="LGE745" s="487"/>
      <c r="LGF745" s="487"/>
      <c r="LGG745" s="487"/>
      <c r="LGH745" s="487"/>
      <c r="LGI745" s="487"/>
      <c r="LGJ745" s="487"/>
      <c r="LGK745" s="487"/>
      <c r="LGL745" s="487"/>
      <c r="LGM745" s="487"/>
      <c r="LGN745" s="487"/>
      <c r="LGO745" s="487"/>
      <c r="LGP745" s="487"/>
      <c r="LGQ745" s="487"/>
      <c r="LGR745" s="487"/>
      <c r="LGS745" s="487"/>
      <c r="LGT745" s="487"/>
      <c r="LGU745" s="487"/>
      <c r="LGV745" s="487"/>
      <c r="LGW745" s="487"/>
      <c r="LGX745" s="487"/>
      <c r="LGY745" s="487"/>
      <c r="LGZ745" s="487"/>
      <c r="LHA745" s="487"/>
      <c r="LHB745" s="487"/>
      <c r="LHC745" s="487"/>
      <c r="LHD745" s="487"/>
      <c r="LHE745" s="487"/>
      <c r="LHF745" s="487"/>
      <c r="LHG745" s="487"/>
      <c r="LHH745" s="487"/>
      <c r="LHI745" s="487"/>
      <c r="LHJ745" s="487"/>
      <c r="LHK745" s="487"/>
      <c r="LHL745" s="487"/>
      <c r="LHM745" s="487"/>
      <c r="LHN745" s="487"/>
      <c r="LHO745" s="487"/>
      <c r="LHP745" s="487"/>
      <c r="LHQ745" s="487"/>
      <c r="LHR745" s="487"/>
      <c r="LHS745" s="487"/>
      <c r="LHT745" s="487"/>
      <c r="LHU745" s="487"/>
      <c r="LHV745" s="487"/>
      <c r="LHW745" s="487"/>
      <c r="LHX745" s="487"/>
      <c r="LHY745" s="487"/>
      <c r="LHZ745" s="487"/>
      <c r="LIA745" s="487"/>
      <c r="LIB745" s="487"/>
      <c r="LIC745" s="487"/>
      <c r="LID745" s="487"/>
      <c r="LIE745" s="487"/>
      <c r="LIF745" s="487"/>
      <c r="LIG745" s="487"/>
      <c r="LIH745" s="487"/>
      <c r="LII745" s="487"/>
      <c r="LIJ745" s="487"/>
      <c r="LIK745" s="487"/>
      <c r="LIL745" s="487"/>
      <c r="LIM745" s="487"/>
      <c r="LIN745" s="487"/>
      <c r="LIO745" s="487"/>
      <c r="LIP745" s="487"/>
      <c r="LIQ745" s="487"/>
      <c r="LIR745" s="487"/>
      <c r="LIS745" s="487"/>
      <c r="LIT745" s="487"/>
      <c r="LIU745" s="487"/>
      <c r="LIV745" s="487"/>
      <c r="LIW745" s="487"/>
      <c r="LIX745" s="487"/>
      <c r="LIY745" s="487"/>
      <c r="LIZ745" s="487"/>
      <c r="LJA745" s="487"/>
      <c r="LJB745" s="487"/>
      <c r="LJC745" s="487"/>
      <c r="LJD745" s="487"/>
      <c r="LJE745" s="487"/>
      <c r="LJF745" s="487"/>
      <c r="LJG745" s="487"/>
      <c r="LJH745" s="487"/>
      <c r="LJI745" s="487"/>
      <c r="LJJ745" s="487"/>
      <c r="LJK745" s="487"/>
      <c r="LJL745" s="487"/>
      <c r="LJM745" s="487"/>
      <c r="LJN745" s="487"/>
      <c r="LJO745" s="487"/>
      <c r="LJP745" s="487"/>
      <c r="LJQ745" s="487"/>
      <c r="LJR745" s="487"/>
      <c r="LJS745" s="487"/>
      <c r="LJT745" s="487"/>
      <c r="LJU745" s="487"/>
      <c r="LJV745" s="487"/>
      <c r="LJW745" s="487"/>
      <c r="LJX745" s="487"/>
      <c r="LJY745" s="487"/>
      <c r="LJZ745" s="487"/>
      <c r="LKA745" s="487"/>
      <c r="LKB745" s="487"/>
      <c r="LKC745" s="487"/>
      <c r="LKD745" s="487"/>
      <c r="LKE745" s="487"/>
      <c r="LKF745" s="487"/>
      <c r="LKG745" s="487"/>
      <c r="LKH745" s="487"/>
      <c r="LKI745" s="487"/>
      <c r="LKJ745" s="487"/>
      <c r="LKK745" s="487"/>
      <c r="LKL745" s="487"/>
      <c r="LKM745" s="487"/>
      <c r="LKN745" s="487"/>
      <c r="LKO745" s="487"/>
      <c r="LKP745" s="487"/>
      <c r="LKQ745" s="487"/>
      <c r="LKR745" s="487"/>
      <c r="LKS745" s="487"/>
      <c r="LKT745" s="487"/>
      <c r="LKU745" s="487"/>
      <c r="LKV745" s="487"/>
      <c r="LKW745" s="487"/>
      <c r="LKX745" s="487"/>
      <c r="LKY745" s="487"/>
      <c r="LKZ745" s="487"/>
      <c r="LLA745" s="487"/>
      <c r="LLB745" s="487"/>
      <c r="LLC745" s="487"/>
      <c r="LLD745" s="487"/>
      <c r="LLE745" s="487"/>
      <c r="LLF745" s="487"/>
      <c r="LLG745" s="487"/>
      <c r="LLH745" s="487"/>
      <c r="LLI745" s="487"/>
      <c r="LLJ745" s="487"/>
      <c r="LLK745" s="487"/>
      <c r="LLL745" s="487"/>
      <c r="LLM745" s="487"/>
      <c r="LLN745" s="487"/>
      <c r="LLO745" s="487"/>
      <c r="LLP745" s="487"/>
      <c r="LLQ745" s="487"/>
      <c r="LLR745" s="487"/>
      <c r="LLS745" s="487"/>
      <c r="LLT745" s="487"/>
      <c r="LLU745" s="487"/>
      <c r="LLV745" s="487"/>
      <c r="LLW745" s="487"/>
      <c r="LLX745" s="487"/>
      <c r="LLY745" s="487"/>
      <c r="LLZ745" s="487"/>
      <c r="LMA745" s="487"/>
      <c r="LMB745" s="487"/>
      <c r="LMC745" s="487"/>
      <c r="LMD745" s="487"/>
      <c r="LME745" s="487"/>
      <c r="LMF745" s="487"/>
      <c r="LMG745" s="487"/>
      <c r="LMH745" s="487"/>
      <c r="LMI745" s="487"/>
      <c r="LMJ745" s="487"/>
      <c r="LMK745" s="487"/>
      <c r="LML745" s="487"/>
      <c r="LMM745" s="487"/>
      <c r="LMN745" s="487"/>
      <c r="LMO745" s="487"/>
      <c r="LMP745" s="487"/>
      <c r="LMQ745" s="487"/>
      <c r="LMR745" s="487"/>
      <c r="LMS745" s="487"/>
      <c r="LMT745" s="487"/>
      <c r="LMU745" s="487"/>
      <c r="LMV745" s="487"/>
      <c r="LMW745" s="487"/>
      <c r="LMX745" s="487"/>
      <c r="LMY745" s="487"/>
      <c r="LMZ745" s="487"/>
      <c r="LNA745" s="487"/>
      <c r="LNB745" s="487"/>
      <c r="LNC745" s="487"/>
      <c r="LND745" s="487"/>
      <c r="LNE745" s="487"/>
      <c r="LNF745" s="487"/>
      <c r="LNG745" s="487"/>
      <c r="LNH745" s="487"/>
      <c r="LNI745" s="487"/>
      <c r="LNJ745" s="487"/>
      <c r="LNK745" s="487"/>
      <c r="LNL745" s="487"/>
      <c r="LNM745" s="487"/>
      <c r="LNN745" s="487"/>
      <c r="LNO745" s="487"/>
      <c r="LNP745" s="487"/>
      <c r="LNQ745" s="487"/>
      <c r="LNR745" s="487"/>
      <c r="LNS745" s="487"/>
      <c r="LNT745" s="487"/>
      <c r="LNU745" s="487"/>
      <c r="LNV745" s="487"/>
      <c r="LNW745" s="487"/>
      <c r="LNX745" s="487"/>
      <c r="LNY745" s="487"/>
      <c r="LNZ745" s="487"/>
      <c r="LOA745" s="487"/>
      <c r="LOB745" s="487"/>
      <c r="LOC745" s="487"/>
      <c r="LOD745" s="487"/>
      <c r="LOE745" s="487"/>
      <c r="LOF745" s="487"/>
      <c r="LOG745" s="487"/>
      <c r="LOH745" s="487"/>
      <c r="LOI745" s="487"/>
      <c r="LOJ745" s="487"/>
      <c r="LOK745" s="487"/>
      <c r="LOL745" s="487"/>
      <c r="LOM745" s="487"/>
      <c r="LON745" s="487"/>
      <c r="LOO745" s="487"/>
      <c r="LOP745" s="487"/>
      <c r="LOQ745" s="487"/>
      <c r="LOR745" s="487"/>
      <c r="LOS745" s="487"/>
      <c r="LOT745" s="487"/>
      <c r="LOU745" s="487"/>
      <c r="LOV745" s="487"/>
      <c r="LOW745" s="487"/>
      <c r="LOX745" s="487"/>
      <c r="LOY745" s="487"/>
      <c r="LOZ745" s="487"/>
      <c r="LPA745" s="487"/>
      <c r="LPB745" s="487"/>
      <c r="LPC745" s="487"/>
      <c r="LPD745" s="487"/>
      <c r="LPE745" s="487"/>
      <c r="LPF745" s="487"/>
      <c r="LPG745" s="487"/>
      <c r="LPH745" s="487"/>
      <c r="LPI745" s="487"/>
      <c r="LPJ745" s="487"/>
      <c r="LPK745" s="487"/>
      <c r="LPL745" s="487"/>
      <c r="LPM745" s="487"/>
      <c r="LPN745" s="487"/>
      <c r="LPO745" s="487"/>
      <c r="LPP745" s="487"/>
      <c r="LPQ745" s="487"/>
      <c r="LPR745" s="487"/>
      <c r="LPS745" s="487"/>
      <c r="LPT745" s="487"/>
      <c r="LPU745" s="487"/>
      <c r="LPV745" s="487"/>
      <c r="LPW745" s="487"/>
      <c r="LPX745" s="487"/>
      <c r="LPY745" s="487"/>
      <c r="LPZ745" s="487"/>
      <c r="LQA745" s="487"/>
      <c r="LQB745" s="487"/>
      <c r="LQC745" s="487"/>
      <c r="LQD745" s="487"/>
      <c r="LQE745" s="487"/>
      <c r="LQF745" s="487"/>
      <c r="LQG745" s="487"/>
      <c r="LQH745" s="487"/>
      <c r="LQI745" s="487"/>
      <c r="LQJ745" s="487"/>
      <c r="LQK745" s="487"/>
      <c r="LQL745" s="487"/>
      <c r="LQM745" s="487"/>
      <c r="LQN745" s="487"/>
      <c r="LQO745" s="487"/>
      <c r="LQP745" s="487"/>
      <c r="LQQ745" s="487"/>
      <c r="LQR745" s="487"/>
      <c r="LQS745" s="487"/>
      <c r="LQT745" s="487"/>
      <c r="LQU745" s="487"/>
      <c r="LQV745" s="487"/>
      <c r="LQW745" s="487"/>
      <c r="LQX745" s="487"/>
      <c r="LQY745" s="487"/>
      <c r="LQZ745" s="487"/>
      <c r="LRA745" s="487"/>
      <c r="LRB745" s="487"/>
      <c r="LRC745" s="487"/>
      <c r="LRD745" s="487"/>
      <c r="LRE745" s="487"/>
      <c r="LRF745" s="487"/>
      <c r="LRG745" s="487"/>
      <c r="LRH745" s="487"/>
      <c r="LRI745" s="487"/>
      <c r="LRJ745" s="487"/>
      <c r="LRK745" s="487"/>
      <c r="LRL745" s="487"/>
      <c r="LRM745" s="487"/>
      <c r="LRN745" s="487"/>
      <c r="LRO745" s="487"/>
      <c r="LRP745" s="487"/>
      <c r="LRQ745" s="487"/>
      <c r="LRR745" s="487"/>
      <c r="LRS745" s="487"/>
      <c r="LRT745" s="487"/>
      <c r="LRU745" s="487"/>
      <c r="LRV745" s="487"/>
      <c r="LRW745" s="487"/>
      <c r="LRX745" s="487"/>
      <c r="LRY745" s="487"/>
      <c r="LRZ745" s="487"/>
      <c r="LSA745" s="487"/>
      <c r="LSB745" s="487"/>
      <c r="LSC745" s="487"/>
      <c r="LSD745" s="487"/>
      <c r="LSE745" s="487"/>
      <c r="LSF745" s="487"/>
      <c r="LSG745" s="487"/>
      <c r="LSH745" s="487"/>
      <c r="LSI745" s="487"/>
      <c r="LSJ745" s="487"/>
      <c r="LSK745" s="487"/>
      <c r="LSL745" s="487"/>
      <c r="LSM745" s="487"/>
      <c r="LSN745" s="487"/>
      <c r="LSO745" s="487"/>
      <c r="LSP745" s="487"/>
      <c r="LSQ745" s="487"/>
      <c r="LSR745" s="487"/>
      <c r="LSS745" s="487"/>
      <c r="LST745" s="487"/>
      <c r="LSU745" s="487"/>
      <c r="LSV745" s="487"/>
      <c r="LSW745" s="487"/>
      <c r="LSX745" s="487"/>
      <c r="LSY745" s="487"/>
      <c r="LSZ745" s="487"/>
      <c r="LTA745" s="487"/>
      <c r="LTB745" s="487"/>
      <c r="LTC745" s="487"/>
      <c r="LTD745" s="487"/>
      <c r="LTE745" s="487"/>
      <c r="LTF745" s="487"/>
      <c r="LTG745" s="487"/>
      <c r="LTH745" s="487"/>
      <c r="LTI745" s="487"/>
      <c r="LTJ745" s="487"/>
      <c r="LTK745" s="487"/>
      <c r="LTL745" s="487"/>
      <c r="LTM745" s="487"/>
      <c r="LTN745" s="487"/>
      <c r="LTO745" s="487"/>
      <c r="LTP745" s="487"/>
      <c r="LTQ745" s="487"/>
      <c r="LTR745" s="487"/>
      <c r="LTS745" s="487"/>
      <c r="LTT745" s="487"/>
      <c r="LTU745" s="487"/>
      <c r="LTV745" s="487"/>
      <c r="LTW745" s="487"/>
      <c r="LTX745" s="487"/>
      <c r="LTY745" s="487"/>
      <c r="LTZ745" s="487"/>
      <c r="LUA745" s="487"/>
      <c r="LUB745" s="487"/>
      <c r="LUC745" s="487"/>
      <c r="LUD745" s="487"/>
      <c r="LUE745" s="487"/>
      <c r="LUF745" s="487"/>
      <c r="LUG745" s="487"/>
      <c r="LUH745" s="487"/>
      <c r="LUI745" s="487"/>
      <c r="LUJ745" s="487"/>
      <c r="LUK745" s="487"/>
      <c r="LUL745" s="487"/>
      <c r="LUM745" s="487"/>
      <c r="LUN745" s="487"/>
      <c r="LUO745" s="487"/>
      <c r="LUP745" s="487"/>
      <c r="LUQ745" s="487"/>
      <c r="LUR745" s="487"/>
      <c r="LUS745" s="487"/>
      <c r="LUT745" s="487"/>
      <c r="LUU745" s="487"/>
      <c r="LUV745" s="487"/>
      <c r="LUW745" s="487"/>
      <c r="LUX745" s="487"/>
      <c r="LUY745" s="487"/>
      <c r="LUZ745" s="487"/>
      <c r="LVA745" s="487"/>
      <c r="LVB745" s="487"/>
      <c r="LVC745" s="487"/>
      <c r="LVD745" s="487"/>
      <c r="LVE745" s="487"/>
      <c r="LVF745" s="487"/>
      <c r="LVG745" s="487"/>
      <c r="LVH745" s="487"/>
      <c r="LVI745" s="487"/>
      <c r="LVJ745" s="487"/>
      <c r="LVK745" s="487"/>
      <c r="LVL745" s="487"/>
      <c r="LVM745" s="487"/>
      <c r="LVN745" s="487"/>
      <c r="LVO745" s="487"/>
      <c r="LVP745" s="487"/>
      <c r="LVQ745" s="487"/>
      <c r="LVR745" s="487"/>
      <c r="LVS745" s="487"/>
      <c r="LVT745" s="487"/>
      <c r="LVU745" s="487"/>
      <c r="LVV745" s="487"/>
      <c r="LVW745" s="487"/>
      <c r="LVX745" s="487"/>
      <c r="LVY745" s="487"/>
      <c r="LVZ745" s="487"/>
      <c r="LWA745" s="487"/>
      <c r="LWB745" s="487"/>
      <c r="LWC745" s="487"/>
      <c r="LWD745" s="487"/>
      <c r="LWE745" s="487"/>
      <c r="LWF745" s="487"/>
      <c r="LWG745" s="487"/>
      <c r="LWH745" s="487"/>
      <c r="LWI745" s="487"/>
      <c r="LWJ745" s="487"/>
      <c r="LWK745" s="487"/>
      <c r="LWL745" s="487"/>
      <c r="LWM745" s="487"/>
      <c r="LWN745" s="487"/>
      <c r="LWO745" s="487"/>
      <c r="LWP745" s="487"/>
      <c r="LWQ745" s="487"/>
      <c r="LWR745" s="487"/>
      <c r="LWS745" s="487"/>
      <c r="LWT745" s="487"/>
      <c r="LWU745" s="487"/>
      <c r="LWV745" s="487"/>
      <c r="LWW745" s="487"/>
      <c r="LWX745" s="487"/>
      <c r="LWY745" s="487"/>
      <c r="LWZ745" s="487"/>
      <c r="LXA745" s="487"/>
      <c r="LXB745" s="487"/>
      <c r="LXC745" s="487"/>
      <c r="LXD745" s="487"/>
      <c r="LXE745" s="487"/>
      <c r="LXF745" s="487"/>
      <c r="LXG745" s="487"/>
      <c r="LXH745" s="487"/>
      <c r="LXI745" s="487"/>
      <c r="LXJ745" s="487"/>
      <c r="LXK745" s="487"/>
      <c r="LXL745" s="487"/>
      <c r="LXM745" s="487"/>
      <c r="LXN745" s="487"/>
      <c r="LXO745" s="487"/>
      <c r="LXP745" s="487"/>
      <c r="LXQ745" s="487"/>
      <c r="LXR745" s="487"/>
      <c r="LXS745" s="487"/>
      <c r="LXT745" s="487"/>
      <c r="LXU745" s="487"/>
      <c r="LXV745" s="487"/>
      <c r="LXW745" s="487"/>
      <c r="LXX745" s="487"/>
      <c r="LXY745" s="487"/>
      <c r="LXZ745" s="487"/>
      <c r="LYA745" s="487"/>
      <c r="LYB745" s="487"/>
      <c r="LYC745" s="487"/>
      <c r="LYD745" s="487"/>
      <c r="LYE745" s="487"/>
      <c r="LYF745" s="487"/>
      <c r="LYG745" s="487"/>
      <c r="LYH745" s="487"/>
      <c r="LYI745" s="487"/>
      <c r="LYJ745" s="487"/>
      <c r="LYK745" s="487"/>
      <c r="LYL745" s="487"/>
      <c r="LYM745" s="487"/>
      <c r="LYN745" s="487"/>
      <c r="LYO745" s="487"/>
      <c r="LYP745" s="487"/>
      <c r="LYQ745" s="487"/>
      <c r="LYR745" s="487"/>
      <c r="LYS745" s="487"/>
      <c r="LYT745" s="487"/>
      <c r="LYU745" s="487"/>
      <c r="LYV745" s="487"/>
      <c r="LYW745" s="487"/>
      <c r="LYX745" s="487"/>
      <c r="LYY745" s="487"/>
      <c r="LYZ745" s="487"/>
      <c r="LZA745" s="487"/>
      <c r="LZB745" s="487"/>
      <c r="LZC745" s="487"/>
      <c r="LZD745" s="487"/>
      <c r="LZE745" s="487"/>
      <c r="LZF745" s="487"/>
      <c r="LZG745" s="487"/>
      <c r="LZH745" s="487"/>
      <c r="LZI745" s="487"/>
      <c r="LZJ745" s="487"/>
      <c r="LZK745" s="487"/>
      <c r="LZL745" s="487"/>
      <c r="LZM745" s="487"/>
      <c r="LZN745" s="487"/>
      <c r="LZO745" s="487"/>
      <c r="LZP745" s="487"/>
      <c r="LZQ745" s="487"/>
      <c r="LZR745" s="487"/>
      <c r="LZS745" s="487"/>
      <c r="LZT745" s="487"/>
      <c r="LZU745" s="487"/>
      <c r="LZV745" s="487"/>
      <c r="LZW745" s="487"/>
      <c r="LZX745" s="487"/>
      <c r="LZY745" s="487"/>
      <c r="LZZ745" s="487"/>
      <c r="MAA745" s="487"/>
      <c r="MAB745" s="487"/>
      <c r="MAC745" s="487"/>
      <c r="MAD745" s="487"/>
      <c r="MAE745" s="487"/>
      <c r="MAF745" s="487"/>
      <c r="MAG745" s="487"/>
      <c r="MAH745" s="487"/>
      <c r="MAI745" s="487"/>
      <c r="MAJ745" s="487"/>
      <c r="MAK745" s="487"/>
      <c r="MAL745" s="487"/>
      <c r="MAM745" s="487"/>
      <c r="MAN745" s="487"/>
      <c r="MAO745" s="487"/>
      <c r="MAP745" s="487"/>
      <c r="MAQ745" s="487"/>
      <c r="MAR745" s="487"/>
      <c r="MAS745" s="487"/>
      <c r="MAT745" s="487"/>
      <c r="MAU745" s="487"/>
      <c r="MAV745" s="487"/>
      <c r="MAW745" s="487"/>
      <c r="MAX745" s="487"/>
      <c r="MAY745" s="487"/>
      <c r="MAZ745" s="487"/>
      <c r="MBA745" s="487"/>
      <c r="MBB745" s="487"/>
      <c r="MBC745" s="487"/>
      <c r="MBD745" s="487"/>
      <c r="MBE745" s="487"/>
      <c r="MBF745" s="487"/>
      <c r="MBG745" s="487"/>
      <c r="MBH745" s="487"/>
      <c r="MBI745" s="487"/>
      <c r="MBJ745" s="487"/>
      <c r="MBK745" s="487"/>
      <c r="MBL745" s="487"/>
      <c r="MBM745" s="487"/>
      <c r="MBN745" s="487"/>
      <c r="MBO745" s="487"/>
      <c r="MBP745" s="487"/>
      <c r="MBQ745" s="487"/>
      <c r="MBR745" s="487"/>
      <c r="MBS745" s="487"/>
      <c r="MBT745" s="487"/>
      <c r="MBU745" s="487"/>
      <c r="MBV745" s="487"/>
      <c r="MBW745" s="487"/>
      <c r="MBX745" s="487"/>
      <c r="MBY745" s="487"/>
      <c r="MBZ745" s="487"/>
      <c r="MCA745" s="487"/>
      <c r="MCB745" s="487"/>
      <c r="MCC745" s="487"/>
      <c r="MCD745" s="487"/>
      <c r="MCE745" s="487"/>
      <c r="MCF745" s="487"/>
      <c r="MCG745" s="487"/>
      <c r="MCH745" s="487"/>
      <c r="MCI745" s="487"/>
      <c r="MCJ745" s="487"/>
      <c r="MCK745" s="487"/>
      <c r="MCL745" s="487"/>
      <c r="MCM745" s="487"/>
      <c r="MCN745" s="487"/>
      <c r="MCO745" s="487"/>
      <c r="MCP745" s="487"/>
      <c r="MCQ745" s="487"/>
      <c r="MCR745" s="487"/>
      <c r="MCS745" s="487"/>
      <c r="MCT745" s="487"/>
      <c r="MCU745" s="487"/>
      <c r="MCV745" s="487"/>
      <c r="MCW745" s="487"/>
      <c r="MCX745" s="487"/>
      <c r="MCY745" s="487"/>
      <c r="MCZ745" s="487"/>
      <c r="MDA745" s="487"/>
      <c r="MDB745" s="487"/>
      <c r="MDC745" s="487"/>
      <c r="MDD745" s="487"/>
      <c r="MDE745" s="487"/>
      <c r="MDF745" s="487"/>
      <c r="MDG745" s="487"/>
      <c r="MDH745" s="487"/>
      <c r="MDI745" s="487"/>
      <c r="MDJ745" s="487"/>
      <c r="MDK745" s="487"/>
      <c r="MDL745" s="487"/>
      <c r="MDM745" s="487"/>
      <c r="MDN745" s="487"/>
      <c r="MDO745" s="487"/>
      <c r="MDP745" s="487"/>
      <c r="MDQ745" s="487"/>
      <c r="MDR745" s="487"/>
      <c r="MDS745" s="487"/>
      <c r="MDT745" s="487"/>
      <c r="MDU745" s="487"/>
      <c r="MDV745" s="487"/>
      <c r="MDW745" s="487"/>
      <c r="MDX745" s="487"/>
      <c r="MDY745" s="487"/>
      <c r="MDZ745" s="487"/>
      <c r="MEA745" s="487"/>
      <c r="MEB745" s="487"/>
      <c r="MEC745" s="487"/>
      <c r="MED745" s="487"/>
      <c r="MEE745" s="487"/>
      <c r="MEF745" s="487"/>
      <c r="MEG745" s="487"/>
      <c r="MEH745" s="487"/>
      <c r="MEI745" s="487"/>
      <c r="MEJ745" s="487"/>
      <c r="MEK745" s="487"/>
      <c r="MEL745" s="487"/>
      <c r="MEM745" s="487"/>
      <c r="MEN745" s="487"/>
      <c r="MEO745" s="487"/>
      <c r="MEP745" s="487"/>
      <c r="MEQ745" s="487"/>
      <c r="MER745" s="487"/>
      <c r="MES745" s="487"/>
      <c r="MET745" s="487"/>
      <c r="MEU745" s="487"/>
      <c r="MEV745" s="487"/>
      <c r="MEW745" s="487"/>
      <c r="MEX745" s="487"/>
      <c r="MEY745" s="487"/>
      <c r="MEZ745" s="487"/>
      <c r="MFA745" s="487"/>
      <c r="MFB745" s="487"/>
      <c r="MFC745" s="487"/>
      <c r="MFD745" s="487"/>
      <c r="MFE745" s="487"/>
      <c r="MFF745" s="487"/>
      <c r="MFG745" s="487"/>
      <c r="MFH745" s="487"/>
      <c r="MFI745" s="487"/>
      <c r="MFJ745" s="487"/>
      <c r="MFK745" s="487"/>
      <c r="MFL745" s="487"/>
      <c r="MFM745" s="487"/>
      <c r="MFN745" s="487"/>
      <c r="MFO745" s="487"/>
      <c r="MFP745" s="487"/>
      <c r="MFQ745" s="487"/>
      <c r="MFR745" s="487"/>
      <c r="MFS745" s="487"/>
      <c r="MFT745" s="487"/>
      <c r="MFU745" s="487"/>
      <c r="MFV745" s="487"/>
      <c r="MFW745" s="487"/>
      <c r="MFX745" s="487"/>
      <c r="MFY745" s="487"/>
      <c r="MFZ745" s="487"/>
      <c r="MGA745" s="487"/>
      <c r="MGB745" s="487"/>
      <c r="MGC745" s="487"/>
      <c r="MGD745" s="487"/>
      <c r="MGE745" s="487"/>
      <c r="MGF745" s="487"/>
      <c r="MGG745" s="487"/>
      <c r="MGH745" s="487"/>
      <c r="MGI745" s="487"/>
      <c r="MGJ745" s="487"/>
      <c r="MGK745" s="487"/>
      <c r="MGL745" s="487"/>
      <c r="MGM745" s="487"/>
      <c r="MGN745" s="487"/>
      <c r="MGO745" s="487"/>
      <c r="MGP745" s="487"/>
      <c r="MGQ745" s="487"/>
      <c r="MGR745" s="487"/>
      <c r="MGS745" s="487"/>
      <c r="MGT745" s="487"/>
      <c r="MGU745" s="487"/>
      <c r="MGV745" s="487"/>
      <c r="MGW745" s="487"/>
      <c r="MGX745" s="487"/>
      <c r="MGY745" s="487"/>
      <c r="MGZ745" s="487"/>
      <c r="MHA745" s="487"/>
      <c r="MHB745" s="487"/>
      <c r="MHC745" s="487"/>
      <c r="MHD745" s="487"/>
      <c r="MHE745" s="487"/>
      <c r="MHF745" s="487"/>
      <c r="MHG745" s="487"/>
      <c r="MHH745" s="487"/>
      <c r="MHI745" s="487"/>
      <c r="MHJ745" s="487"/>
      <c r="MHK745" s="487"/>
      <c r="MHL745" s="487"/>
      <c r="MHM745" s="487"/>
      <c r="MHN745" s="487"/>
      <c r="MHO745" s="487"/>
      <c r="MHP745" s="487"/>
      <c r="MHQ745" s="487"/>
      <c r="MHR745" s="487"/>
      <c r="MHS745" s="487"/>
      <c r="MHT745" s="487"/>
      <c r="MHU745" s="487"/>
      <c r="MHV745" s="487"/>
      <c r="MHW745" s="487"/>
      <c r="MHX745" s="487"/>
      <c r="MHY745" s="487"/>
      <c r="MHZ745" s="487"/>
      <c r="MIA745" s="487"/>
      <c r="MIB745" s="487"/>
      <c r="MIC745" s="487"/>
      <c r="MID745" s="487"/>
      <c r="MIE745" s="487"/>
      <c r="MIF745" s="487"/>
      <c r="MIG745" s="487"/>
      <c r="MIH745" s="487"/>
      <c r="MII745" s="487"/>
      <c r="MIJ745" s="487"/>
      <c r="MIK745" s="487"/>
      <c r="MIL745" s="487"/>
      <c r="MIM745" s="487"/>
      <c r="MIN745" s="487"/>
      <c r="MIO745" s="487"/>
      <c r="MIP745" s="487"/>
      <c r="MIQ745" s="487"/>
      <c r="MIR745" s="487"/>
      <c r="MIS745" s="487"/>
      <c r="MIT745" s="487"/>
      <c r="MIU745" s="487"/>
      <c r="MIV745" s="487"/>
      <c r="MIW745" s="487"/>
      <c r="MIX745" s="487"/>
      <c r="MIY745" s="487"/>
      <c r="MIZ745" s="487"/>
      <c r="MJA745" s="487"/>
      <c r="MJB745" s="487"/>
      <c r="MJC745" s="487"/>
      <c r="MJD745" s="487"/>
      <c r="MJE745" s="487"/>
      <c r="MJF745" s="487"/>
      <c r="MJG745" s="487"/>
      <c r="MJH745" s="487"/>
      <c r="MJI745" s="487"/>
      <c r="MJJ745" s="487"/>
      <c r="MJK745" s="487"/>
      <c r="MJL745" s="487"/>
      <c r="MJM745" s="487"/>
      <c r="MJN745" s="487"/>
      <c r="MJO745" s="487"/>
      <c r="MJP745" s="487"/>
      <c r="MJQ745" s="487"/>
      <c r="MJR745" s="487"/>
      <c r="MJS745" s="487"/>
      <c r="MJT745" s="487"/>
      <c r="MJU745" s="487"/>
      <c r="MJV745" s="487"/>
      <c r="MJW745" s="487"/>
      <c r="MJX745" s="487"/>
      <c r="MJY745" s="487"/>
      <c r="MJZ745" s="487"/>
      <c r="MKA745" s="487"/>
      <c r="MKB745" s="487"/>
      <c r="MKC745" s="487"/>
      <c r="MKD745" s="487"/>
      <c r="MKE745" s="487"/>
      <c r="MKF745" s="487"/>
      <c r="MKG745" s="487"/>
      <c r="MKH745" s="487"/>
      <c r="MKI745" s="487"/>
      <c r="MKJ745" s="487"/>
      <c r="MKK745" s="487"/>
      <c r="MKL745" s="487"/>
      <c r="MKM745" s="487"/>
      <c r="MKN745" s="487"/>
      <c r="MKO745" s="487"/>
      <c r="MKP745" s="487"/>
      <c r="MKQ745" s="487"/>
      <c r="MKR745" s="487"/>
      <c r="MKS745" s="487"/>
      <c r="MKT745" s="487"/>
      <c r="MKU745" s="487"/>
      <c r="MKV745" s="487"/>
      <c r="MKW745" s="487"/>
      <c r="MKX745" s="487"/>
      <c r="MKY745" s="487"/>
      <c r="MKZ745" s="487"/>
      <c r="MLA745" s="487"/>
      <c r="MLB745" s="487"/>
      <c r="MLC745" s="487"/>
      <c r="MLD745" s="487"/>
      <c r="MLE745" s="487"/>
      <c r="MLF745" s="487"/>
      <c r="MLG745" s="487"/>
      <c r="MLH745" s="487"/>
      <c r="MLI745" s="487"/>
      <c r="MLJ745" s="487"/>
      <c r="MLK745" s="487"/>
      <c r="MLL745" s="487"/>
      <c r="MLM745" s="487"/>
      <c r="MLN745" s="487"/>
      <c r="MLO745" s="487"/>
      <c r="MLP745" s="487"/>
      <c r="MLQ745" s="487"/>
      <c r="MLR745" s="487"/>
      <c r="MLS745" s="487"/>
      <c r="MLT745" s="487"/>
      <c r="MLU745" s="487"/>
      <c r="MLV745" s="487"/>
      <c r="MLW745" s="487"/>
      <c r="MLX745" s="487"/>
      <c r="MLY745" s="487"/>
      <c r="MLZ745" s="487"/>
      <c r="MMA745" s="487"/>
      <c r="MMB745" s="487"/>
      <c r="MMC745" s="487"/>
      <c r="MMD745" s="487"/>
      <c r="MME745" s="487"/>
      <c r="MMF745" s="487"/>
      <c r="MMG745" s="487"/>
      <c r="MMH745" s="487"/>
      <c r="MMI745" s="487"/>
      <c r="MMJ745" s="487"/>
      <c r="MMK745" s="487"/>
      <c r="MML745" s="487"/>
      <c r="MMM745" s="487"/>
      <c r="MMN745" s="487"/>
      <c r="MMO745" s="487"/>
      <c r="MMP745" s="487"/>
      <c r="MMQ745" s="487"/>
      <c r="MMR745" s="487"/>
      <c r="MMS745" s="487"/>
      <c r="MMT745" s="487"/>
      <c r="MMU745" s="487"/>
      <c r="MMV745" s="487"/>
      <c r="MMW745" s="487"/>
      <c r="MMX745" s="487"/>
      <c r="MMY745" s="487"/>
      <c r="MMZ745" s="487"/>
      <c r="MNA745" s="487"/>
      <c r="MNB745" s="487"/>
      <c r="MNC745" s="487"/>
      <c r="MND745" s="487"/>
      <c r="MNE745" s="487"/>
      <c r="MNF745" s="487"/>
      <c r="MNG745" s="487"/>
      <c r="MNH745" s="487"/>
      <c r="MNI745" s="487"/>
      <c r="MNJ745" s="487"/>
      <c r="MNK745" s="487"/>
      <c r="MNL745" s="487"/>
      <c r="MNM745" s="487"/>
      <c r="MNN745" s="487"/>
      <c r="MNO745" s="487"/>
      <c r="MNP745" s="487"/>
      <c r="MNQ745" s="487"/>
      <c r="MNR745" s="487"/>
      <c r="MNS745" s="487"/>
      <c r="MNT745" s="487"/>
      <c r="MNU745" s="487"/>
      <c r="MNV745" s="487"/>
      <c r="MNW745" s="487"/>
      <c r="MNX745" s="487"/>
      <c r="MNY745" s="487"/>
      <c r="MNZ745" s="487"/>
      <c r="MOA745" s="487"/>
      <c r="MOB745" s="487"/>
      <c r="MOC745" s="487"/>
      <c r="MOD745" s="487"/>
      <c r="MOE745" s="487"/>
      <c r="MOF745" s="487"/>
      <c r="MOG745" s="487"/>
      <c r="MOH745" s="487"/>
      <c r="MOI745" s="487"/>
      <c r="MOJ745" s="487"/>
      <c r="MOK745" s="487"/>
      <c r="MOL745" s="487"/>
      <c r="MOM745" s="487"/>
      <c r="MON745" s="487"/>
      <c r="MOO745" s="487"/>
      <c r="MOP745" s="487"/>
      <c r="MOQ745" s="487"/>
      <c r="MOR745" s="487"/>
      <c r="MOS745" s="487"/>
      <c r="MOT745" s="487"/>
      <c r="MOU745" s="487"/>
      <c r="MOV745" s="487"/>
      <c r="MOW745" s="487"/>
      <c r="MOX745" s="487"/>
      <c r="MOY745" s="487"/>
      <c r="MOZ745" s="487"/>
      <c r="MPA745" s="487"/>
      <c r="MPB745" s="487"/>
      <c r="MPC745" s="487"/>
      <c r="MPD745" s="487"/>
      <c r="MPE745" s="487"/>
      <c r="MPF745" s="487"/>
      <c r="MPG745" s="487"/>
      <c r="MPH745" s="487"/>
      <c r="MPI745" s="487"/>
      <c r="MPJ745" s="487"/>
      <c r="MPK745" s="487"/>
      <c r="MPL745" s="487"/>
      <c r="MPM745" s="487"/>
      <c r="MPN745" s="487"/>
      <c r="MPO745" s="487"/>
      <c r="MPP745" s="487"/>
      <c r="MPQ745" s="487"/>
      <c r="MPR745" s="487"/>
      <c r="MPS745" s="487"/>
      <c r="MPT745" s="487"/>
      <c r="MPU745" s="487"/>
      <c r="MPV745" s="487"/>
      <c r="MPW745" s="487"/>
      <c r="MPX745" s="487"/>
      <c r="MPY745" s="487"/>
      <c r="MPZ745" s="487"/>
      <c r="MQA745" s="487"/>
      <c r="MQB745" s="487"/>
      <c r="MQC745" s="487"/>
      <c r="MQD745" s="487"/>
      <c r="MQE745" s="487"/>
      <c r="MQF745" s="487"/>
      <c r="MQG745" s="487"/>
      <c r="MQH745" s="487"/>
      <c r="MQI745" s="487"/>
      <c r="MQJ745" s="487"/>
      <c r="MQK745" s="487"/>
      <c r="MQL745" s="487"/>
      <c r="MQM745" s="487"/>
      <c r="MQN745" s="487"/>
      <c r="MQO745" s="487"/>
      <c r="MQP745" s="487"/>
      <c r="MQQ745" s="487"/>
      <c r="MQR745" s="487"/>
      <c r="MQS745" s="487"/>
      <c r="MQT745" s="487"/>
      <c r="MQU745" s="487"/>
      <c r="MQV745" s="487"/>
      <c r="MQW745" s="487"/>
      <c r="MQX745" s="487"/>
      <c r="MQY745" s="487"/>
      <c r="MQZ745" s="487"/>
      <c r="MRA745" s="487"/>
      <c r="MRB745" s="487"/>
      <c r="MRC745" s="487"/>
      <c r="MRD745" s="487"/>
      <c r="MRE745" s="487"/>
      <c r="MRF745" s="487"/>
      <c r="MRG745" s="487"/>
      <c r="MRH745" s="487"/>
      <c r="MRI745" s="487"/>
      <c r="MRJ745" s="487"/>
      <c r="MRK745" s="487"/>
      <c r="MRL745" s="487"/>
      <c r="MRM745" s="487"/>
      <c r="MRN745" s="487"/>
      <c r="MRO745" s="487"/>
      <c r="MRP745" s="487"/>
      <c r="MRQ745" s="487"/>
      <c r="MRR745" s="487"/>
      <c r="MRS745" s="487"/>
      <c r="MRT745" s="487"/>
      <c r="MRU745" s="487"/>
      <c r="MRV745" s="487"/>
      <c r="MRW745" s="487"/>
      <c r="MRX745" s="487"/>
      <c r="MRY745" s="487"/>
      <c r="MRZ745" s="487"/>
      <c r="MSA745" s="487"/>
      <c r="MSB745" s="487"/>
      <c r="MSC745" s="487"/>
      <c r="MSD745" s="487"/>
      <c r="MSE745" s="487"/>
      <c r="MSF745" s="487"/>
      <c r="MSG745" s="487"/>
      <c r="MSH745" s="487"/>
      <c r="MSI745" s="487"/>
      <c r="MSJ745" s="487"/>
      <c r="MSK745" s="487"/>
      <c r="MSL745" s="487"/>
      <c r="MSM745" s="487"/>
      <c r="MSN745" s="487"/>
      <c r="MSO745" s="487"/>
      <c r="MSP745" s="487"/>
      <c r="MSQ745" s="487"/>
      <c r="MSR745" s="487"/>
      <c r="MSS745" s="487"/>
      <c r="MST745" s="487"/>
      <c r="MSU745" s="487"/>
      <c r="MSV745" s="487"/>
      <c r="MSW745" s="487"/>
      <c r="MSX745" s="487"/>
      <c r="MSY745" s="487"/>
      <c r="MSZ745" s="487"/>
      <c r="MTA745" s="487"/>
      <c r="MTB745" s="487"/>
      <c r="MTC745" s="487"/>
      <c r="MTD745" s="487"/>
      <c r="MTE745" s="487"/>
      <c r="MTF745" s="487"/>
      <c r="MTG745" s="487"/>
      <c r="MTH745" s="487"/>
      <c r="MTI745" s="487"/>
      <c r="MTJ745" s="487"/>
      <c r="MTK745" s="487"/>
      <c r="MTL745" s="487"/>
      <c r="MTM745" s="487"/>
      <c r="MTN745" s="487"/>
      <c r="MTO745" s="487"/>
      <c r="MTP745" s="487"/>
      <c r="MTQ745" s="487"/>
      <c r="MTR745" s="487"/>
      <c r="MTS745" s="487"/>
      <c r="MTT745" s="487"/>
      <c r="MTU745" s="487"/>
      <c r="MTV745" s="487"/>
      <c r="MTW745" s="487"/>
      <c r="MTX745" s="487"/>
      <c r="MTY745" s="487"/>
      <c r="MTZ745" s="487"/>
      <c r="MUA745" s="487"/>
      <c r="MUB745" s="487"/>
      <c r="MUC745" s="487"/>
      <c r="MUD745" s="487"/>
      <c r="MUE745" s="487"/>
      <c r="MUF745" s="487"/>
      <c r="MUG745" s="487"/>
      <c r="MUH745" s="487"/>
      <c r="MUI745" s="487"/>
      <c r="MUJ745" s="487"/>
      <c r="MUK745" s="487"/>
      <c r="MUL745" s="487"/>
      <c r="MUM745" s="487"/>
      <c r="MUN745" s="487"/>
      <c r="MUO745" s="487"/>
      <c r="MUP745" s="487"/>
      <c r="MUQ745" s="487"/>
      <c r="MUR745" s="487"/>
      <c r="MUS745" s="487"/>
      <c r="MUT745" s="487"/>
      <c r="MUU745" s="487"/>
      <c r="MUV745" s="487"/>
      <c r="MUW745" s="487"/>
      <c r="MUX745" s="487"/>
      <c r="MUY745" s="487"/>
      <c r="MUZ745" s="487"/>
      <c r="MVA745" s="487"/>
      <c r="MVB745" s="487"/>
      <c r="MVC745" s="487"/>
      <c r="MVD745" s="487"/>
      <c r="MVE745" s="487"/>
      <c r="MVF745" s="487"/>
      <c r="MVG745" s="487"/>
      <c r="MVH745" s="487"/>
      <c r="MVI745" s="487"/>
      <c r="MVJ745" s="487"/>
      <c r="MVK745" s="487"/>
      <c r="MVL745" s="487"/>
      <c r="MVM745" s="487"/>
      <c r="MVN745" s="487"/>
      <c r="MVO745" s="487"/>
      <c r="MVP745" s="487"/>
      <c r="MVQ745" s="487"/>
      <c r="MVR745" s="487"/>
      <c r="MVS745" s="487"/>
      <c r="MVT745" s="487"/>
      <c r="MVU745" s="487"/>
      <c r="MVV745" s="487"/>
      <c r="MVW745" s="487"/>
      <c r="MVX745" s="487"/>
      <c r="MVY745" s="487"/>
      <c r="MVZ745" s="487"/>
      <c r="MWA745" s="487"/>
      <c r="MWB745" s="487"/>
      <c r="MWC745" s="487"/>
      <c r="MWD745" s="487"/>
      <c r="MWE745" s="487"/>
      <c r="MWF745" s="487"/>
      <c r="MWG745" s="487"/>
      <c r="MWH745" s="487"/>
      <c r="MWI745" s="487"/>
      <c r="MWJ745" s="487"/>
      <c r="MWK745" s="487"/>
      <c r="MWL745" s="487"/>
      <c r="MWM745" s="487"/>
      <c r="MWN745" s="487"/>
      <c r="MWO745" s="487"/>
      <c r="MWP745" s="487"/>
      <c r="MWQ745" s="487"/>
      <c r="MWR745" s="487"/>
      <c r="MWS745" s="487"/>
      <c r="MWT745" s="487"/>
      <c r="MWU745" s="487"/>
      <c r="MWV745" s="487"/>
      <c r="MWW745" s="487"/>
      <c r="MWX745" s="487"/>
      <c r="MWY745" s="487"/>
      <c r="MWZ745" s="487"/>
      <c r="MXA745" s="487"/>
      <c r="MXB745" s="487"/>
      <c r="MXC745" s="487"/>
      <c r="MXD745" s="487"/>
      <c r="MXE745" s="487"/>
      <c r="MXF745" s="487"/>
      <c r="MXG745" s="487"/>
      <c r="MXH745" s="487"/>
      <c r="MXI745" s="487"/>
      <c r="MXJ745" s="487"/>
      <c r="MXK745" s="487"/>
      <c r="MXL745" s="487"/>
      <c r="MXM745" s="487"/>
      <c r="MXN745" s="487"/>
      <c r="MXO745" s="487"/>
      <c r="MXP745" s="487"/>
      <c r="MXQ745" s="487"/>
      <c r="MXR745" s="487"/>
      <c r="MXS745" s="487"/>
      <c r="MXT745" s="487"/>
      <c r="MXU745" s="487"/>
      <c r="MXV745" s="487"/>
      <c r="MXW745" s="487"/>
      <c r="MXX745" s="487"/>
      <c r="MXY745" s="487"/>
      <c r="MXZ745" s="487"/>
      <c r="MYA745" s="487"/>
      <c r="MYB745" s="487"/>
      <c r="MYC745" s="487"/>
      <c r="MYD745" s="487"/>
      <c r="MYE745" s="487"/>
      <c r="MYF745" s="487"/>
      <c r="MYG745" s="487"/>
      <c r="MYH745" s="487"/>
      <c r="MYI745" s="487"/>
      <c r="MYJ745" s="487"/>
      <c r="MYK745" s="487"/>
      <c r="MYL745" s="487"/>
      <c r="MYM745" s="487"/>
      <c r="MYN745" s="487"/>
      <c r="MYO745" s="487"/>
      <c r="MYP745" s="487"/>
      <c r="MYQ745" s="487"/>
      <c r="MYR745" s="487"/>
      <c r="MYS745" s="487"/>
      <c r="MYT745" s="487"/>
      <c r="MYU745" s="487"/>
      <c r="MYV745" s="487"/>
      <c r="MYW745" s="487"/>
      <c r="MYX745" s="487"/>
      <c r="MYY745" s="487"/>
      <c r="MYZ745" s="487"/>
      <c r="MZA745" s="487"/>
      <c r="MZB745" s="487"/>
      <c r="MZC745" s="487"/>
      <c r="MZD745" s="487"/>
      <c r="MZE745" s="487"/>
      <c r="MZF745" s="487"/>
      <c r="MZG745" s="487"/>
      <c r="MZH745" s="487"/>
      <c r="MZI745" s="487"/>
      <c r="MZJ745" s="487"/>
      <c r="MZK745" s="487"/>
      <c r="MZL745" s="487"/>
      <c r="MZM745" s="487"/>
      <c r="MZN745" s="487"/>
      <c r="MZO745" s="487"/>
      <c r="MZP745" s="487"/>
      <c r="MZQ745" s="487"/>
      <c r="MZR745" s="487"/>
      <c r="MZS745" s="487"/>
      <c r="MZT745" s="487"/>
      <c r="MZU745" s="487"/>
      <c r="MZV745" s="487"/>
      <c r="MZW745" s="487"/>
      <c r="MZX745" s="487"/>
      <c r="MZY745" s="487"/>
      <c r="MZZ745" s="487"/>
      <c r="NAA745" s="487"/>
      <c r="NAB745" s="487"/>
      <c r="NAC745" s="487"/>
      <c r="NAD745" s="487"/>
      <c r="NAE745" s="487"/>
      <c r="NAF745" s="487"/>
      <c r="NAG745" s="487"/>
      <c r="NAH745" s="487"/>
      <c r="NAI745" s="487"/>
      <c r="NAJ745" s="487"/>
      <c r="NAK745" s="487"/>
      <c r="NAL745" s="487"/>
      <c r="NAM745" s="487"/>
      <c r="NAN745" s="487"/>
      <c r="NAO745" s="487"/>
      <c r="NAP745" s="487"/>
      <c r="NAQ745" s="487"/>
      <c r="NAR745" s="487"/>
      <c r="NAS745" s="487"/>
      <c r="NAT745" s="487"/>
      <c r="NAU745" s="487"/>
      <c r="NAV745" s="487"/>
      <c r="NAW745" s="487"/>
      <c r="NAX745" s="487"/>
      <c r="NAY745" s="487"/>
      <c r="NAZ745" s="487"/>
      <c r="NBA745" s="487"/>
      <c r="NBB745" s="487"/>
      <c r="NBC745" s="487"/>
      <c r="NBD745" s="487"/>
      <c r="NBE745" s="487"/>
      <c r="NBF745" s="487"/>
      <c r="NBG745" s="487"/>
      <c r="NBH745" s="487"/>
      <c r="NBI745" s="487"/>
      <c r="NBJ745" s="487"/>
      <c r="NBK745" s="487"/>
      <c r="NBL745" s="487"/>
      <c r="NBM745" s="487"/>
      <c r="NBN745" s="487"/>
      <c r="NBO745" s="487"/>
      <c r="NBP745" s="487"/>
      <c r="NBQ745" s="487"/>
      <c r="NBR745" s="487"/>
      <c r="NBS745" s="487"/>
      <c r="NBT745" s="487"/>
      <c r="NBU745" s="487"/>
      <c r="NBV745" s="487"/>
      <c r="NBW745" s="487"/>
      <c r="NBX745" s="487"/>
      <c r="NBY745" s="487"/>
      <c r="NBZ745" s="487"/>
      <c r="NCA745" s="487"/>
      <c r="NCB745" s="487"/>
      <c r="NCC745" s="487"/>
      <c r="NCD745" s="487"/>
      <c r="NCE745" s="487"/>
      <c r="NCF745" s="487"/>
      <c r="NCG745" s="487"/>
      <c r="NCH745" s="487"/>
      <c r="NCI745" s="487"/>
      <c r="NCJ745" s="487"/>
      <c r="NCK745" s="487"/>
      <c r="NCL745" s="487"/>
      <c r="NCM745" s="487"/>
      <c r="NCN745" s="487"/>
      <c r="NCO745" s="487"/>
      <c r="NCP745" s="487"/>
      <c r="NCQ745" s="487"/>
      <c r="NCR745" s="487"/>
      <c r="NCS745" s="487"/>
      <c r="NCT745" s="487"/>
      <c r="NCU745" s="487"/>
      <c r="NCV745" s="487"/>
      <c r="NCW745" s="487"/>
      <c r="NCX745" s="487"/>
      <c r="NCY745" s="487"/>
      <c r="NCZ745" s="487"/>
      <c r="NDA745" s="487"/>
      <c r="NDB745" s="487"/>
      <c r="NDC745" s="487"/>
      <c r="NDD745" s="487"/>
      <c r="NDE745" s="487"/>
      <c r="NDF745" s="487"/>
      <c r="NDG745" s="487"/>
      <c r="NDH745" s="487"/>
      <c r="NDI745" s="487"/>
      <c r="NDJ745" s="487"/>
      <c r="NDK745" s="487"/>
      <c r="NDL745" s="487"/>
      <c r="NDM745" s="487"/>
      <c r="NDN745" s="487"/>
      <c r="NDO745" s="487"/>
      <c r="NDP745" s="487"/>
      <c r="NDQ745" s="487"/>
      <c r="NDR745" s="487"/>
      <c r="NDS745" s="487"/>
      <c r="NDT745" s="487"/>
      <c r="NDU745" s="487"/>
      <c r="NDV745" s="487"/>
      <c r="NDW745" s="487"/>
      <c r="NDX745" s="487"/>
      <c r="NDY745" s="487"/>
      <c r="NDZ745" s="487"/>
      <c r="NEA745" s="487"/>
      <c r="NEB745" s="487"/>
      <c r="NEC745" s="487"/>
      <c r="NED745" s="487"/>
      <c r="NEE745" s="487"/>
      <c r="NEF745" s="487"/>
      <c r="NEG745" s="487"/>
      <c r="NEH745" s="487"/>
      <c r="NEI745" s="487"/>
      <c r="NEJ745" s="487"/>
      <c r="NEK745" s="487"/>
      <c r="NEL745" s="487"/>
      <c r="NEM745" s="487"/>
      <c r="NEN745" s="487"/>
      <c r="NEO745" s="487"/>
      <c r="NEP745" s="487"/>
      <c r="NEQ745" s="487"/>
      <c r="NER745" s="487"/>
      <c r="NES745" s="487"/>
      <c r="NET745" s="487"/>
      <c r="NEU745" s="487"/>
      <c r="NEV745" s="487"/>
      <c r="NEW745" s="487"/>
      <c r="NEX745" s="487"/>
      <c r="NEY745" s="487"/>
      <c r="NEZ745" s="487"/>
      <c r="NFA745" s="487"/>
      <c r="NFB745" s="487"/>
      <c r="NFC745" s="487"/>
      <c r="NFD745" s="487"/>
      <c r="NFE745" s="487"/>
      <c r="NFF745" s="487"/>
      <c r="NFG745" s="487"/>
      <c r="NFH745" s="487"/>
      <c r="NFI745" s="487"/>
      <c r="NFJ745" s="487"/>
      <c r="NFK745" s="487"/>
      <c r="NFL745" s="487"/>
      <c r="NFM745" s="487"/>
      <c r="NFN745" s="487"/>
      <c r="NFO745" s="487"/>
      <c r="NFP745" s="487"/>
      <c r="NFQ745" s="487"/>
      <c r="NFR745" s="487"/>
      <c r="NFS745" s="487"/>
      <c r="NFT745" s="487"/>
      <c r="NFU745" s="487"/>
      <c r="NFV745" s="487"/>
      <c r="NFW745" s="487"/>
      <c r="NFX745" s="487"/>
      <c r="NFY745" s="487"/>
      <c r="NFZ745" s="487"/>
      <c r="NGA745" s="487"/>
      <c r="NGB745" s="487"/>
      <c r="NGC745" s="487"/>
      <c r="NGD745" s="487"/>
      <c r="NGE745" s="487"/>
      <c r="NGF745" s="487"/>
      <c r="NGG745" s="487"/>
      <c r="NGH745" s="487"/>
      <c r="NGI745" s="487"/>
      <c r="NGJ745" s="487"/>
      <c r="NGK745" s="487"/>
      <c r="NGL745" s="487"/>
      <c r="NGM745" s="487"/>
      <c r="NGN745" s="487"/>
      <c r="NGO745" s="487"/>
      <c r="NGP745" s="487"/>
      <c r="NGQ745" s="487"/>
      <c r="NGR745" s="487"/>
      <c r="NGS745" s="487"/>
      <c r="NGT745" s="487"/>
      <c r="NGU745" s="487"/>
      <c r="NGV745" s="487"/>
      <c r="NGW745" s="487"/>
      <c r="NGX745" s="487"/>
      <c r="NGY745" s="487"/>
      <c r="NGZ745" s="487"/>
      <c r="NHA745" s="487"/>
      <c r="NHB745" s="487"/>
      <c r="NHC745" s="487"/>
      <c r="NHD745" s="487"/>
      <c r="NHE745" s="487"/>
      <c r="NHF745" s="487"/>
      <c r="NHG745" s="487"/>
      <c r="NHH745" s="487"/>
      <c r="NHI745" s="487"/>
      <c r="NHJ745" s="487"/>
      <c r="NHK745" s="487"/>
      <c r="NHL745" s="487"/>
      <c r="NHM745" s="487"/>
      <c r="NHN745" s="487"/>
      <c r="NHO745" s="487"/>
      <c r="NHP745" s="487"/>
      <c r="NHQ745" s="487"/>
      <c r="NHR745" s="487"/>
      <c r="NHS745" s="487"/>
      <c r="NHT745" s="487"/>
      <c r="NHU745" s="487"/>
      <c r="NHV745" s="487"/>
      <c r="NHW745" s="487"/>
      <c r="NHX745" s="487"/>
      <c r="NHY745" s="487"/>
      <c r="NHZ745" s="487"/>
      <c r="NIA745" s="487"/>
      <c r="NIB745" s="487"/>
      <c r="NIC745" s="487"/>
      <c r="NID745" s="487"/>
      <c r="NIE745" s="487"/>
      <c r="NIF745" s="487"/>
      <c r="NIG745" s="487"/>
      <c r="NIH745" s="487"/>
      <c r="NII745" s="487"/>
      <c r="NIJ745" s="487"/>
      <c r="NIK745" s="487"/>
      <c r="NIL745" s="487"/>
      <c r="NIM745" s="487"/>
      <c r="NIN745" s="487"/>
      <c r="NIO745" s="487"/>
      <c r="NIP745" s="487"/>
      <c r="NIQ745" s="487"/>
      <c r="NIR745" s="487"/>
      <c r="NIS745" s="487"/>
      <c r="NIT745" s="487"/>
      <c r="NIU745" s="487"/>
      <c r="NIV745" s="487"/>
      <c r="NIW745" s="487"/>
      <c r="NIX745" s="487"/>
      <c r="NIY745" s="487"/>
      <c r="NIZ745" s="487"/>
      <c r="NJA745" s="487"/>
      <c r="NJB745" s="487"/>
      <c r="NJC745" s="487"/>
      <c r="NJD745" s="487"/>
      <c r="NJE745" s="487"/>
      <c r="NJF745" s="487"/>
      <c r="NJG745" s="487"/>
      <c r="NJH745" s="487"/>
      <c r="NJI745" s="487"/>
      <c r="NJJ745" s="487"/>
      <c r="NJK745" s="487"/>
      <c r="NJL745" s="487"/>
      <c r="NJM745" s="487"/>
      <c r="NJN745" s="487"/>
      <c r="NJO745" s="487"/>
      <c r="NJP745" s="487"/>
      <c r="NJQ745" s="487"/>
      <c r="NJR745" s="487"/>
      <c r="NJS745" s="487"/>
      <c r="NJT745" s="487"/>
      <c r="NJU745" s="487"/>
      <c r="NJV745" s="487"/>
      <c r="NJW745" s="487"/>
      <c r="NJX745" s="487"/>
      <c r="NJY745" s="487"/>
      <c r="NJZ745" s="487"/>
      <c r="NKA745" s="487"/>
      <c r="NKB745" s="487"/>
      <c r="NKC745" s="487"/>
      <c r="NKD745" s="487"/>
      <c r="NKE745" s="487"/>
      <c r="NKF745" s="487"/>
      <c r="NKG745" s="487"/>
      <c r="NKH745" s="487"/>
      <c r="NKI745" s="487"/>
      <c r="NKJ745" s="487"/>
      <c r="NKK745" s="487"/>
      <c r="NKL745" s="487"/>
      <c r="NKM745" s="487"/>
      <c r="NKN745" s="487"/>
      <c r="NKO745" s="487"/>
      <c r="NKP745" s="487"/>
      <c r="NKQ745" s="487"/>
      <c r="NKR745" s="487"/>
      <c r="NKS745" s="487"/>
      <c r="NKT745" s="487"/>
      <c r="NKU745" s="487"/>
      <c r="NKV745" s="487"/>
      <c r="NKW745" s="487"/>
      <c r="NKX745" s="487"/>
      <c r="NKY745" s="487"/>
      <c r="NKZ745" s="487"/>
      <c r="NLA745" s="487"/>
      <c r="NLB745" s="487"/>
      <c r="NLC745" s="487"/>
      <c r="NLD745" s="487"/>
      <c r="NLE745" s="487"/>
      <c r="NLF745" s="487"/>
      <c r="NLG745" s="487"/>
      <c r="NLH745" s="487"/>
      <c r="NLI745" s="487"/>
      <c r="NLJ745" s="487"/>
      <c r="NLK745" s="487"/>
      <c r="NLL745" s="487"/>
      <c r="NLM745" s="487"/>
      <c r="NLN745" s="487"/>
      <c r="NLO745" s="487"/>
      <c r="NLP745" s="487"/>
      <c r="NLQ745" s="487"/>
      <c r="NLR745" s="487"/>
      <c r="NLS745" s="487"/>
      <c r="NLT745" s="487"/>
      <c r="NLU745" s="487"/>
      <c r="NLV745" s="487"/>
      <c r="NLW745" s="487"/>
      <c r="NLX745" s="487"/>
      <c r="NLY745" s="487"/>
      <c r="NLZ745" s="487"/>
      <c r="NMA745" s="487"/>
      <c r="NMB745" s="487"/>
      <c r="NMC745" s="487"/>
      <c r="NMD745" s="487"/>
      <c r="NME745" s="487"/>
      <c r="NMF745" s="487"/>
      <c r="NMG745" s="487"/>
      <c r="NMH745" s="487"/>
      <c r="NMI745" s="487"/>
      <c r="NMJ745" s="487"/>
      <c r="NMK745" s="487"/>
      <c r="NML745" s="487"/>
      <c r="NMM745" s="487"/>
      <c r="NMN745" s="487"/>
      <c r="NMO745" s="487"/>
      <c r="NMP745" s="487"/>
      <c r="NMQ745" s="487"/>
      <c r="NMR745" s="487"/>
      <c r="NMS745" s="487"/>
      <c r="NMT745" s="487"/>
      <c r="NMU745" s="487"/>
      <c r="NMV745" s="487"/>
      <c r="NMW745" s="487"/>
      <c r="NMX745" s="487"/>
      <c r="NMY745" s="487"/>
      <c r="NMZ745" s="487"/>
      <c r="NNA745" s="487"/>
      <c r="NNB745" s="487"/>
      <c r="NNC745" s="487"/>
      <c r="NND745" s="487"/>
      <c r="NNE745" s="487"/>
      <c r="NNF745" s="487"/>
      <c r="NNG745" s="487"/>
      <c r="NNH745" s="487"/>
      <c r="NNI745" s="487"/>
      <c r="NNJ745" s="487"/>
      <c r="NNK745" s="487"/>
      <c r="NNL745" s="487"/>
      <c r="NNM745" s="487"/>
      <c r="NNN745" s="487"/>
      <c r="NNO745" s="487"/>
      <c r="NNP745" s="487"/>
      <c r="NNQ745" s="487"/>
      <c r="NNR745" s="487"/>
      <c r="NNS745" s="487"/>
      <c r="NNT745" s="487"/>
      <c r="NNU745" s="487"/>
      <c r="NNV745" s="487"/>
      <c r="NNW745" s="487"/>
      <c r="NNX745" s="487"/>
      <c r="NNY745" s="487"/>
      <c r="NNZ745" s="487"/>
      <c r="NOA745" s="487"/>
      <c r="NOB745" s="487"/>
      <c r="NOC745" s="487"/>
      <c r="NOD745" s="487"/>
      <c r="NOE745" s="487"/>
      <c r="NOF745" s="487"/>
      <c r="NOG745" s="487"/>
      <c r="NOH745" s="487"/>
      <c r="NOI745" s="487"/>
      <c r="NOJ745" s="487"/>
      <c r="NOK745" s="487"/>
      <c r="NOL745" s="487"/>
      <c r="NOM745" s="487"/>
      <c r="NON745" s="487"/>
      <c r="NOO745" s="487"/>
      <c r="NOP745" s="487"/>
      <c r="NOQ745" s="487"/>
      <c r="NOR745" s="487"/>
      <c r="NOS745" s="487"/>
      <c r="NOT745" s="487"/>
      <c r="NOU745" s="487"/>
      <c r="NOV745" s="487"/>
      <c r="NOW745" s="487"/>
      <c r="NOX745" s="487"/>
      <c r="NOY745" s="487"/>
      <c r="NOZ745" s="487"/>
      <c r="NPA745" s="487"/>
      <c r="NPB745" s="487"/>
      <c r="NPC745" s="487"/>
      <c r="NPD745" s="487"/>
      <c r="NPE745" s="487"/>
      <c r="NPF745" s="487"/>
      <c r="NPG745" s="487"/>
      <c r="NPH745" s="487"/>
      <c r="NPI745" s="487"/>
      <c r="NPJ745" s="487"/>
      <c r="NPK745" s="487"/>
      <c r="NPL745" s="487"/>
      <c r="NPM745" s="487"/>
      <c r="NPN745" s="487"/>
      <c r="NPO745" s="487"/>
      <c r="NPP745" s="487"/>
      <c r="NPQ745" s="487"/>
      <c r="NPR745" s="487"/>
      <c r="NPS745" s="487"/>
      <c r="NPT745" s="487"/>
      <c r="NPU745" s="487"/>
      <c r="NPV745" s="487"/>
      <c r="NPW745" s="487"/>
      <c r="NPX745" s="487"/>
      <c r="NPY745" s="487"/>
      <c r="NPZ745" s="487"/>
      <c r="NQA745" s="487"/>
      <c r="NQB745" s="487"/>
      <c r="NQC745" s="487"/>
      <c r="NQD745" s="487"/>
      <c r="NQE745" s="487"/>
      <c r="NQF745" s="487"/>
      <c r="NQG745" s="487"/>
      <c r="NQH745" s="487"/>
      <c r="NQI745" s="487"/>
      <c r="NQJ745" s="487"/>
      <c r="NQK745" s="487"/>
      <c r="NQL745" s="487"/>
      <c r="NQM745" s="487"/>
      <c r="NQN745" s="487"/>
      <c r="NQO745" s="487"/>
      <c r="NQP745" s="487"/>
      <c r="NQQ745" s="487"/>
      <c r="NQR745" s="487"/>
      <c r="NQS745" s="487"/>
      <c r="NQT745" s="487"/>
      <c r="NQU745" s="487"/>
      <c r="NQV745" s="487"/>
      <c r="NQW745" s="487"/>
      <c r="NQX745" s="487"/>
      <c r="NQY745" s="487"/>
      <c r="NQZ745" s="487"/>
      <c r="NRA745" s="487"/>
      <c r="NRB745" s="487"/>
      <c r="NRC745" s="487"/>
      <c r="NRD745" s="487"/>
      <c r="NRE745" s="487"/>
      <c r="NRF745" s="487"/>
      <c r="NRG745" s="487"/>
      <c r="NRH745" s="487"/>
      <c r="NRI745" s="487"/>
      <c r="NRJ745" s="487"/>
      <c r="NRK745" s="487"/>
      <c r="NRL745" s="487"/>
      <c r="NRM745" s="487"/>
      <c r="NRN745" s="487"/>
      <c r="NRO745" s="487"/>
      <c r="NRP745" s="487"/>
      <c r="NRQ745" s="487"/>
      <c r="NRR745" s="487"/>
      <c r="NRS745" s="487"/>
      <c r="NRT745" s="487"/>
      <c r="NRU745" s="487"/>
      <c r="NRV745" s="487"/>
      <c r="NRW745" s="487"/>
      <c r="NRX745" s="487"/>
      <c r="NRY745" s="487"/>
      <c r="NRZ745" s="487"/>
      <c r="NSA745" s="487"/>
      <c r="NSB745" s="487"/>
      <c r="NSC745" s="487"/>
      <c r="NSD745" s="487"/>
      <c r="NSE745" s="487"/>
      <c r="NSF745" s="487"/>
      <c r="NSG745" s="487"/>
      <c r="NSH745" s="487"/>
      <c r="NSI745" s="487"/>
      <c r="NSJ745" s="487"/>
      <c r="NSK745" s="487"/>
      <c r="NSL745" s="487"/>
      <c r="NSM745" s="487"/>
      <c r="NSN745" s="487"/>
      <c r="NSO745" s="487"/>
      <c r="NSP745" s="487"/>
      <c r="NSQ745" s="487"/>
      <c r="NSR745" s="487"/>
      <c r="NSS745" s="487"/>
      <c r="NST745" s="487"/>
      <c r="NSU745" s="487"/>
      <c r="NSV745" s="487"/>
      <c r="NSW745" s="487"/>
      <c r="NSX745" s="487"/>
      <c r="NSY745" s="487"/>
      <c r="NSZ745" s="487"/>
      <c r="NTA745" s="487"/>
      <c r="NTB745" s="487"/>
      <c r="NTC745" s="487"/>
      <c r="NTD745" s="487"/>
      <c r="NTE745" s="487"/>
      <c r="NTF745" s="487"/>
      <c r="NTG745" s="487"/>
      <c r="NTH745" s="487"/>
      <c r="NTI745" s="487"/>
      <c r="NTJ745" s="487"/>
      <c r="NTK745" s="487"/>
      <c r="NTL745" s="487"/>
      <c r="NTM745" s="487"/>
      <c r="NTN745" s="487"/>
      <c r="NTO745" s="487"/>
      <c r="NTP745" s="487"/>
      <c r="NTQ745" s="487"/>
      <c r="NTR745" s="487"/>
      <c r="NTS745" s="487"/>
      <c r="NTT745" s="487"/>
      <c r="NTU745" s="487"/>
      <c r="NTV745" s="487"/>
      <c r="NTW745" s="487"/>
      <c r="NTX745" s="487"/>
      <c r="NTY745" s="487"/>
      <c r="NTZ745" s="487"/>
      <c r="NUA745" s="487"/>
      <c r="NUB745" s="487"/>
      <c r="NUC745" s="487"/>
      <c r="NUD745" s="487"/>
      <c r="NUE745" s="487"/>
      <c r="NUF745" s="487"/>
      <c r="NUG745" s="487"/>
      <c r="NUH745" s="487"/>
      <c r="NUI745" s="487"/>
      <c r="NUJ745" s="487"/>
      <c r="NUK745" s="487"/>
      <c r="NUL745" s="487"/>
      <c r="NUM745" s="487"/>
      <c r="NUN745" s="487"/>
      <c r="NUO745" s="487"/>
      <c r="NUP745" s="487"/>
      <c r="NUQ745" s="487"/>
      <c r="NUR745" s="487"/>
      <c r="NUS745" s="487"/>
      <c r="NUT745" s="487"/>
      <c r="NUU745" s="487"/>
      <c r="NUV745" s="487"/>
      <c r="NUW745" s="487"/>
      <c r="NUX745" s="487"/>
      <c r="NUY745" s="487"/>
      <c r="NUZ745" s="487"/>
      <c r="NVA745" s="487"/>
      <c r="NVB745" s="487"/>
      <c r="NVC745" s="487"/>
      <c r="NVD745" s="487"/>
      <c r="NVE745" s="487"/>
      <c r="NVF745" s="487"/>
      <c r="NVG745" s="487"/>
      <c r="NVH745" s="487"/>
      <c r="NVI745" s="487"/>
      <c r="NVJ745" s="487"/>
      <c r="NVK745" s="487"/>
      <c r="NVL745" s="487"/>
      <c r="NVM745" s="487"/>
      <c r="NVN745" s="487"/>
      <c r="NVO745" s="487"/>
      <c r="NVP745" s="487"/>
      <c r="NVQ745" s="487"/>
      <c r="NVR745" s="487"/>
      <c r="NVS745" s="487"/>
      <c r="NVT745" s="487"/>
      <c r="NVU745" s="487"/>
      <c r="NVV745" s="487"/>
      <c r="NVW745" s="487"/>
      <c r="NVX745" s="487"/>
      <c r="NVY745" s="487"/>
      <c r="NVZ745" s="487"/>
      <c r="NWA745" s="487"/>
      <c r="NWB745" s="487"/>
      <c r="NWC745" s="487"/>
      <c r="NWD745" s="487"/>
      <c r="NWE745" s="487"/>
      <c r="NWF745" s="487"/>
      <c r="NWG745" s="487"/>
      <c r="NWH745" s="487"/>
      <c r="NWI745" s="487"/>
      <c r="NWJ745" s="487"/>
      <c r="NWK745" s="487"/>
      <c r="NWL745" s="487"/>
      <c r="NWM745" s="487"/>
      <c r="NWN745" s="487"/>
      <c r="NWO745" s="487"/>
      <c r="NWP745" s="487"/>
      <c r="NWQ745" s="487"/>
      <c r="NWR745" s="487"/>
      <c r="NWS745" s="487"/>
      <c r="NWT745" s="487"/>
      <c r="NWU745" s="487"/>
      <c r="NWV745" s="487"/>
      <c r="NWW745" s="487"/>
      <c r="NWX745" s="487"/>
      <c r="NWY745" s="487"/>
      <c r="NWZ745" s="487"/>
      <c r="NXA745" s="487"/>
      <c r="NXB745" s="487"/>
      <c r="NXC745" s="487"/>
      <c r="NXD745" s="487"/>
      <c r="NXE745" s="487"/>
      <c r="NXF745" s="487"/>
      <c r="NXG745" s="487"/>
      <c r="NXH745" s="487"/>
      <c r="NXI745" s="487"/>
      <c r="NXJ745" s="487"/>
      <c r="NXK745" s="487"/>
      <c r="NXL745" s="487"/>
      <c r="NXM745" s="487"/>
      <c r="NXN745" s="487"/>
      <c r="NXO745" s="487"/>
      <c r="NXP745" s="487"/>
      <c r="NXQ745" s="487"/>
      <c r="NXR745" s="487"/>
      <c r="NXS745" s="487"/>
      <c r="NXT745" s="487"/>
      <c r="NXU745" s="487"/>
      <c r="NXV745" s="487"/>
      <c r="NXW745" s="487"/>
      <c r="NXX745" s="487"/>
      <c r="NXY745" s="487"/>
      <c r="NXZ745" s="487"/>
      <c r="NYA745" s="487"/>
      <c r="NYB745" s="487"/>
      <c r="NYC745" s="487"/>
      <c r="NYD745" s="487"/>
      <c r="NYE745" s="487"/>
      <c r="NYF745" s="487"/>
      <c r="NYG745" s="487"/>
      <c r="NYH745" s="487"/>
      <c r="NYI745" s="487"/>
      <c r="NYJ745" s="487"/>
      <c r="NYK745" s="487"/>
      <c r="NYL745" s="487"/>
      <c r="NYM745" s="487"/>
      <c r="NYN745" s="487"/>
      <c r="NYO745" s="487"/>
      <c r="NYP745" s="487"/>
      <c r="NYQ745" s="487"/>
      <c r="NYR745" s="487"/>
      <c r="NYS745" s="487"/>
      <c r="NYT745" s="487"/>
      <c r="NYU745" s="487"/>
      <c r="NYV745" s="487"/>
      <c r="NYW745" s="487"/>
      <c r="NYX745" s="487"/>
      <c r="NYY745" s="487"/>
      <c r="NYZ745" s="487"/>
      <c r="NZA745" s="487"/>
      <c r="NZB745" s="487"/>
      <c r="NZC745" s="487"/>
      <c r="NZD745" s="487"/>
      <c r="NZE745" s="487"/>
      <c r="NZF745" s="487"/>
      <c r="NZG745" s="487"/>
      <c r="NZH745" s="487"/>
      <c r="NZI745" s="487"/>
      <c r="NZJ745" s="487"/>
      <c r="NZK745" s="487"/>
      <c r="NZL745" s="487"/>
      <c r="NZM745" s="487"/>
      <c r="NZN745" s="487"/>
      <c r="NZO745" s="487"/>
      <c r="NZP745" s="487"/>
      <c r="NZQ745" s="487"/>
      <c r="NZR745" s="487"/>
      <c r="NZS745" s="487"/>
      <c r="NZT745" s="487"/>
      <c r="NZU745" s="487"/>
      <c r="NZV745" s="487"/>
      <c r="NZW745" s="487"/>
      <c r="NZX745" s="487"/>
      <c r="NZY745" s="487"/>
      <c r="NZZ745" s="487"/>
      <c r="OAA745" s="487"/>
      <c r="OAB745" s="487"/>
      <c r="OAC745" s="487"/>
      <c r="OAD745" s="487"/>
      <c r="OAE745" s="487"/>
      <c r="OAF745" s="487"/>
      <c r="OAG745" s="487"/>
      <c r="OAH745" s="487"/>
      <c r="OAI745" s="487"/>
      <c r="OAJ745" s="487"/>
      <c r="OAK745" s="487"/>
      <c r="OAL745" s="487"/>
      <c r="OAM745" s="487"/>
      <c r="OAN745" s="487"/>
      <c r="OAO745" s="487"/>
      <c r="OAP745" s="487"/>
      <c r="OAQ745" s="487"/>
      <c r="OAR745" s="487"/>
      <c r="OAS745" s="487"/>
      <c r="OAT745" s="487"/>
      <c r="OAU745" s="487"/>
      <c r="OAV745" s="487"/>
      <c r="OAW745" s="487"/>
      <c r="OAX745" s="487"/>
      <c r="OAY745" s="487"/>
      <c r="OAZ745" s="487"/>
      <c r="OBA745" s="487"/>
      <c r="OBB745" s="487"/>
      <c r="OBC745" s="487"/>
      <c r="OBD745" s="487"/>
      <c r="OBE745" s="487"/>
      <c r="OBF745" s="487"/>
      <c r="OBG745" s="487"/>
      <c r="OBH745" s="487"/>
      <c r="OBI745" s="487"/>
      <c r="OBJ745" s="487"/>
      <c r="OBK745" s="487"/>
      <c r="OBL745" s="487"/>
      <c r="OBM745" s="487"/>
      <c r="OBN745" s="487"/>
      <c r="OBO745" s="487"/>
      <c r="OBP745" s="487"/>
      <c r="OBQ745" s="487"/>
      <c r="OBR745" s="487"/>
      <c r="OBS745" s="487"/>
      <c r="OBT745" s="487"/>
      <c r="OBU745" s="487"/>
      <c r="OBV745" s="487"/>
      <c r="OBW745" s="487"/>
      <c r="OBX745" s="487"/>
      <c r="OBY745" s="487"/>
      <c r="OBZ745" s="487"/>
      <c r="OCA745" s="487"/>
      <c r="OCB745" s="487"/>
      <c r="OCC745" s="487"/>
      <c r="OCD745" s="487"/>
      <c r="OCE745" s="487"/>
      <c r="OCF745" s="487"/>
      <c r="OCG745" s="487"/>
      <c r="OCH745" s="487"/>
      <c r="OCI745" s="487"/>
      <c r="OCJ745" s="487"/>
      <c r="OCK745" s="487"/>
      <c r="OCL745" s="487"/>
      <c r="OCM745" s="487"/>
      <c r="OCN745" s="487"/>
      <c r="OCO745" s="487"/>
      <c r="OCP745" s="487"/>
      <c r="OCQ745" s="487"/>
      <c r="OCR745" s="487"/>
      <c r="OCS745" s="487"/>
      <c r="OCT745" s="487"/>
      <c r="OCU745" s="487"/>
      <c r="OCV745" s="487"/>
      <c r="OCW745" s="487"/>
      <c r="OCX745" s="487"/>
      <c r="OCY745" s="487"/>
      <c r="OCZ745" s="487"/>
      <c r="ODA745" s="487"/>
      <c r="ODB745" s="487"/>
      <c r="ODC745" s="487"/>
      <c r="ODD745" s="487"/>
      <c r="ODE745" s="487"/>
      <c r="ODF745" s="487"/>
      <c r="ODG745" s="487"/>
      <c r="ODH745" s="487"/>
      <c r="ODI745" s="487"/>
      <c r="ODJ745" s="487"/>
      <c r="ODK745" s="487"/>
      <c r="ODL745" s="487"/>
      <c r="ODM745" s="487"/>
      <c r="ODN745" s="487"/>
      <c r="ODO745" s="487"/>
      <c r="ODP745" s="487"/>
      <c r="ODQ745" s="487"/>
      <c r="ODR745" s="487"/>
      <c r="ODS745" s="487"/>
      <c r="ODT745" s="487"/>
      <c r="ODU745" s="487"/>
      <c r="ODV745" s="487"/>
      <c r="ODW745" s="487"/>
      <c r="ODX745" s="487"/>
      <c r="ODY745" s="487"/>
      <c r="ODZ745" s="487"/>
      <c r="OEA745" s="487"/>
      <c r="OEB745" s="487"/>
      <c r="OEC745" s="487"/>
      <c r="OED745" s="487"/>
      <c r="OEE745" s="487"/>
      <c r="OEF745" s="487"/>
      <c r="OEG745" s="487"/>
      <c r="OEH745" s="487"/>
      <c r="OEI745" s="487"/>
      <c r="OEJ745" s="487"/>
      <c r="OEK745" s="487"/>
      <c r="OEL745" s="487"/>
      <c r="OEM745" s="487"/>
      <c r="OEN745" s="487"/>
      <c r="OEO745" s="487"/>
      <c r="OEP745" s="487"/>
      <c r="OEQ745" s="487"/>
      <c r="OER745" s="487"/>
      <c r="OES745" s="487"/>
      <c r="OET745" s="487"/>
      <c r="OEU745" s="487"/>
      <c r="OEV745" s="487"/>
      <c r="OEW745" s="487"/>
      <c r="OEX745" s="487"/>
      <c r="OEY745" s="487"/>
      <c r="OEZ745" s="487"/>
      <c r="OFA745" s="487"/>
      <c r="OFB745" s="487"/>
      <c r="OFC745" s="487"/>
      <c r="OFD745" s="487"/>
      <c r="OFE745" s="487"/>
      <c r="OFF745" s="487"/>
      <c r="OFG745" s="487"/>
      <c r="OFH745" s="487"/>
      <c r="OFI745" s="487"/>
      <c r="OFJ745" s="487"/>
      <c r="OFK745" s="487"/>
      <c r="OFL745" s="487"/>
      <c r="OFM745" s="487"/>
      <c r="OFN745" s="487"/>
      <c r="OFO745" s="487"/>
      <c r="OFP745" s="487"/>
      <c r="OFQ745" s="487"/>
      <c r="OFR745" s="487"/>
      <c r="OFS745" s="487"/>
      <c r="OFT745" s="487"/>
      <c r="OFU745" s="487"/>
      <c r="OFV745" s="487"/>
      <c r="OFW745" s="487"/>
      <c r="OFX745" s="487"/>
      <c r="OFY745" s="487"/>
      <c r="OFZ745" s="487"/>
      <c r="OGA745" s="487"/>
      <c r="OGB745" s="487"/>
      <c r="OGC745" s="487"/>
      <c r="OGD745" s="487"/>
      <c r="OGE745" s="487"/>
      <c r="OGF745" s="487"/>
      <c r="OGG745" s="487"/>
      <c r="OGH745" s="487"/>
      <c r="OGI745" s="487"/>
      <c r="OGJ745" s="487"/>
      <c r="OGK745" s="487"/>
      <c r="OGL745" s="487"/>
      <c r="OGM745" s="487"/>
      <c r="OGN745" s="487"/>
      <c r="OGO745" s="487"/>
      <c r="OGP745" s="487"/>
      <c r="OGQ745" s="487"/>
      <c r="OGR745" s="487"/>
      <c r="OGS745" s="487"/>
      <c r="OGT745" s="487"/>
      <c r="OGU745" s="487"/>
      <c r="OGV745" s="487"/>
      <c r="OGW745" s="487"/>
      <c r="OGX745" s="487"/>
      <c r="OGY745" s="487"/>
      <c r="OGZ745" s="487"/>
      <c r="OHA745" s="487"/>
      <c r="OHB745" s="487"/>
      <c r="OHC745" s="487"/>
      <c r="OHD745" s="487"/>
      <c r="OHE745" s="487"/>
      <c r="OHF745" s="487"/>
      <c r="OHG745" s="487"/>
      <c r="OHH745" s="487"/>
      <c r="OHI745" s="487"/>
      <c r="OHJ745" s="487"/>
      <c r="OHK745" s="487"/>
      <c r="OHL745" s="487"/>
      <c r="OHM745" s="487"/>
      <c r="OHN745" s="487"/>
      <c r="OHO745" s="487"/>
      <c r="OHP745" s="487"/>
      <c r="OHQ745" s="487"/>
      <c r="OHR745" s="487"/>
      <c r="OHS745" s="487"/>
      <c r="OHT745" s="487"/>
      <c r="OHU745" s="487"/>
      <c r="OHV745" s="487"/>
      <c r="OHW745" s="487"/>
      <c r="OHX745" s="487"/>
      <c r="OHY745" s="487"/>
      <c r="OHZ745" s="487"/>
      <c r="OIA745" s="487"/>
      <c r="OIB745" s="487"/>
      <c r="OIC745" s="487"/>
      <c r="OID745" s="487"/>
      <c r="OIE745" s="487"/>
      <c r="OIF745" s="487"/>
      <c r="OIG745" s="487"/>
      <c r="OIH745" s="487"/>
      <c r="OII745" s="487"/>
      <c r="OIJ745" s="487"/>
      <c r="OIK745" s="487"/>
      <c r="OIL745" s="487"/>
      <c r="OIM745" s="487"/>
      <c r="OIN745" s="487"/>
      <c r="OIO745" s="487"/>
      <c r="OIP745" s="487"/>
      <c r="OIQ745" s="487"/>
      <c r="OIR745" s="487"/>
      <c r="OIS745" s="487"/>
      <c r="OIT745" s="487"/>
      <c r="OIU745" s="487"/>
      <c r="OIV745" s="487"/>
      <c r="OIW745" s="487"/>
      <c r="OIX745" s="487"/>
      <c r="OIY745" s="487"/>
      <c r="OIZ745" s="487"/>
      <c r="OJA745" s="487"/>
      <c r="OJB745" s="487"/>
      <c r="OJC745" s="487"/>
      <c r="OJD745" s="487"/>
      <c r="OJE745" s="487"/>
      <c r="OJF745" s="487"/>
      <c r="OJG745" s="487"/>
      <c r="OJH745" s="487"/>
      <c r="OJI745" s="487"/>
      <c r="OJJ745" s="487"/>
      <c r="OJK745" s="487"/>
      <c r="OJL745" s="487"/>
      <c r="OJM745" s="487"/>
      <c r="OJN745" s="487"/>
      <c r="OJO745" s="487"/>
      <c r="OJP745" s="487"/>
      <c r="OJQ745" s="487"/>
      <c r="OJR745" s="487"/>
      <c r="OJS745" s="487"/>
      <c r="OJT745" s="487"/>
      <c r="OJU745" s="487"/>
      <c r="OJV745" s="487"/>
      <c r="OJW745" s="487"/>
      <c r="OJX745" s="487"/>
      <c r="OJY745" s="487"/>
      <c r="OJZ745" s="487"/>
      <c r="OKA745" s="487"/>
      <c r="OKB745" s="487"/>
      <c r="OKC745" s="487"/>
      <c r="OKD745" s="487"/>
      <c r="OKE745" s="487"/>
      <c r="OKF745" s="487"/>
      <c r="OKG745" s="487"/>
      <c r="OKH745" s="487"/>
      <c r="OKI745" s="487"/>
      <c r="OKJ745" s="487"/>
      <c r="OKK745" s="487"/>
      <c r="OKL745" s="487"/>
      <c r="OKM745" s="487"/>
      <c r="OKN745" s="487"/>
      <c r="OKO745" s="487"/>
      <c r="OKP745" s="487"/>
      <c r="OKQ745" s="487"/>
      <c r="OKR745" s="487"/>
      <c r="OKS745" s="487"/>
      <c r="OKT745" s="487"/>
      <c r="OKU745" s="487"/>
      <c r="OKV745" s="487"/>
      <c r="OKW745" s="487"/>
      <c r="OKX745" s="487"/>
      <c r="OKY745" s="487"/>
      <c r="OKZ745" s="487"/>
      <c r="OLA745" s="487"/>
      <c r="OLB745" s="487"/>
      <c r="OLC745" s="487"/>
      <c r="OLD745" s="487"/>
      <c r="OLE745" s="487"/>
      <c r="OLF745" s="487"/>
      <c r="OLG745" s="487"/>
      <c r="OLH745" s="487"/>
      <c r="OLI745" s="487"/>
      <c r="OLJ745" s="487"/>
      <c r="OLK745" s="487"/>
      <c r="OLL745" s="487"/>
      <c r="OLM745" s="487"/>
      <c r="OLN745" s="487"/>
      <c r="OLO745" s="487"/>
      <c r="OLP745" s="487"/>
      <c r="OLQ745" s="487"/>
      <c r="OLR745" s="487"/>
      <c r="OLS745" s="487"/>
      <c r="OLT745" s="487"/>
      <c r="OLU745" s="487"/>
      <c r="OLV745" s="487"/>
      <c r="OLW745" s="487"/>
      <c r="OLX745" s="487"/>
      <c r="OLY745" s="487"/>
      <c r="OLZ745" s="487"/>
      <c r="OMA745" s="487"/>
      <c r="OMB745" s="487"/>
      <c r="OMC745" s="487"/>
      <c r="OMD745" s="487"/>
      <c r="OME745" s="487"/>
      <c r="OMF745" s="487"/>
      <c r="OMG745" s="487"/>
      <c r="OMH745" s="487"/>
      <c r="OMI745" s="487"/>
      <c r="OMJ745" s="487"/>
      <c r="OMK745" s="487"/>
      <c r="OML745" s="487"/>
      <c r="OMM745" s="487"/>
      <c r="OMN745" s="487"/>
      <c r="OMO745" s="487"/>
      <c r="OMP745" s="487"/>
      <c r="OMQ745" s="487"/>
      <c r="OMR745" s="487"/>
      <c r="OMS745" s="487"/>
      <c r="OMT745" s="487"/>
      <c r="OMU745" s="487"/>
      <c r="OMV745" s="487"/>
      <c r="OMW745" s="487"/>
      <c r="OMX745" s="487"/>
      <c r="OMY745" s="487"/>
      <c r="OMZ745" s="487"/>
      <c r="ONA745" s="487"/>
      <c r="ONB745" s="487"/>
      <c r="ONC745" s="487"/>
      <c r="OND745" s="487"/>
      <c r="ONE745" s="487"/>
      <c r="ONF745" s="487"/>
      <c r="ONG745" s="487"/>
      <c r="ONH745" s="487"/>
      <c r="ONI745" s="487"/>
      <c r="ONJ745" s="487"/>
      <c r="ONK745" s="487"/>
      <c r="ONL745" s="487"/>
      <c r="ONM745" s="487"/>
      <c r="ONN745" s="487"/>
      <c r="ONO745" s="487"/>
      <c r="ONP745" s="487"/>
      <c r="ONQ745" s="487"/>
      <c r="ONR745" s="487"/>
      <c r="ONS745" s="487"/>
      <c r="ONT745" s="487"/>
      <c r="ONU745" s="487"/>
      <c r="ONV745" s="487"/>
      <c r="ONW745" s="487"/>
      <c r="ONX745" s="487"/>
      <c r="ONY745" s="487"/>
      <c r="ONZ745" s="487"/>
      <c r="OOA745" s="487"/>
      <c r="OOB745" s="487"/>
      <c r="OOC745" s="487"/>
      <c r="OOD745" s="487"/>
      <c r="OOE745" s="487"/>
      <c r="OOF745" s="487"/>
      <c r="OOG745" s="487"/>
      <c r="OOH745" s="487"/>
      <c r="OOI745" s="487"/>
      <c r="OOJ745" s="487"/>
      <c r="OOK745" s="487"/>
      <c r="OOL745" s="487"/>
      <c r="OOM745" s="487"/>
      <c r="OON745" s="487"/>
      <c r="OOO745" s="487"/>
      <c r="OOP745" s="487"/>
      <c r="OOQ745" s="487"/>
      <c r="OOR745" s="487"/>
      <c r="OOS745" s="487"/>
      <c r="OOT745" s="487"/>
      <c r="OOU745" s="487"/>
      <c r="OOV745" s="487"/>
      <c r="OOW745" s="487"/>
      <c r="OOX745" s="487"/>
      <c r="OOY745" s="487"/>
      <c r="OOZ745" s="487"/>
      <c r="OPA745" s="487"/>
      <c r="OPB745" s="487"/>
      <c r="OPC745" s="487"/>
      <c r="OPD745" s="487"/>
      <c r="OPE745" s="487"/>
      <c r="OPF745" s="487"/>
      <c r="OPG745" s="487"/>
      <c r="OPH745" s="487"/>
      <c r="OPI745" s="487"/>
      <c r="OPJ745" s="487"/>
      <c r="OPK745" s="487"/>
      <c r="OPL745" s="487"/>
      <c r="OPM745" s="487"/>
      <c r="OPN745" s="487"/>
      <c r="OPO745" s="487"/>
      <c r="OPP745" s="487"/>
      <c r="OPQ745" s="487"/>
      <c r="OPR745" s="487"/>
      <c r="OPS745" s="487"/>
      <c r="OPT745" s="487"/>
      <c r="OPU745" s="487"/>
      <c r="OPV745" s="487"/>
      <c r="OPW745" s="487"/>
      <c r="OPX745" s="487"/>
      <c r="OPY745" s="487"/>
      <c r="OPZ745" s="487"/>
      <c r="OQA745" s="487"/>
      <c r="OQB745" s="487"/>
      <c r="OQC745" s="487"/>
      <c r="OQD745" s="487"/>
      <c r="OQE745" s="487"/>
      <c r="OQF745" s="487"/>
      <c r="OQG745" s="487"/>
      <c r="OQH745" s="487"/>
      <c r="OQI745" s="487"/>
      <c r="OQJ745" s="487"/>
      <c r="OQK745" s="487"/>
      <c r="OQL745" s="487"/>
      <c r="OQM745" s="487"/>
      <c r="OQN745" s="487"/>
      <c r="OQO745" s="487"/>
      <c r="OQP745" s="487"/>
      <c r="OQQ745" s="487"/>
      <c r="OQR745" s="487"/>
      <c r="OQS745" s="487"/>
      <c r="OQT745" s="487"/>
      <c r="OQU745" s="487"/>
      <c r="OQV745" s="487"/>
      <c r="OQW745" s="487"/>
      <c r="OQX745" s="487"/>
      <c r="OQY745" s="487"/>
      <c r="OQZ745" s="487"/>
      <c r="ORA745" s="487"/>
      <c r="ORB745" s="487"/>
      <c r="ORC745" s="487"/>
      <c r="ORD745" s="487"/>
      <c r="ORE745" s="487"/>
      <c r="ORF745" s="487"/>
      <c r="ORG745" s="487"/>
      <c r="ORH745" s="487"/>
      <c r="ORI745" s="487"/>
      <c r="ORJ745" s="487"/>
      <c r="ORK745" s="487"/>
      <c r="ORL745" s="487"/>
      <c r="ORM745" s="487"/>
      <c r="ORN745" s="487"/>
      <c r="ORO745" s="487"/>
      <c r="ORP745" s="487"/>
      <c r="ORQ745" s="487"/>
      <c r="ORR745" s="487"/>
      <c r="ORS745" s="487"/>
      <c r="ORT745" s="487"/>
      <c r="ORU745" s="487"/>
      <c r="ORV745" s="487"/>
      <c r="ORW745" s="487"/>
      <c r="ORX745" s="487"/>
      <c r="ORY745" s="487"/>
      <c r="ORZ745" s="487"/>
      <c r="OSA745" s="487"/>
      <c r="OSB745" s="487"/>
      <c r="OSC745" s="487"/>
      <c r="OSD745" s="487"/>
      <c r="OSE745" s="487"/>
      <c r="OSF745" s="487"/>
      <c r="OSG745" s="487"/>
      <c r="OSH745" s="487"/>
      <c r="OSI745" s="487"/>
      <c r="OSJ745" s="487"/>
      <c r="OSK745" s="487"/>
      <c r="OSL745" s="487"/>
      <c r="OSM745" s="487"/>
      <c r="OSN745" s="487"/>
      <c r="OSO745" s="487"/>
      <c r="OSP745" s="487"/>
      <c r="OSQ745" s="487"/>
      <c r="OSR745" s="487"/>
      <c r="OSS745" s="487"/>
      <c r="OST745" s="487"/>
      <c r="OSU745" s="487"/>
      <c r="OSV745" s="487"/>
      <c r="OSW745" s="487"/>
      <c r="OSX745" s="487"/>
      <c r="OSY745" s="487"/>
      <c r="OSZ745" s="487"/>
      <c r="OTA745" s="487"/>
      <c r="OTB745" s="487"/>
      <c r="OTC745" s="487"/>
      <c r="OTD745" s="487"/>
      <c r="OTE745" s="487"/>
      <c r="OTF745" s="487"/>
      <c r="OTG745" s="487"/>
      <c r="OTH745" s="487"/>
      <c r="OTI745" s="487"/>
      <c r="OTJ745" s="487"/>
      <c r="OTK745" s="487"/>
      <c r="OTL745" s="487"/>
      <c r="OTM745" s="487"/>
      <c r="OTN745" s="487"/>
      <c r="OTO745" s="487"/>
      <c r="OTP745" s="487"/>
      <c r="OTQ745" s="487"/>
      <c r="OTR745" s="487"/>
      <c r="OTS745" s="487"/>
      <c r="OTT745" s="487"/>
      <c r="OTU745" s="487"/>
      <c r="OTV745" s="487"/>
      <c r="OTW745" s="487"/>
      <c r="OTX745" s="487"/>
      <c r="OTY745" s="487"/>
      <c r="OTZ745" s="487"/>
      <c r="OUA745" s="487"/>
      <c r="OUB745" s="487"/>
      <c r="OUC745" s="487"/>
      <c r="OUD745" s="487"/>
      <c r="OUE745" s="487"/>
      <c r="OUF745" s="487"/>
      <c r="OUG745" s="487"/>
      <c r="OUH745" s="487"/>
      <c r="OUI745" s="487"/>
      <c r="OUJ745" s="487"/>
      <c r="OUK745" s="487"/>
      <c r="OUL745" s="487"/>
      <c r="OUM745" s="487"/>
      <c r="OUN745" s="487"/>
      <c r="OUO745" s="487"/>
      <c r="OUP745" s="487"/>
      <c r="OUQ745" s="487"/>
      <c r="OUR745" s="487"/>
      <c r="OUS745" s="487"/>
      <c r="OUT745" s="487"/>
      <c r="OUU745" s="487"/>
      <c r="OUV745" s="487"/>
      <c r="OUW745" s="487"/>
      <c r="OUX745" s="487"/>
      <c r="OUY745" s="487"/>
      <c r="OUZ745" s="487"/>
      <c r="OVA745" s="487"/>
      <c r="OVB745" s="487"/>
      <c r="OVC745" s="487"/>
      <c r="OVD745" s="487"/>
      <c r="OVE745" s="487"/>
      <c r="OVF745" s="487"/>
      <c r="OVG745" s="487"/>
      <c r="OVH745" s="487"/>
      <c r="OVI745" s="487"/>
      <c r="OVJ745" s="487"/>
      <c r="OVK745" s="487"/>
      <c r="OVL745" s="487"/>
      <c r="OVM745" s="487"/>
      <c r="OVN745" s="487"/>
      <c r="OVO745" s="487"/>
      <c r="OVP745" s="487"/>
      <c r="OVQ745" s="487"/>
      <c r="OVR745" s="487"/>
      <c r="OVS745" s="487"/>
      <c r="OVT745" s="487"/>
      <c r="OVU745" s="487"/>
      <c r="OVV745" s="487"/>
      <c r="OVW745" s="487"/>
      <c r="OVX745" s="487"/>
      <c r="OVY745" s="487"/>
      <c r="OVZ745" s="487"/>
      <c r="OWA745" s="487"/>
      <c r="OWB745" s="487"/>
      <c r="OWC745" s="487"/>
      <c r="OWD745" s="487"/>
      <c r="OWE745" s="487"/>
      <c r="OWF745" s="487"/>
      <c r="OWG745" s="487"/>
      <c r="OWH745" s="487"/>
      <c r="OWI745" s="487"/>
      <c r="OWJ745" s="487"/>
      <c r="OWK745" s="487"/>
      <c r="OWL745" s="487"/>
      <c r="OWM745" s="487"/>
      <c r="OWN745" s="487"/>
      <c r="OWO745" s="487"/>
      <c r="OWP745" s="487"/>
      <c r="OWQ745" s="487"/>
      <c r="OWR745" s="487"/>
      <c r="OWS745" s="487"/>
      <c r="OWT745" s="487"/>
      <c r="OWU745" s="487"/>
      <c r="OWV745" s="487"/>
      <c r="OWW745" s="487"/>
      <c r="OWX745" s="487"/>
      <c r="OWY745" s="487"/>
      <c r="OWZ745" s="487"/>
      <c r="OXA745" s="487"/>
      <c r="OXB745" s="487"/>
      <c r="OXC745" s="487"/>
      <c r="OXD745" s="487"/>
      <c r="OXE745" s="487"/>
      <c r="OXF745" s="487"/>
      <c r="OXG745" s="487"/>
      <c r="OXH745" s="487"/>
      <c r="OXI745" s="487"/>
      <c r="OXJ745" s="487"/>
      <c r="OXK745" s="487"/>
      <c r="OXL745" s="487"/>
      <c r="OXM745" s="487"/>
      <c r="OXN745" s="487"/>
      <c r="OXO745" s="487"/>
      <c r="OXP745" s="487"/>
      <c r="OXQ745" s="487"/>
      <c r="OXR745" s="487"/>
      <c r="OXS745" s="487"/>
      <c r="OXT745" s="487"/>
      <c r="OXU745" s="487"/>
      <c r="OXV745" s="487"/>
      <c r="OXW745" s="487"/>
      <c r="OXX745" s="487"/>
      <c r="OXY745" s="487"/>
      <c r="OXZ745" s="487"/>
      <c r="OYA745" s="487"/>
      <c r="OYB745" s="487"/>
      <c r="OYC745" s="487"/>
      <c r="OYD745" s="487"/>
      <c r="OYE745" s="487"/>
      <c r="OYF745" s="487"/>
      <c r="OYG745" s="487"/>
      <c r="OYH745" s="487"/>
      <c r="OYI745" s="487"/>
      <c r="OYJ745" s="487"/>
      <c r="OYK745" s="487"/>
      <c r="OYL745" s="487"/>
      <c r="OYM745" s="487"/>
      <c r="OYN745" s="487"/>
      <c r="OYO745" s="487"/>
      <c r="OYP745" s="487"/>
      <c r="OYQ745" s="487"/>
      <c r="OYR745" s="487"/>
      <c r="OYS745" s="487"/>
      <c r="OYT745" s="487"/>
      <c r="OYU745" s="487"/>
      <c r="OYV745" s="487"/>
      <c r="OYW745" s="487"/>
      <c r="OYX745" s="487"/>
      <c r="OYY745" s="487"/>
      <c r="OYZ745" s="487"/>
      <c r="OZA745" s="487"/>
      <c r="OZB745" s="487"/>
      <c r="OZC745" s="487"/>
      <c r="OZD745" s="487"/>
      <c r="OZE745" s="487"/>
      <c r="OZF745" s="487"/>
      <c r="OZG745" s="487"/>
      <c r="OZH745" s="487"/>
      <c r="OZI745" s="487"/>
      <c r="OZJ745" s="487"/>
      <c r="OZK745" s="487"/>
      <c r="OZL745" s="487"/>
      <c r="OZM745" s="487"/>
      <c r="OZN745" s="487"/>
      <c r="OZO745" s="487"/>
      <c r="OZP745" s="487"/>
      <c r="OZQ745" s="487"/>
      <c r="OZR745" s="487"/>
      <c r="OZS745" s="487"/>
      <c r="OZT745" s="487"/>
      <c r="OZU745" s="487"/>
      <c r="OZV745" s="487"/>
      <c r="OZW745" s="487"/>
      <c r="OZX745" s="487"/>
      <c r="OZY745" s="487"/>
      <c r="OZZ745" s="487"/>
      <c r="PAA745" s="487"/>
      <c r="PAB745" s="487"/>
      <c r="PAC745" s="487"/>
      <c r="PAD745" s="487"/>
      <c r="PAE745" s="487"/>
      <c r="PAF745" s="487"/>
      <c r="PAG745" s="487"/>
      <c r="PAH745" s="487"/>
      <c r="PAI745" s="487"/>
      <c r="PAJ745" s="487"/>
      <c r="PAK745" s="487"/>
      <c r="PAL745" s="487"/>
      <c r="PAM745" s="487"/>
      <c r="PAN745" s="487"/>
      <c r="PAO745" s="487"/>
      <c r="PAP745" s="487"/>
      <c r="PAQ745" s="487"/>
      <c r="PAR745" s="487"/>
      <c r="PAS745" s="487"/>
      <c r="PAT745" s="487"/>
      <c r="PAU745" s="487"/>
      <c r="PAV745" s="487"/>
      <c r="PAW745" s="487"/>
      <c r="PAX745" s="487"/>
      <c r="PAY745" s="487"/>
      <c r="PAZ745" s="487"/>
      <c r="PBA745" s="487"/>
      <c r="PBB745" s="487"/>
      <c r="PBC745" s="487"/>
      <c r="PBD745" s="487"/>
      <c r="PBE745" s="487"/>
      <c r="PBF745" s="487"/>
      <c r="PBG745" s="487"/>
      <c r="PBH745" s="487"/>
      <c r="PBI745" s="487"/>
      <c r="PBJ745" s="487"/>
      <c r="PBK745" s="487"/>
      <c r="PBL745" s="487"/>
      <c r="PBM745" s="487"/>
      <c r="PBN745" s="487"/>
      <c r="PBO745" s="487"/>
      <c r="PBP745" s="487"/>
      <c r="PBQ745" s="487"/>
      <c r="PBR745" s="487"/>
      <c r="PBS745" s="487"/>
      <c r="PBT745" s="487"/>
      <c r="PBU745" s="487"/>
      <c r="PBV745" s="487"/>
      <c r="PBW745" s="487"/>
      <c r="PBX745" s="487"/>
      <c r="PBY745" s="487"/>
      <c r="PBZ745" s="487"/>
      <c r="PCA745" s="487"/>
      <c r="PCB745" s="487"/>
      <c r="PCC745" s="487"/>
      <c r="PCD745" s="487"/>
      <c r="PCE745" s="487"/>
      <c r="PCF745" s="487"/>
      <c r="PCG745" s="487"/>
      <c r="PCH745" s="487"/>
      <c r="PCI745" s="487"/>
      <c r="PCJ745" s="487"/>
      <c r="PCK745" s="487"/>
      <c r="PCL745" s="487"/>
      <c r="PCM745" s="487"/>
      <c r="PCN745" s="487"/>
      <c r="PCO745" s="487"/>
      <c r="PCP745" s="487"/>
      <c r="PCQ745" s="487"/>
      <c r="PCR745" s="487"/>
      <c r="PCS745" s="487"/>
      <c r="PCT745" s="487"/>
      <c r="PCU745" s="487"/>
      <c r="PCV745" s="487"/>
      <c r="PCW745" s="487"/>
      <c r="PCX745" s="487"/>
      <c r="PCY745" s="487"/>
      <c r="PCZ745" s="487"/>
      <c r="PDA745" s="487"/>
      <c r="PDB745" s="487"/>
      <c r="PDC745" s="487"/>
      <c r="PDD745" s="487"/>
      <c r="PDE745" s="487"/>
      <c r="PDF745" s="487"/>
      <c r="PDG745" s="487"/>
      <c r="PDH745" s="487"/>
      <c r="PDI745" s="487"/>
      <c r="PDJ745" s="487"/>
      <c r="PDK745" s="487"/>
      <c r="PDL745" s="487"/>
      <c r="PDM745" s="487"/>
      <c r="PDN745" s="487"/>
      <c r="PDO745" s="487"/>
      <c r="PDP745" s="487"/>
      <c r="PDQ745" s="487"/>
      <c r="PDR745" s="487"/>
      <c r="PDS745" s="487"/>
      <c r="PDT745" s="487"/>
      <c r="PDU745" s="487"/>
      <c r="PDV745" s="487"/>
      <c r="PDW745" s="487"/>
      <c r="PDX745" s="487"/>
      <c r="PDY745" s="487"/>
      <c r="PDZ745" s="487"/>
      <c r="PEA745" s="487"/>
      <c r="PEB745" s="487"/>
      <c r="PEC745" s="487"/>
      <c r="PED745" s="487"/>
      <c r="PEE745" s="487"/>
      <c r="PEF745" s="487"/>
      <c r="PEG745" s="487"/>
      <c r="PEH745" s="487"/>
      <c r="PEI745" s="487"/>
      <c r="PEJ745" s="487"/>
      <c r="PEK745" s="487"/>
      <c r="PEL745" s="487"/>
      <c r="PEM745" s="487"/>
      <c r="PEN745" s="487"/>
      <c r="PEO745" s="487"/>
      <c r="PEP745" s="487"/>
      <c r="PEQ745" s="487"/>
      <c r="PER745" s="487"/>
      <c r="PES745" s="487"/>
      <c r="PET745" s="487"/>
      <c r="PEU745" s="487"/>
      <c r="PEV745" s="487"/>
      <c r="PEW745" s="487"/>
      <c r="PEX745" s="487"/>
      <c r="PEY745" s="487"/>
      <c r="PEZ745" s="487"/>
      <c r="PFA745" s="487"/>
      <c r="PFB745" s="487"/>
      <c r="PFC745" s="487"/>
      <c r="PFD745" s="487"/>
      <c r="PFE745" s="487"/>
      <c r="PFF745" s="487"/>
      <c r="PFG745" s="487"/>
      <c r="PFH745" s="487"/>
      <c r="PFI745" s="487"/>
      <c r="PFJ745" s="487"/>
      <c r="PFK745" s="487"/>
      <c r="PFL745" s="487"/>
      <c r="PFM745" s="487"/>
      <c r="PFN745" s="487"/>
      <c r="PFO745" s="487"/>
      <c r="PFP745" s="487"/>
      <c r="PFQ745" s="487"/>
      <c r="PFR745" s="487"/>
      <c r="PFS745" s="487"/>
      <c r="PFT745" s="487"/>
      <c r="PFU745" s="487"/>
      <c r="PFV745" s="487"/>
      <c r="PFW745" s="487"/>
      <c r="PFX745" s="487"/>
      <c r="PFY745" s="487"/>
      <c r="PFZ745" s="487"/>
      <c r="PGA745" s="487"/>
      <c r="PGB745" s="487"/>
      <c r="PGC745" s="487"/>
      <c r="PGD745" s="487"/>
      <c r="PGE745" s="487"/>
      <c r="PGF745" s="487"/>
      <c r="PGG745" s="487"/>
      <c r="PGH745" s="487"/>
      <c r="PGI745" s="487"/>
      <c r="PGJ745" s="487"/>
      <c r="PGK745" s="487"/>
      <c r="PGL745" s="487"/>
      <c r="PGM745" s="487"/>
      <c r="PGN745" s="487"/>
      <c r="PGO745" s="487"/>
      <c r="PGP745" s="487"/>
      <c r="PGQ745" s="487"/>
      <c r="PGR745" s="487"/>
      <c r="PGS745" s="487"/>
      <c r="PGT745" s="487"/>
      <c r="PGU745" s="487"/>
      <c r="PGV745" s="487"/>
      <c r="PGW745" s="487"/>
      <c r="PGX745" s="487"/>
      <c r="PGY745" s="487"/>
      <c r="PGZ745" s="487"/>
      <c r="PHA745" s="487"/>
      <c r="PHB745" s="487"/>
      <c r="PHC745" s="487"/>
      <c r="PHD745" s="487"/>
      <c r="PHE745" s="487"/>
      <c r="PHF745" s="487"/>
      <c r="PHG745" s="487"/>
      <c r="PHH745" s="487"/>
      <c r="PHI745" s="487"/>
      <c r="PHJ745" s="487"/>
      <c r="PHK745" s="487"/>
      <c r="PHL745" s="487"/>
      <c r="PHM745" s="487"/>
      <c r="PHN745" s="487"/>
      <c r="PHO745" s="487"/>
      <c r="PHP745" s="487"/>
      <c r="PHQ745" s="487"/>
      <c r="PHR745" s="487"/>
      <c r="PHS745" s="487"/>
      <c r="PHT745" s="487"/>
      <c r="PHU745" s="487"/>
      <c r="PHV745" s="487"/>
      <c r="PHW745" s="487"/>
      <c r="PHX745" s="487"/>
      <c r="PHY745" s="487"/>
      <c r="PHZ745" s="487"/>
      <c r="PIA745" s="487"/>
      <c r="PIB745" s="487"/>
      <c r="PIC745" s="487"/>
      <c r="PID745" s="487"/>
      <c r="PIE745" s="487"/>
      <c r="PIF745" s="487"/>
      <c r="PIG745" s="487"/>
      <c r="PIH745" s="487"/>
      <c r="PII745" s="487"/>
      <c r="PIJ745" s="487"/>
      <c r="PIK745" s="487"/>
      <c r="PIL745" s="487"/>
      <c r="PIM745" s="487"/>
      <c r="PIN745" s="487"/>
      <c r="PIO745" s="487"/>
      <c r="PIP745" s="487"/>
      <c r="PIQ745" s="487"/>
      <c r="PIR745" s="487"/>
      <c r="PIS745" s="487"/>
      <c r="PIT745" s="487"/>
      <c r="PIU745" s="487"/>
      <c r="PIV745" s="487"/>
      <c r="PIW745" s="487"/>
      <c r="PIX745" s="487"/>
      <c r="PIY745" s="487"/>
      <c r="PIZ745" s="487"/>
      <c r="PJA745" s="487"/>
      <c r="PJB745" s="487"/>
      <c r="PJC745" s="487"/>
      <c r="PJD745" s="487"/>
      <c r="PJE745" s="487"/>
      <c r="PJF745" s="487"/>
      <c r="PJG745" s="487"/>
      <c r="PJH745" s="487"/>
      <c r="PJI745" s="487"/>
      <c r="PJJ745" s="487"/>
      <c r="PJK745" s="487"/>
      <c r="PJL745" s="487"/>
      <c r="PJM745" s="487"/>
      <c r="PJN745" s="487"/>
      <c r="PJO745" s="487"/>
      <c r="PJP745" s="487"/>
      <c r="PJQ745" s="487"/>
      <c r="PJR745" s="487"/>
      <c r="PJS745" s="487"/>
      <c r="PJT745" s="487"/>
      <c r="PJU745" s="487"/>
      <c r="PJV745" s="487"/>
      <c r="PJW745" s="487"/>
      <c r="PJX745" s="487"/>
      <c r="PJY745" s="487"/>
      <c r="PJZ745" s="487"/>
      <c r="PKA745" s="487"/>
      <c r="PKB745" s="487"/>
      <c r="PKC745" s="487"/>
      <c r="PKD745" s="487"/>
      <c r="PKE745" s="487"/>
      <c r="PKF745" s="487"/>
      <c r="PKG745" s="487"/>
      <c r="PKH745" s="487"/>
      <c r="PKI745" s="487"/>
      <c r="PKJ745" s="487"/>
      <c r="PKK745" s="487"/>
      <c r="PKL745" s="487"/>
      <c r="PKM745" s="487"/>
      <c r="PKN745" s="487"/>
      <c r="PKO745" s="487"/>
      <c r="PKP745" s="487"/>
      <c r="PKQ745" s="487"/>
      <c r="PKR745" s="487"/>
      <c r="PKS745" s="487"/>
      <c r="PKT745" s="487"/>
      <c r="PKU745" s="487"/>
      <c r="PKV745" s="487"/>
      <c r="PKW745" s="487"/>
      <c r="PKX745" s="487"/>
      <c r="PKY745" s="487"/>
      <c r="PKZ745" s="487"/>
      <c r="PLA745" s="487"/>
      <c r="PLB745" s="487"/>
      <c r="PLC745" s="487"/>
      <c r="PLD745" s="487"/>
      <c r="PLE745" s="487"/>
      <c r="PLF745" s="487"/>
      <c r="PLG745" s="487"/>
      <c r="PLH745" s="487"/>
      <c r="PLI745" s="487"/>
      <c r="PLJ745" s="487"/>
      <c r="PLK745" s="487"/>
      <c r="PLL745" s="487"/>
      <c r="PLM745" s="487"/>
      <c r="PLN745" s="487"/>
      <c r="PLO745" s="487"/>
      <c r="PLP745" s="487"/>
      <c r="PLQ745" s="487"/>
      <c r="PLR745" s="487"/>
      <c r="PLS745" s="487"/>
      <c r="PLT745" s="487"/>
      <c r="PLU745" s="487"/>
      <c r="PLV745" s="487"/>
      <c r="PLW745" s="487"/>
      <c r="PLX745" s="487"/>
      <c r="PLY745" s="487"/>
      <c r="PLZ745" s="487"/>
      <c r="PMA745" s="487"/>
      <c r="PMB745" s="487"/>
      <c r="PMC745" s="487"/>
      <c r="PMD745" s="487"/>
      <c r="PME745" s="487"/>
      <c r="PMF745" s="487"/>
      <c r="PMG745" s="487"/>
      <c r="PMH745" s="487"/>
      <c r="PMI745" s="487"/>
      <c r="PMJ745" s="487"/>
      <c r="PMK745" s="487"/>
      <c r="PML745" s="487"/>
      <c r="PMM745" s="487"/>
      <c r="PMN745" s="487"/>
      <c r="PMO745" s="487"/>
      <c r="PMP745" s="487"/>
      <c r="PMQ745" s="487"/>
      <c r="PMR745" s="487"/>
      <c r="PMS745" s="487"/>
      <c r="PMT745" s="487"/>
      <c r="PMU745" s="487"/>
      <c r="PMV745" s="487"/>
      <c r="PMW745" s="487"/>
      <c r="PMX745" s="487"/>
      <c r="PMY745" s="487"/>
      <c r="PMZ745" s="487"/>
      <c r="PNA745" s="487"/>
      <c r="PNB745" s="487"/>
      <c r="PNC745" s="487"/>
      <c r="PND745" s="487"/>
      <c r="PNE745" s="487"/>
      <c r="PNF745" s="487"/>
      <c r="PNG745" s="487"/>
      <c r="PNH745" s="487"/>
      <c r="PNI745" s="487"/>
      <c r="PNJ745" s="487"/>
      <c r="PNK745" s="487"/>
      <c r="PNL745" s="487"/>
      <c r="PNM745" s="487"/>
      <c r="PNN745" s="487"/>
      <c r="PNO745" s="487"/>
      <c r="PNP745" s="487"/>
      <c r="PNQ745" s="487"/>
      <c r="PNR745" s="487"/>
      <c r="PNS745" s="487"/>
      <c r="PNT745" s="487"/>
      <c r="PNU745" s="487"/>
      <c r="PNV745" s="487"/>
      <c r="PNW745" s="487"/>
      <c r="PNX745" s="487"/>
      <c r="PNY745" s="487"/>
      <c r="PNZ745" s="487"/>
      <c r="POA745" s="487"/>
      <c r="POB745" s="487"/>
      <c r="POC745" s="487"/>
      <c r="POD745" s="487"/>
      <c r="POE745" s="487"/>
      <c r="POF745" s="487"/>
      <c r="POG745" s="487"/>
      <c r="POH745" s="487"/>
      <c r="POI745" s="487"/>
      <c r="POJ745" s="487"/>
      <c r="POK745" s="487"/>
      <c r="POL745" s="487"/>
      <c r="POM745" s="487"/>
      <c r="PON745" s="487"/>
      <c r="POO745" s="487"/>
      <c r="POP745" s="487"/>
      <c r="POQ745" s="487"/>
      <c r="POR745" s="487"/>
      <c r="POS745" s="487"/>
      <c r="POT745" s="487"/>
      <c r="POU745" s="487"/>
      <c r="POV745" s="487"/>
      <c r="POW745" s="487"/>
      <c r="POX745" s="487"/>
      <c r="POY745" s="487"/>
      <c r="POZ745" s="487"/>
      <c r="PPA745" s="487"/>
      <c r="PPB745" s="487"/>
      <c r="PPC745" s="487"/>
      <c r="PPD745" s="487"/>
      <c r="PPE745" s="487"/>
      <c r="PPF745" s="487"/>
      <c r="PPG745" s="487"/>
      <c r="PPH745" s="487"/>
      <c r="PPI745" s="487"/>
      <c r="PPJ745" s="487"/>
      <c r="PPK745" s="487"/>
      <c r="PPL745" s="487"/>
      <c r="PPM745" s="487"/>
      <c r="PPN745" s="487"/>
      <c r="PPO745" s="487"/>
      <c r="PPP745" s="487"/>
      <c r="PPQ745" s="487"/>
      <c r="PPR745" s="487"/>
      <c r="PPS745" s="487"/>
      <c r="PPT745" s="487"/>
      <c r="PPU745" s="487"/>
      <c r="PPV745" s="487"/>
      <c r="PPW745" s="487"/>
      <c r="PPX745" s="487"/>
      <c r="PPY745" s="487"/>
      <c r="PPZ745" s="487"/>
      <c r="PQA745" s="487"/>
      <c r="PQB745" s="487"/>
      <c r="PQC745" s="487"/>
      <c r="PQD745" s="487"/>
      <c r="PQE745" s="487"/>
      <c r="PQF745" s="487"/>
      <c r="PQG745" s="487"/>
      <c r="PQH745" s="487"/>
      <c r="PQI745" s="487"/>
      <c r="PQJ745" s="487"/>
      <c r="PQK745" s="487"/>
      <c r="PQL745" s="487"/>
      <c r="PQM745" s="487"/>
      <c r="PQN745" s="487"/>
      <c r="PQO745" s="487"/>
      <c r="PQP745" s="487"/>
      <c r="PQQ745" s="487"/>
      <c r="PQR745" s="487"/>
      <c r="PQS745" s="487"/>
      <c r="PQT745" s="487"/>
      <c r="PQU745" s="487"/>
      <c r="PQV745" s="487"/>
      <c r="PQW745" s="487"/>
      <c r="PQX745" s="487"/>
      <c r="PQY745" s="487"/>
      <c r="PQZ745" s="487"/>
      <c r="PRA745" s="487"/>
      <c r="PRB745" s="487"/>
      <c r="PRC745" s="487"/>
      <c r="PRD745" s="487"/>
      <c r="PRE745" s="487"/>
      <c r="PRF745" s="487"/>
      <c r="PRG745" s="487"/>
      <c r="PRH745" s="487"/>
      <c r="PRI745" s="487"/>
      <c r="PRJ745" s="487"/>
      <c r="PRK745" s="487"/>
      <c r="PRL745" s="487"/>
      <c r="PRM745" s="487"/>
      <c r="PRN745" s="487"/>
      <c r="PRO745" s="487"/>
      <c r="PRP745" s="487"/>
      <c r="PRQ745" s="487"/>
      <c r="PRR745" s="487"/>
      <c r="PRS745" s="487"/>
      <c r="PRT745" s="487"/>
      <c r="PRU745" s="487"/>
      <c r="PRV745" s="487"/>
      <c r="PRW745" s="487"/>
      <c r="PRX745" s="487"/>
      <c r="PRY745" s="487"/>
      <c r="PRZ745" s="487"/>
      <c r="PSA745" s="487"/>
      <c r="PSB745" s="487"/>
      <c r="PSC745" s="487"/>
      <c r="PSD745" s="487"/>
      <c r="PSE745" s="487"/>
      <c r="PSF745" s="487"/>
      <c r="PSG745" s="487"/>
      <c r="PSH745" s="487"/>
      <c r="PSI745" s="487"/>
      <c r="PSJ745" s="487"/>
      <c r="PSK745" s="487"/>
      <c r="PSL745" s="487"/>
      <c r="PSM745" s="487"/>
      <c r="PSN745" s="487"/>
      <c r="PSO745" s="487"/>
      <c r="PSP745" s="487"/>
      <c r="PSQ745" s="487"/>
      <c r="PSR745" s="487"/>
      <c r="PSS745" s="487"/>
      <c r="PST745" s="487"/>
      <c r="PSU745" s="487"/>
      <c r="PSV745" s="487"/>
      <c r="PSW745" s="487"/>
      <c r="PSX745" s="487"/>
      <c r="PSY745" s="487"/>
      <c r="PSZ745" s="487"/>
      <c r="PTA745" s="487"/>
      <c r="PTB745" s="487"/>
      <c r="PTC745" s="487"/>
      <c r="PTD745" s="487"/>
      <c r="PTE745" s="487"/>
      <c r="PTF745" s="487"/>
      <c r="PTG745" s="487"/>
      <c r="PTH745" s="487"/>
      <c r="PTI745" s="487"/>
      <c r="PTJ745" s="487"/>
      <c r="PTK745" s="487"/>
      <c r="PTL745" s="487"/>
      <c r="PTM745" s="487"/>
      <c r="PTN745" s="487"/>
      <c r="PTO745" s="487"/>
      <c r="PTP745" s="487"/>
      <c r="PTQ745" s="487"/>
      <c r="PTR745" s="487"/>
      <c r="PTS745" s="487"/>
      <c r="PTT745" s="487"/>
      <c r="PTU745" s="487"/>
      <c r="PTV745" s="487"/>
      <c r="PTW745" s="487"/>
      <c r="PTX745" s="487"/>
      <c r="PTY745" s="487"/>
      <c r="PTZ745" s="487"/>
      <c r="PUA745" s="487"/>
      <c r="PUB745" s="487"/>
      <c r="PUC745" s="487"/>
      <c r="PUD745" s="487"/>
      <c r="PUE745" s="487"/>
      <c r="PUF745" s="487"/>
      <c r="PUG745" s="487"/>
      <c r="PUH745" s="487"/>
      <c r="PUI745" s="487"/>
      <c r="PUJ745" s="487"/>
      <c r="PUK745" s="487"/>
      <c r="PUL745" s="487"/>
      <c r="PUM745" s="487"/>
      <c r="PUN745" s="487"/>
      <c r="PUO745" s="487"/>
      <c r="PUP745" s="487"/>
      <c r="PUQ745" s="487"/>
      <c r="PUR745" s="487"/>
      <c r="PUS745" s="487"/>
      <c r="PUT745" s="487"/>
      <c r="PUU745" s="487"/>
      <c r="PUV745" s="487"/>
      <c r="PUW745" s="487"/>
      <c r="PUX745" s="487"/>
      <c r="PUY745" s="487"/>
      <c r="PUZ745" s="487"/>
      <c r="PVA745" s="487"/>
      <c r="PVB745" s="487"/>
      <c r="PVC745" s="487"/>
      <c r="PVD745" s="487"/>
      <c r="PVE745" s="487"/>
      <c r="PVF745" s="487"/>
      <c r="PVG745" s="487"/>
      <c r="PVH745" s="487"/>
      <c r="PVI745" s="487"/>
      <c r="PVJ745" s="487"/>
      <c r="PVK745" s="487"/>
      <c r="PVL745" s="487"/>
      <c r="PVM745" s="487"/>
      <c r="PVN745" s="487"/>
      <c r="PVO745" s="487"/>
      <c r="PVP745" s="487"/>
      <c r="PVQ745" s="487"/>
      <c r="PVR745" s="487"/>
      <c r="PVS745" s="487"/>
      <c r="PVT745" s="487"/>
      <c r="PVU745" s="487"/>
      <c r="PVV745" s="487"/>
      <c r="PVW745" s="487"/>
      <c r="PVX745" s="487"/>
      <c r="PVY745" s="487"/>
      <c r="PVZ745" s="487"/>
      <c r="PWA745" s="487"/>
      <c r="PWB745" s="487"/>
      <c r="PWC745" s="487"/>
      <c r="PWD745" s="487"/>
      <c r="PWE745" s="487"/>
      <c r="PWF745" s="487"/>
      <c r="PWG745" s="487"/>
      <c r="PWH745" s="487"/>
      <c r="PWI745" s="487"/>
      <c r="PWJ745" s="487"/>
      <c r="PWK745" s="487"/>
      <c r="PWL745" s="487"/>
      <c r="PWM745" s="487"/>
      <c r="PWN745" s="487"/>
      <c r="PWO745" s="487"/>
      <c r="PWP745" s="487"/>
      <c r="PWQ745" s="487"/>
      <c r="PWR745" s="487"/>
      <c r="PWS745" s="487"/>
      <c r="PWT745" s="487"/>
      <c r="PWU745" s="487"/>
      <c r="PWV745" s="487"/>
      <c r="PWW745" s="487"/>
      <c r="PWX745" s="487"/>
      <c r="PWY745" s="487"/>
      <c r="PWZ745" s="487"/>
      <c r="PXA745" s="487"/>
      <c r="PXB745" s="487"/>
      <c r="PXC745" s="487"/>
      <c r="PXD745" s="487"/>
      <c r="PXE745" s="487"/>
      <c r="PXF745" s="487"/>
      <c r="PXG745" s="487"/>
      <c r="PXH745" s="487"/>
      <c r="PXI745" s="487"/>
      <c r="PXJ745" s="487"/>
      <c r="PXK745" s="487"/>
      <c r="PXL745" s="487"/>
      <c r="PXM745" s="487"/>
      <c r="PXN745" s="487"/>
      <c r="PXO745" s="487"/>
      <c r="PXP745" s="487"/>
      <c r="PXQ745" s="487"/>
      <c r="PXR745" s="487"/>
      <c r="PXS745" s="487"/>
      <c r="PXT745" s="487"/>
      <c r="PXU745" s="487"/>
      <c r="PXV745" s="487"/>
      <c r="PXW745" s="487"/>
      <c r="PXX745" s="487"/>
      <c r="PXY745" s="487"/>
      <c r="PXZ745" s="487"/>
      <c r="PYA745" s="487"/>
      <c r="PYB745" s="487"/>
      <c r="PYC745" s="487"/>
      <c r="PYD745" s="487"/>
      <c r="PYE745" s="487"/>
      <c r="PYF745" s="487"/>
      <c r="PYG745" s="487"/>
      <c r="PYH745" s="487"/>
      <c r="PYI745" s="487"/>
      <c r="PYJ745" s="487"/>
      <c r="PYK745" s="487"/>
      <c r="PYL745" s="487"/>
      <c r="PYM745" s="487"/>
      <c r="PYN745" s="487"/>
      <c r="PYO745" s="487"/>
      <c r="PYP745" s="487"/>
      <c r="PYQ745" s="487"/>
      <c r="PYR745" s="487"/>
      <c r="PYS745" s="487"/>
      <c r="PYT745" s="487"/>
      <c r="PYU745" s="487"/>
      <c r="PYV745" s="487"/>
      <c r="PYW745" s="487"/>
      <c r="PYX745" s="487"/>
      <c r="PYY745" s="487"/>
      <c r="PYZ745" s="487"/>
      <c r="PZA745" s="487"/>
      <c r="PZB745" s="487"/>
      <c r="PZC745" s="487"/>
      <c r="PZD745" s="487"/>
      <c r="PZE745" s="487"/>
      <c r="PZF745" s="487"/>
      <c r="PZG745" s="487"/>
      <c r="PZH745" s="487"/>
      <c r="PZI745" s="487"/>
      <c r="PZJ745" s="487"/>
      <c r="PZK745" s="487"/>
      <c r="PZL745" s="487"/>
      <c r="PZM745" s="487"/>
      <c r="PZN745" s="487"/>
      <c r="PZO745" s="487"/>
      <c r="PZP745" s="487"/>
      <c r="PZQ745" s="487"/>
      <c r="PZR745" s="487"/>
      <c r="PZS745" s="487"/>
      <c r="PZT745" s="487"/>
      <c r="PZU745" s="487"/>
      <c r="PZV745" s="487"/>
      <c r="PZW745" s="487"/>
      <c r="PZX745" s="487"/>
      <c r="PZY745" s="487"/>
      <c r="PZZ745" s="487"/>
      <c r="QAA745" s="487"/>
      <c r="QAB745" s="487"/>
      <c r="QAC745" s="487"/>
      <c r="QAD745" s="487"/>
      <c r="QAE745" s="487"/>
      <c r="QAF745" s="487"/>
      <c r="QAG745" s="487"/>
      <c r="QAH745" s="487"/>
      <c r="QAI745" s="487"/>
      <c r="QAJ745" s="487"/>
      <c r="QAK745" s="487"/>
      <c r="QAL745" s="487"/>
      <c r="QAM745" s="487"/>
      <c r="QAN745" s="487"/>
      <c r="QAO745" s="487"/>
      <c r="QAP745" s="487"/>
      <c r="QAQ745" s="487"/>
      <c r="QAR745" s="487"/>
      <c r="QAS745" s="487"/>
      <c r="QAT745" s="487"/>
      <c r="QAU745" s="487"/>
      <c r="QAV745" s="487"/>
      <c r="QAW745" s="487"/>
      <c r="QAX745" s="487"/>
      <c r="QAY745" s="487"/>
      <c r="QAZ745" s="487"/>
      <c r="QBA745" s="487"/>
      <c r="QBB745" s="487"/>
      <c r="QBC745" s="487"/>
      <c r="QBD745" s="487"/>
      <c r="QBE745" s="487"/>
      <c r="QBF745" s="487"/>
      <c r="QBG745" s="487"/>
      <c r="QBH745" s="487"/>
      <c r="QBI745" s="487"/>
      <c r="QBJ745" s="487"/>
      <c r="QBK745" s="487"/>
      <c r="QBL745" s="487"/>
      <c r="QBM745" s="487"/>
      <c r="QBN745" s="487"/>
      <c r="QBO745" s="487"/>
      <c r="QBP745" s="487"/>
      <c r="QBQ745" s="487"/>
      <c r="QBR745" s="487"/>
      <c r="QBS745" s="487"/>
      <c r="QBT745" s="487"/>
      <c r="QBU745" s="487"/>
      <c r="QBV745" s="487"/>
      <c r="QBW745" s="487"/>
      <c r="QBX745" s="487"/>
      <c r="QBY745" s="487"/>
      <c r="QBZ745" s="487"/>
      <c r="QCA745" s="487"/>
      <c r="QCB745" s="487"/>
      <c r="QCC745" s="487"/>
      <c r="QCD745" s="487"/>
      <c r="QCE745" s="487"/>
      <c r="QCF745" s="487"/>
      <c r="QCG745" s="487"/>
      <c r="QCH745" s="487"/>
      <c r="QCI745" s="487"/>
      <c r="QCJ745" s="487"/>
      <c r="QCK745" s="487"/>
      <c r="QCL745" s="487"/>
      <c r="QCM745" s="487"/>
      <c r="QCN745" s="487"/>
      <c r="QCO745" s="487"/>
      <c r="QCP745" s="487"/>
      <c r="QCQ745" s="487"/>
      <c r="QCR745" s="487"/>
      <c r="QCS745" s="487"/>
      <c r="QCT745" s="487"/>
      <c r="QCU745" s="487"/>
      <c r="QCV745" s="487"/>
      <c r="QCW745" s="487"/>
      <c r="QCX745" s="487"/>
      <c r="QCY745" s="487"/>
      <c r="QCZ745" s="487"/>
      <c r="QDA745" s="487"/>
      <c r="QDB745" s="487"/>
      <c r="QDC745" s="487"/>
      <c r="QDD745" s="487"/>
      <c r="QDE745" s="487"/>
      <c r="QDF745" s="487"/>
      <c r="QDG745" s="487"/>
      <c r="QDH745" s="487"/>
      <c r="QDI745" s="487"/>
      <c r="QDJ745" s="487"/>
      <c r="QDK745" s="487"/>
      <c r="QDL745" s="487"/>
      <c r="QDM745" s="487"/>
      <c r="QDN745" s="487"/>
      <c r="QDO745" s="487"/>
      <c r="QDP745" s="487"/>
      <c r="QDQ745" s="487"/>
      <c r="QDR745" s="487"/>
      <c r="QDS745" s="487"/>
      <c r="QDT745" s="487"/>
      <c r="QDU745" s="487"/>
      <c r="QDV745" s="487"/>
      <c r="QDW745" s="487"/>
      <c r="QDX745" s="487"/>
      <c r="QDY745" s="487"/>
      <c r="QDZ745" s="487"/>
      <c r="QEA745" s="487"/>
      <c r="QEB745" s="487"/>
      <c r="QEC745" s="487"/>
      <c r="QED745" s="487"/>
      <c r="QEE745" s="487"/>
      <c r="QEF745" s="487"/>
      <c r="QEG745" s="487"/>
      <c r="QEH745" s="487"/>
      <c r="QEI745" s="487"/>
      <c r="QEJ745" s="487"/>
      <c r="QEK745" s="487"/>
      <c r="QEL745" s="487"/>
      <c r="QEM745" s="487"/>
      <c r="QEN745" s="487"/>
      <c r="QEO745" s="487"/>
      <c r="QEP745" s="487"/>
      <c r="QEQ745" s="487"/>
      <c r="QER745" s="487"/>
      <c r="QES745" s="487"/>
      <c r="QET745" s="487"/>
      <c r="QEU745" s="487"/>
      <c r="QEV745" s="487"/>
      <c r="QEW745" s="487"/>
      <c r="QEX745" s="487"/>
      <c r="QEY745" s="487"/>
      <c r="QEZ745" s="487"/>
      <c r="QFA745" s="487"/>
      <c r="QFB745" s="487"/>
      <c r="QFC745" s="487"/>
      <c r="QFD745" s="487"/>
      <c r="QFE745" s="487"/>
      <c r="QFF745" s="487"/>
      <c r="QFG745" s="487"/>
      <c r="QFH745" s="487"/>
      <c r="QFI745" s="487"/>
      <c r="QFJ745" s="487"/>
      <c r="QFK745" s="487"/>
      <c r="QFL745" s="487"/>
      <c r="QFM745" s="487"/>
      <c r="QFN745" s="487"/>
      <c r="QFO745" s="487"/>
      <c r="QFP745" s="487"/>
      <c r="QFQ745" s="487"/>
      <c r="QFR745" s="487"/>
      <c r="QFS745" s="487"/>
      <c r="QFT745" s="487"/>
      <c r="QFU745" s="487"/>
      <c r="QFV745" s="487"/>
      <c r="QFW745" s="487"/>
      <c r="QFX745" s="487"/>
      <c r="QFY745" s="487"/>
      <c r="QFZ745" s="487"/>
      <c r="QGA745" s="487"/>
      <c r="QGB745" s="487"/>
      <c r="QGC745" s="487"/>
      <c r="QGD745" s="487"/>
      <c r="QGE745" s="487"/>
      <c r="QGF745" s="487"/>
      <c r="QGG745" s="487"/>
      <c r="QGH745" s="487"/>
      <c r="QGI745" s="487"/>
      <c r="QGJ745" s="487"/>
      <c r="QGK745" s="487"/>
      <c r="QGL745" s="487"/>
      <c r="QGM745" s="487"/>
      <c r="QGN745" s="487"/>
      <c r="QGO745" s="487"/>
      <c r="QGP745" s="487"/>
      <c r="QGQ745" s="487"/>
      <c r="QGR745" s="487"/>
      <c r="QGS745" s="487"/>
      <c r="QGT745" s="487"/>
      <c r="QGU745" s="487"/>
      <c r="QGV745" s="487"/>
      <c r="QGW745" s="487"/>
      <c r="QGX745" s="487"/>
      <c r="QGY745" s="487"/>
      <c r="QGZ745" s="487"/>
      <c r="QHA745" s="487"/>
      <c r="QHB745" s="487"/>
      <c r="QHC745" s="487"/>
      <c r="QHD745" s="487"/>
      <c r="QHE745" s="487"/>
      <c r="QHF745" s="487"/>
      <c r="QHG745" s="487"/>
      <c r="QHH745" s="487"/>
      <c r="QHI745" s="487"/>
      <c r="QHJ745" s="487"/>
      <c r="QHK745" s="487"/>
      <c r="QHL745" s="487"/>
      <c r="QHM745" s="487"/>
      <c r="QHN745" s="487"/>
      <c r="QHO745" s="487"/>
      <c r="QHP745" s="487"/>
      <c r="QHQ745" s="487"/>
      <c r="QHR745" s="487"/>
      <c r="QHS745" s="487"/>
      <c r="QHT745" s="487"/>
      <c r="QHU745" s="487"/>
      <c r="QHV745" s="487"/>
      <c r="QHW745" s="487"/>
      <c r="QHX745" s="487"/>
      <c r="QHY745" s="487"/>
      <c r="QHZ745" s="487"/>
      <c r="QIA745" s="487"/>
      <c r="QIB745" s="487"/>
      <c r="QIC745" s="487"/>
      <c r="QID745" s="487"/>
      <c r="QIE745" s="487"/>
      <c r="QIF745" s="487"/>
      <c r="QIG745" s="487"/>
      <c r="QIH745" s="487"/>
      <c r="QII745" s="487"/>
      <c r="QIJ745" s="487"/>
      <c r="QIK745" s="487"/>
      <c r="QIL745" s="487"/>
      <c r="QIM745" s="487"/>
      <c r="QIN745" s="487"/>
      <c r="QIO745" s="487"/>
      <c r="QIP745" s="487"/>
      <c r="QIQ745" s="487"/>
      <c r="QIR745" s="487"/>
      <c r="QIS745" s="487"/>
      <c r="QIT745" s="487"/>
      <c r="QIU745" s="487"/>
      <c r="QIV745" s="487"/>
      <c r="QIW745" s="487"/>
      <c r="QIX745" s="487"/>
      <c r="QIY745" s="487"/>
      <c r="QIZ745" s="487"/>
      <c r="QJA745" s="487"/>
      <c r="QJB745" s="487"/>
      <c r="QJC745" s="487"/>
      <c r="QJD745" s="487"/>
      <c r="QJE745" s="487"/>
      <c r="QJF745" s="487"/>
      <c r="QJG745" s="487"/>
      <c r="QJH745" s="487"/>
      <c r="QJI745" s="487"/>
      <c r="QJJ745" s="487"/>
      <c r="QJK745" s="487"/>
      <c r="QJL745" s="487"/>
      <c r="QJM745" s="487"/>
      <c r="QJN745" s="487"/>
      <c r="QJO745" s="487"/>
      <c r="QJP745" s="487"/>
      <c r="QJQ745" s="487"/>
      <c r="QJR745" s="487"/>
      <c r="QJS745" s="487"/>
      <c r="QJT745" s="487"/>
      <c r="QJU745" s="487"/>
      <c r="QJV745" s="487"/>
      <c r="QJW745" s="487"/>
      <c r="QJX745" s="487"/>
      <c r="QJY745" s="487"/>
      <c r="QJZ745" s="487"/>
      <c r="QKA745" s="487"/>
      <c r="QKB745" s="487"/>
      <c r="QKC745" s="487"/>
      <c r="QKD745" s="487"/>
      <c r="QKE745" s="487"/>
      <c r="QKF745" s="487"/>
      <c r="QKG745" s="487"/>
      <c r="QKH745" s="487"/>
      <c r="QKI745" s="487"/>
      <c r="QKJ745" s="487"/>
      <c r="QKK745" s="487"/>
      <c r="QKL745" s="487"/>
      <c r="QKM745" s="487"/>
      <c r="QKN745" s="487"/>
      <c r="QKO745" s="487"/>
      <c r="QKP745" s="487"/>
      <c r="QKQ745" s="487"/>
      <c r="QKR745" s="487"/>
      <c r="QKS745" s="487"/>
      <c r="QKT745" s="487"/>
      <c r="QKU745" s="487"/>
      <c r="QKV745" s="487"/>
      <c r="QKW745" s="487"/>
      <c r="QKX745" s="487"/>
      <c r="QKY745" s="487"/>
      <c r="QKZ745" s="487"/>
      <c r="QLA745" s="487"/>
      <c r="QLB745" s="487"/>
      <c r="QLC745" s="487"/>
      <c r="QLD745" s="487"/>
      <c r="QLE745" s="487"/>
      <c r="QLF745" s="487"/>
      <c r="QLG745" s="487"/>
      <c r="QLH745" s="487"/>
      <c r="QLI745" s="487"/>
      <c r="QLJ745" s="487"/>
      <c r="QLK745" s="487"/>
      <c r="QLL745" s="487"/>
      <c r="QLM745" s="487"/>
      <c r="QLN745" s="487"/>
      <c r="QLO745" s="487"/>
      <c r="QLP745" s="487"/>
      <c r="QLQ745" s="487"/>
      <c r="QLR745" s="487"/>
      <c r="QLS745" s="487"/>
      <c r="QLT745" s="487"/>
      <c r="QLU745" s="487"/>
      <c r="QLV745" s="487"/>
      <c r="QLW745" s="487"/>
      <c r="QLX745" s="487"/>
      <c r="QLY745" s="487"/>
      <c r="QLZ745" s="487"/>
      <c r="QMA745" s="487"/>
      <c r="QMB745" s="487"/>
      <c r="QMC745" s="487"/>
      <c r="QMD745" s="487"/>
      <c r="QME745" s="487"/>
      <c r="QMF745" s="487"/>
      <c r="QMG745" s="487"/>
      <c r="QMH745" s="487"/>
      <c r="QMI745" s="487"/>
      <c r="QMJ745" s="487"/>
      <c r="QMK745" s="487"/>
      <c r="QML745" s="487"/>
      <c r="QMM745" s="487"/>
      <c r="QMN745" s="487"/>
      <c r="QMO745" s="487"/>
      <c r="QMP745" s="487"/>
      <c r="QMQ745" s="487"/>
      <c r="QMR745" s="487"/>
      <c r="QMS745" s="487"/>
      <c r="QMT745" s="487"/>
      <c r="QMU745" s="487"/>
      <c r="QMV745" s="487"/>
      <c r="QMW745" s="487"/>
      <c r="QMX745" s="487"/>
      <c r="QMY745" s="487"/>
      <c r="QMZ745" s="487"/>
      <c r="QNA745" s="487"/>
      <c r="QNB745" s="487"/>
      <c r="QNC745" s="487"/>
      <c r="QND745" s="487"/>
      <c r="QNE745" s="487"/>
      <c r="QNF745" s="487"/>
      <c r="QNG745" s="487"/>
      <c r="QNH745" s="487"/>
      <c r="QNI745" s="487"/>
      <c r="QNJ745" s="487"/>
      <c r="QNK745" s="487"/>
      <c r="QNL745" s="487"/>
      <c r="QNM745" s="487"/>
      <c r="QNN745" s="487"/>
      <c r="QNO745" s="487"/>
      <c r="QNP745" s="487"/>
      <c r="QNQ745" s="487"/>
      <c r="QNR745" s="487"/>
      <c r="QNS745" s="487"/>
      <c r="QNT745" s="487"/>
      <c r="QNU745" s="487"/>
      <c r="QNV745" s="487"/>
      <c r="QNW745" s="487"/>
      <c r="QNX745" s="487"/>
      <c r="QNY745" s="487"/>
      <c r="QNZ745" s="487"/>
      <c r="QOA745" s="487"/>
      <c r="QOB745" s="487"/>
      <c r="QOC745" s="487"/>
      <c r="QOD745" s="487"/>
      <c r="QOE745" s="487"/>
      <c r="QOF745" s="487"/>
      <c r="QOG745" s="487"/>
      <c r="QOH745" s="487"/>
      <c r="QOI745" s="487"/>
      <c r="QOJ745" s="487"/>
      <c r="QOK745" s="487"/>
      <c r="QOL745" s="487"/>
      <c r="QOM745" s="487"/>
      <c r="QON745" s="487"/>
      <c r="QOO745" s="487"/>
      <c r="QOP745" s="487"/>
      <c r="QOQ745" s="487"/>
      <c r="QOR745" s="487"/>
      <c r="QOS745" s="487"/>
      <c r="QOT745" s="487"/>
      <c r="QOU745" s="487"/>
      <c r="QOV745" s="487"/>
      <c r="QOW745" s="487"/>
      <c r="QOX745" s="487"/>
      <c r="QOY745" s="487"/>
      <c r="QOZ745" s="487"/>
      <c r="QPA745" s="487"/>
      <c r="QPB745" s="487"/>
      <c r="QPC745" s="487"/>
      <c r="QPD745" s="487"/>
      <c r="QPE745" s="487"/>
      <c r="QPF745" s="487"/>
      <c r="QPG745" s="487"/>
      <c r="QPH745" s="487"/>
      <c r="QPI745" s="487"/>
      <c r="QPJ745" s="487"/>
      <c r="QPK745" s="487"/>
      <c r="QPL745" s="487"/>
      <c r="QPM745" s="487"/>
      <c r="QPN745" s="487"/>
      <c r="QPO745" s="487"/>
      <c r="QPP745" s="487"/>
      <c r="QPQ745" s="487"/>
      <c r="QPR745" s="487"/>
      <c r="QPS745" s="487"/>
      <c r="QPT745" s="487"/>
      <c r="QPU745" s="487"/>
      <c r="QPV745" s="487"/>
      <c r="QPW745" s="487"/>
      <c r="QPX745" s="487"/>
      <c r="QPY745" s="487"/>
      <c r="QPZ745" s="487"/>
      <c r="QQA745" s="487"/>
      <c r="QQB745" s="487"/>
      <c r="QQC745" s="487"/>
      <c r="QQD745" s="487"/>
      <c r="QQE745" s="487"/>
      <c r="QQF745" s="487"/>
      <c r="QQG745" s="487"/>
      <c r="QQH745" s="487"/>
      <c r="QQI745" s="487"/>
      <c r="QQJ745" s="487"/>
      <c r="QQK745" s="487"/>
      <c r="QQL745" s="487"/>
      <c r="QQM745" s="487"/>
      <c r="QQN745" s="487"/>
      <c r="QQO745" s="487"/>
      <c r="QQP745" s="487"/>
      <c r="QQQ745" s="487"/>
      <c r="QQR745" s="487"/>
      <c r="QQS745" s="487"/>
      <c r="QQT745" s="487"/>
      <c r="QQU745" s="487"/>
      <c r="QQV745" s="487"/>
      <c r="QQW745" s="487"/>
      <c r="QQX745" s="487"/>
      <c r="QQY745" s="487"/>
      <c r="QQZ745" s="487"/>
      <c r="QRA745" s="487"/>
      <c r="QRB745" s="487"/>
      <c r="QRC745" s="487"/>
      <c r="QRD745" s="487"/>
      <c r="QRE745" s="487"/>
      <c r="QRF745" s="487"/>
      <c r="QRG745" s="487"/>
      <c r="QRH745" s="487"/>
      <c r="QRI745" s="487"/>
      <c r="QRJ745" s="487"/>
      <c r="QRK745" s="487"/>
      <c r="QRL745" s="487"/>
      <c r="QRM745" s="487"/>
      <c r="QRN745" s="487"/>
      <c r="QRO745" s="487"/>
      <c r="QRP745" s="487"/>
      <c r="QRQ745" s="487"/>
      <c r="QRR745" s="487"/>
      <c r="QRS745" s="487"/>
      <c r="QRT745" s="487"/>
      <c r="QRU745" s="487"/>
      <c r="QRV745" s="487"/>
      <c r="QRW745" s="487"/>
      <c r="QRX745" s="487"/>
      <c r="QRY745" s="487"/>
      <c r="QRZ745" s="487"/>
      <c r="QSA745" s="487"/>
      <c r="QSB745" s="487"/>
      <c r="QSC745" s="487"/>
      <c r="QSD745" s="487"/>
      <c r="QSE745" s="487"/>
      <c r="QSF745" s="487"/>
      <c r="QSG745" s="487"/>
      <c r="QSH745" s="487"/>
      <c r="QSI745" s="487"/>
      <c r="QSJ745" s="487"/>
      <c r="QSK745" s="487"/>
      <c r="QSL745" s="487"/>
      <c r="QSM745" s="487"/>
      <c r="QSN745" s="487"/>
      <c r="QSO745" s="487"/>
      <c r="QSP745" s="487"/>
      <c r="QSQ745" s="487"/>
      <c r="QSR745" s="487"/>
      <c r="QSS745" s="487"/>
      <c r="QST745" s="487"/>
      <c r="QSU745" s="487"/>
      <c r="QSV745" s="487"/>
      <c r="QSW745" s="487"/>
      <c r="QSX745" s="487"/>
      <c r="QSY745" s="487"/>
      <c r="QSZ745" s="487"/>
      <c r="QTA745" s="487"/>
      <c r="QTB745" s="487"/>
      <c r="QTC745" s="487"/>
      <c r="QTD745" s="487"/>
      <c r="QTE745" s="487"/>
      <c r="QTF745" s="487"/>
      <c r="QTG745" s="487"/>
      <c r="QTH745" s="487"/>
      <c r="QTI745" s="487"/>
      <c r="QTJ745" s="487"/>
      <c r="QTK745" s="487"/>
      <c r="QTL745" s="487"/>
      <c r="QTM745" s="487"/>
      <c r="QTN745" s="487"/>
      <c r="QTO745" s="487"/>
      <c r="QTP745" s="487"/>
      <c r="QTQ745" s="487"/>
      <c r="QTR745" s="487"/>
      <c r="QTS745" s="487"/>
      <c r="QTT745" s="487"/>
      <c r="QTU745" s="487"/>
      <c r="QTV745" s="487"/>
      <c r="QTW745" s="487"/>
      <c r="QTX745" s="487"/>
      <c r="QTY745" s="487"/>
      <c r="QTZ745" s="487"/>
      <c r="QUA745" s="487"/>
      <c r="QUB745" s="487"/>
      <c r="QUC745" s="487"/>
      <c r="QUD745" s="487"/>
      <c r="QUE745" s="487"/>
      <c r="QUF745" s="487"/>
      <c r="QUG745" s="487"/>
      <c r="QUH745" s="487"/>
      <c r="QUI745" s="487"/>
      <c r="QUJ745" s="487"/>
      <c r="QUK745" s="487"/>
      <c r="QUL745" s="487"/>
      <c r="QUM745" s="487"/>
      <c r="QUN745" s="487"/>
      <c r="QUO745" s="487"/>
      <c r="QUP745" s="487"/>
      <c r="QUQ745" s="487"/>
      <c r="QUR745" s="487"/>
      <c r="QUS745" s="487"/>
      <c r="QUT745" s="487"/>
      <c r="QUU745" s="487"/>
      <c r="QUV745" s="487"/>
      <c r="QUW745" s="487"/>
      <c r="QUX745" s="487"/>
      <c r="QUY745" s="487"/>
      <c r="QUZ745" s="487"/>
      <c r="QVA745" s="487"/>
      <c r="QVB745" s="487"/>
      <c r="QVC745" s="487"/>
      <c r="QVD745" s="487"/>
      <c r="QVE745" s="487"/>
      <c r="QVF745" s="487"/>
      <c r="QVG745" s="487"/>
      <c r="QVH745" s="487"/>
      <c r="QVI745" s="487"/>
      <c r="QVJ745" s="487"/>
      <c r="QVK745" s="487"/>
      <c r="QVL745" s="487"/>
      <c r="QVM745" s="487"/>
      <c r="QVN745" s="487"/>
      <c r="QVO745" s="487"/>
      <c r="QVP745" s="487"/>
      <c r="QVQ745" s="487"/>
      <c r="QVR745" s="487"/>
      <c r="QVS745" s="487"/>
      <c r="QVT745" s="487"/>
      <c r="QVU745" s="487"/>
      <c r="QVV745" s="487"/>
      <c r="QVW745" s="487"/>
      <c r="QVX745" s="487"/>
      <c r="QVY745" s="487"/>
      <c r="QVZ745" s="487"/>
      <c r="QWA745" s="487"/>
      <c r="QWB745" s="487"/>
      <c r="QWC745" s="487"/>
      <c r="QWD745" s="487"/>
      <c r="QWE745" s="487"/>
      <c r="QWF745" s="487"/>
      <c r="QWG745" s="487"/>
      <c r="QWH745" s="487"/>
      <c r="QWI745" s="487"/>
      <c r="QWJ745" s="487"/>
      <c r="QWK745" s="487"/>
      <c r="QWL745" s="487"/>
      <c r="QWM745" s="487"/>
      <c r="QWN745" s="487"/>
      <c r="QWO745" s="487"/>
      <c r="QWP745" s="487"/>
      <c r="QWQ745" s="487"/>
      <c r="QWR745" s="487"/>
      <c r="QWS745" s="487"/>
      <c r="QWT745" s="487"/>
      <c r="QWU745" s="487"/>
      <c r="QWV745" s="487"/>
      <c r="QWW745" s="487"/>
      <c r="QWX745" s="487"/>
      <c r="QWY745" s="487"/>
      <c r="QWZ745" s="487"/>
      <c r="QXA745" s="487"/>
      <c r="QXB745" s="487"/>
      <c r="QXC745" s="487"/>
      <c r="QXD745" s="487"/>
      <c r="QXE745" s="487"/>
      <c r="QXF745" s="487"/>
      <c r="QXG745" s="487"/>
      <c r="QXH745" s="487"/>
      <c r="QXI745" s="487"/>
      <c r="QXJ745" s="487"/>
      <c r="QXK745" s="487"/>
      <c r="QXL745" s="487"/>
      <c r="QXM745" s="487"/>
      <c r="QXN745" s="487"/>
      <c r="QXO745" s="487"/>
      <c r="QXP745" s="487"/>
      <c r="QXQ745" s="487"/>
      <c r="QXR745" s="487"/>
      <c r="QXS745" s="487"/>
      <c r="QXT745" s="487"/>
      <c r="QXU745" s="487"/>
      <c r="QXV745" s="487"/>
      <c r="QXW745" s="487"/>
      <c r="QXX745" s="487"/>
      <c r="QXY745" s="487"/>
      <c r="QXZ745" s="487"/>
      <c r="QYA745" s="487"/>
      <c r="QYB745" s="487"/>
      <c r="QYC745" s="487"/>
      <c r="QYD745" s="487"/>
      <c r="QYE745" s="487"/>
      <c r="QYF745" s="487"/>
      <c r="QYG745" s="487"/>
      <c r="QYH745" s="487"/>
      <c r="QYI745" s="487"/>
      <c r="QYJ745" s="487"/>
      <c r="QYK745" s="487"/>
      <c r="QYL745" s="487"/>
      <c r="QYM745" s="487"/>
      <c r="QYN745" s="487"/>
      <c r="QYO745" s="487"/>
      <c r="QYP745" s="487"/>
      <c r="QYQ745" s="487"/>
      <c r="QYR745" s="487"/>
      <c r="QYS745" s="487"/>
      <c r="QYT745" s="487"/>
      <c r="QYU745" s="487"/>
      <c r="QYV745" s="487"/>
      <c r="QYW745" s="487"/>
      <c r="QYX745" s="487"/>
      <c r="QYY745" s="487"/>
      <c r="QYZ745" s="487"/>
      <c r="QZA745" s="487"/>
      <c r="QZB745" s="487"/>
      <c r="QZC745" s="487"/>
      <c r="QZD745" s="487"/>
      <c r="QZE745" s="487"/>
      <c r="QZF745" s="487"/>
      <c r="QZG745" s="487"/>
      <c r="QZH745" s="487"/>
      <c r="QZI745" s="487"/>
      <c r="QZJ745" s="487"/>
      <c r="QZK745" s="487"/>
      <c r="QZL745" s="487"/>
      <c r="QZM745" s="487"/>
      <c r="QZN745" s="487"/>
      <c r="QZO745" s="487"/>
      <c r="QZP745" s="487"/>
      <c r="QZQ745" s="487"/>
      <c r="QZR745" s="487"/>
      <c r="QZS745" s="487"/>
      <c r="QZT745" s="487"/>
      <c r="QZU745" s="487"/>
      <c r="QZV745" s="487"/>
      <c r="QZW745" s="487"/>
      <c r="QZX745" s="487"/>
      <c r="QZY745" s="487"/>
      <c r="QZZ745" s="487"/>
      <c r="RAA745" s="487"/>
      <c r="RAB745" s="487"/>
      <c r="RAC745" s="487"/>
      <c r="RAD745" s="487"/>
      <c r="RAE745" s="487"/>
      <c r="RAF745" s="487"/>
      <c r="RAG745" s="487"/>
      <c r="RAH745" s="487"/>
      <c r="RAI745" s="487"/>
      <c r="RAJ745" s="487"/>
      <c r="RAK745" s="487"/>
      <c r="RAL745" s="487"/>
      <c r="RAM745" s="487"/>
      <c r="RAN745" s="487"/>
      <c r="RAO745" s="487"/>
      <c r="RAP745" s="487"/>
      <c r="RAQ745" s="487"/>
      <c r="RAR745" s="487"/>
      <c r="RAS745" s="487"/>
      <c r="RAT745" s="487"/>
      <c r="RAU745" s="487"/>
      <c r="RAV745" s="487"/>
      <c r="RAW745" s="487"/>
      <c r="RAX745" s="487"/>
      <c r="RAY745" s="487"/>
      <c r="RAZ745" s="487"/>
      <c r="RBA745" s="487"/>
      <c r="RBB745" s="487"/>
      <c r="RBC745" s="487"/>
      <c r="RBD745" s="487"/>
      <c r="RBE745" s="487"/>
      <c r="RBF745" s="487"/>
      <c r="RBG745" s="487"/>
      <c r="RBH745" s="487"/>
      <c r="RBI745" s="487"/>
      <c r="RBJ745" s="487"/>
      <c r="RBK745" s="487"/>
      <c r="RBL745" s="487"/>
      <c r="RBM745" s="487"/>
      <c r="RBN745" s="487"/>
      <c r="RBO745" s="487"/>
      <c r="RBP745" s="487"/>
      <c r="RBQ745" s="487"/>
      <c r="RBR745" s="487"/>
      <c r="RBS745" s="487"/>
      <c r="RBT745" s="487"/>
      <c r="RBU745" s="487"/>
      <c r="RBV745" s="487"/>
      <c r="RBW745" s="487"/>
      <c r="RBX745" s="487"/>
      <c r="RBY745" s="487"/>
      <c r="RBZ745" s="487"/>
      <c r="RCA745" s="487"/>
      <c r="RCB745" s="487"/>
      <c r="RCC745" s="487"/>
      <c r="RCD745" s="487"/>
      <c r="RCE745" s="487"/>
      <c r="RCF745" s="487"/>
      <c r="RCG745" s="487"/>
      <c r="RCH745" s="487"/>
      <c r="RCI745" s="487"/>
      <c r="RCJ745" s="487"/>
      <c r="RCK745" s="487"/>
      <c r="RCL745" s="487"/>
      <c r="RCM745" s="487"/>
      <c r="RCN745" s="487"/>
      <c r="RCO745" s="487"/>
      <c r="RCP745" s="487"/>
      <c r="RCQ745" s="487"/>
      <c r="RCR745" s="487"/>
      <c r="RCS745" s="487"/>
      <c r="RCT745" s="487"/>
      <c r="RCU745" s="487"/>
      <c r="RCV745" s="487"/>
      <c r="RCW745" s="487"/>
      <c r="RCX745" s="487"/>
      <c r="RCY745" s="487"/>
      <c r="RCZ745" s="487"/>
      <c r="RDA745" s="487"/>
      <c r="RDB745" s="487"/>
      <c r="RDC745" s="487"/>
      <c r="RDD745" s="487"/>
      <c r="RDE745" s="487"/>
      <c r="RDF745" s="487"/>
      <c r="RDG745" s="487"/>
      <c r="RDH745" s="487"/>
      <c r="RDI745" s="487"/>
      <c r="RDJ745" s="487"/>
      <c r="RDK745" s="487"/>
      <c r="RDL745" s="487"/>
      <c r="RDM745" s="487"/>
      <c r="RDN745" s="487"/>
      <c r="RDO745" s="487"/>
      <c r="RDP745" s="487"/>
      <c r="RDQ745" s="487"/>
      <c r="RDR745" s="487"/>
      <c r="RDS745" s="487"/>
      <c r="RDT745" s="487"/>
      <c r="RDU745" s="487"/>
      <c r="RDV745" s="487"/>
      <c r="RDW745" s="487"/>
      <c r="RDX745" s="487"/>
      <c r="RDY745" s="487"/>
      <c r="RDZ745" s="487"/>
      <c r="REA745" s="487"/>
      <c r="REB745" s="487"/>
      <c r="REC745" s="487"/>
      <c r="RED745" s="487"/>
      <c r="REE745" s="487"/>
      <c r="REF745" s="487"/>
      <c r="REG745" s="487"/>
      <c r="REH745" s="487"/>
      <c r="REI745" s="487"/>
      <c r="REJ745" s="487"/>
      <c r="REK745" s="487"/>
      <c r="REL745" s="487"/>
      <c r="REM745" s="487"/>
      <c r="REN745" s="487"/>
      <c r="REO745" s="487"/>
      <c r="REP745" s="487"/>
      <c r="REQ745" s="487"/>
      <c r="RER745" s="487"/>
      <c r="RES745" s="487"/>
      <c r="RET745" s="487"/>
      <c r="REU745" s="487"/>
      <c r="REV745" s="487"/>
      <c r="REW745" s="487"/>
      <c r="REX745" s="487"/>
      <c r="REY745" s="487"/>
      <c r="REZ745" s="487"/>
      <c r="RFA745" s="487"/>
      <c r="RFB745" s="487"/>
      <c r="RFC745" s="487"/>
      <c r="RFD745" s="487"/>
      <c r="RFE745" s="487"/>
      <c r="RFF745" s="487"/>
      <c r="RFG745" s="487"/>
      <c r="RFH745" s="487"/>
      <c r="RFI745" s="487"/>
      <c r="RFJ745" s="487"/>
      <c r="RFK745" s="487"/>
      <c r="RFL745" s="487"/>
      <c r="RFM745" s="487"/>
      <c r="RFN745" s="487"/>
      <c r="RFO745" s="487"/>
      <c r="RFP745" s="487"/>
      <c r="RFQ745" s="487"/>
      <c r="RFR745" s="487"/>
      <c r="RFS745" s="487"/>
      <c r="RFT745" s="487"/>
      <c r="RFU745" s="487"/>
      <c r="RFV745" s="487"/>
      <c r="RFW745" s="487"/>
      <c r="RFX745" s="487"/>
      <c r="RFY745" s="487"/>
      <c r="RFZ745" s="487"/>
      <c r="RGA745" s="487"/>
      <c r="RGB745" s="487"/>
      <c r="RGC745" s="487"/>
      <c r="RGD745" s="487"/>
      <c r="RGE745" s="487"/>
      <c r="RGF745" s="487"/>
      <c r="RGG745" s="487"/>
      <c r="RGH745" s="487"/>
      <c r="RGI745" s="487"/>
      <c r="RGJ745" s="487"/>
      <c r="RGK745" s="487"/>
      <c r="RGL745" s="487"/>
      <c r="RGM745" s="487"/>
      <c r="RGN745" s="487"/>
      <c r="RGO745" s="487"/>
      <c r="RGP745" s="487"/>
      <c r="RGQ745" s="487"/>
      <c r="RGR745" s="487"/>
      <c r="RGS745" s="487"/>
      <c r="RGT745" s="487"/>
      <c r="RGU745" s="487"/>
      <c r="RGV745" s="487"/>
      <c r="RGW745" s="487"/>
      <c r="RGX745" s="487"/>
      <c r="RGY745" s="487"/>
      <c r="RGZ745" s="487"/>
      <c r="RHA745" s="487"/>
      <c r="RHB745" s="487"/>
      <c r="RHC745" s="487"/>
      <c r="RHD745" s="487"/>
      <c r="RHE745" s="487"/>
      <c r="RHF745" s="487"/>
      <c r="RHG745" s="487"/>
      <c r="RHH745" s="487"/>
      <c r="RHI745" s="487"/>
      <c r="RHJ745" s="487"/>
      <c r="RHK745" s="487"/>
      <c r="RHL745" s="487"/>
      <c r="RHM745" s="487"/>
      <c r="RHN745" s="487"/>
      <c r="RHO745" s="487"/>
      <c r="RHP745" s="487"/>
      <c r="RHQ745" s="487"/>
      <c r="RHR745" s="487"/>
      <c r="RHS745" s="487"/>
      <c r="RHT745" s="487"/>
      <c r="RHU745" s="487"/>
      <c r="RHV745" s="487"/>
      <c r="RHW745" s="487"/>
      <c r="RHX745" s="487"/>
      <c r="RHY745" s="487"/>
      <c r="RHZ745" s="487"/>
      <c r="RIA745" s="487"/>
      <c r="RIB745" s="487"/>
      <c r="RIC745" s="487"/>
      <c r="RID745" s="487"/>
      <c r="RIE745" s="487"/>
      <c r="RIF745" s="487"/>
      <c r="RIG745" s="487"/>
      <c r="RIH745" s="487"/>
      <c r="RII745" s="487"/>
      <c r="RIJ745" s="487"/>
      <c r="RIK745" s="487"/>
      <c r="RIL745" s="487"/>
      <c r="RIM745" s="487"/>
      <c r="RIN745" s="487"/>
      <c r="RIO745" s="487"/>
      <c r="RIP745" s="487"/>
      <c r="RIQ745" s="487"/>
      <c r="RIR745" s="487"/>
      <c r="RIS745" s="487"/>
      <c r="RIT745" s="487"/>
      <c r="RIU745" s="487"/>
      <c r="RIV745" s="487"/>
      <c r="RIW745" s="487"/>
      <c r="RIX745" s="487"/>
      <c r="RIY745" s="487"/>
      <c r="RIZ745" s="487"/>
      <c r="RJA745" s="487"/>
      <c r="RJB745" s="487"/>
      <c r="RJC745" s="487"/>
      <c r="RJD745" s="487"/>
      <c r="RJE745" s="487"/>
      <c r="RJF745" s="487"/>
      <c r="RJG745" s="487"/>
      <c r="RJH745" s="487"/>
      <c r="RJI745" s="487"/>
      <c r="RJJ745" s="487"/>
      <c r="RJK745" s="487"/>
      <c r="RJL745" s="487"/>
      <c r="RJM745" s="487"/>
      <c r="RJN745" s="487"/>
      <c r="RJO745" s="487"/>
      <c r="RJP745" s="487"/>
      <c r="RJQ745" s="487"/>
      <c r="RJR745" s="487"/>
      <c r="RJS745" s="487"/>
      <c r="RJT745" s="487"/>
      <c r="RJU745" s="487"/>
      <c r="RJV745" s="487"/>
      <c r="RJW745" s="487"/>
      <c r="RJX745" s="487"/>
      <c r="RJY745" s="487"/>
      <c r="RJZ745" s="487"/>
      <c r="RKA745" s="487"/>
      <c r="RKB745" s="487"/>
      <c r="RKC745" s="487"/>
      <c r="RKD745" s="487"/>
      <c r="RKE745" s="487"/>
      <c r="RKF745" s="487"/>
      <c r="RKG745" s="487"/>
      <c r="RKH745" s="487"/>
      <c r="RKI745" s="487"/>
      <c r="RKJ745" s="487"/>
      <c r="RKK745" s="487"/>
      <c r="RKL745" s="487"/>
      <c r="RKM745" s="487"/>
      <c r="RKN745" s="487"/>
      <c r="RKO745" s="487"/>
      <c r="RKP745" s="487"/>
      <c r="RKQ745" s="487"/>
      <c r="RKR745" s="487"/>
      <c r="RKS745" s="487"/>
      <c r="RKT745" s="487"/>
      <c r="RKU745" s="487"/>
      <c r="RKV745" s="487"/>
      <c r="RKW745" s="487"/>
      <c r="RKX745" s="487"/>
      <c r="RKY745" s="487"/>
      <c r="RKZ745" s="487"/>
      <c r="RLA745" s="487"/>
      <c r="RLB745" s="487"/>
      <c r="RLC745" s="487"/>
      <c r="RLD745" s="487"/>
      <c r="RLE745" s="487"/>
      <c r="RLF745" s="487"/>
      <c r="RLG745" s="487"/>
      <c r="RLH745" s="487"/>
      <c r="RLI745" s="487"/>
      <c r="RLJ745" s="487"/>
      <c r="RLK745" s="487"/>
      <c r="RLL745" s="487"/>
      <c r="RLM745" s="487"/>
      <c r="RLN745" s="487"/>
      <c r="RLO745" s="487"/>
      <c r="RLP745" s="487"/>
      <c r="RLQ745" s="487"/>
      <c r="RLR745" s="487"/>
      <c r="RLS745" s="487"/>
      <c r="RLT745" s="487"/>
      <c r="RLU745" s="487"/>
      <c r="RLV745" s="487"/>
      <c r="RLW745" s="487"/>
      <c r="RLX745" s="487"/>
      <c r="RLY745" s="487"/>
      <c r="RLZ745" s="487"/>
      <c r="RMA745" s="487"/>
      <c r="RMB745" s="487"/>
      <c r="RMC745" s="487"/>
      <c r="RMD745" s="487"/>
      <c r="RME745" s="487"/>
      <c r="RMF745" s="487"/>
      <c r="RMG745" s="487"/>
      <c r="RMH745" s="487"/>
      <c r="RMI745" s="487"/>
      <c r="RMJ745" s="487"/>
      <c r="RMK745" s="487"/>
      <c r="RML745" s="487"/>
      <c r="RMM745" s="487"/>
      <c r="RMN745" s="487"/>
      <c r="RMO745" s="487"/>
      <c r="RMP745" s="487"/>
      <c r="RMQ745" s="487"/>
      <c r="RMR745" s="487"/>
      <c r="RMS745" s="487"/>
      <c r="RMT745" s="487"/>
      <c r="RMU745" s="487"/>
      <c r="RMV745" s="487"/>
      <c r="RMW745" s="487"/>
      <c r="RMX745" s="487"/>
      <c r="RMY745" s="487"/>
      <c r="RMZ745" s="487"/>
      <c r="RNA745" s="487"/>
      <c r="RNB745" s="487"/>
      <c r="RNC745" s="487"/>
      <c r="RND745" s="487"/>
      <c r="RNE745" s="487"/>
      <c r="RNF745" s="487"/>
      <c r="RNG745" s="487"/>
      <c r="RNH745" s="487"/>
      <c r="RNI745" s="487"/>
      <c r="RNJ745" s="487"/>
      <c r="RNK745" s="487"/>
      <c r="RNL745" s="487"/>
      <c r="RNM745" s="487"/>
      <c r="RNN745" s="487"/>
      <c r="RNO745" s="487"/>
      <c r="RNP745" s="487"/>
      <c r="RNQ745" s="487"/>
      <c r="RNR745" s="487"/>
      <c r="RNS745" s="487"/>
      <c r="RNT745" s="487"/>
      <c r="RNU745" s="487"/>
      <c r="RNV745" s="487"/>
      <c r="RNW745" s="487"/>
      <c r="RNX745" s="487"/>
      <c r="RNY745" s="487"/>
      <c r="RNZ745" s="487"/>
      <c r="ROA745" s="487"/>
      <c r="ROB745" s="487"/>
      <c r="ROC745" s="487"/>
      <c r="ROD745" s="487"/>
      <c r="ROE745" s="487"/>
      <c r="ROF745" s="487"/>
      <c r="ROG745" s="487"/>
      <c r="ROH745" s="487"/>
      <c r="ROI745" s="487"/>
      <c r="ROJ745" s="487"/>
      <c r="ROK745" s="487"/>
      <c r="ROL745" s="487"/>
      <c r="ROM745" s="487"/>
      <c r="RON745" s="487"/>
      <c r="ROO745" s="487"/>
      <c r="ROP745" s="487"/>
      <c r="ROQ745" s="487"/>
      <c r="ROR745" s="487"/>
      <c r="ROS745" s="487"/>
      <c r="ROT745" s="487"/>
      <c r="ROU745" s="487"/>
      <c r="ROV745" s="487"/>
      <c r="ROW745" s="487"/>
      <c r="ROX745" s="487"/>
      <c r="ROY745" s="487"/>
      <c r="ROZ745" s="487"/>
      <c r="RPA745" s="487"/>
      <c r="RPB745" s="487"/>
      <c r="RPC745" s="487"/>
      <c r="RPD745" s="487"/>
      <c r="RPE745" s="487"/>
      <c r="RPF745" s="487"/>
      <c r="RPG745" s="487"/>
      <c r="RPH745" s="487"/>
      <c r="RPI745" s="487"/>
      <c r="RPJ745" s="487"/>
      <c r="RPK745" s="487"/>
      <c r="RPL745" s="487"/>
      <c r="RPM745" s="487"/>
      <c r="RPN745" s="487"/>
      <c r="RPO745" s="487"/>
      <c r="RPP745" s="487"/>
      <c r="RPQ745" s="487"/>
      <c r="RPR745" s="487"/>
      <c r="RPS745" s="487"/>
      <c r="RPT745" s="487"/>
      <c r="RPU745" s="487"/>
      <c r="RPV745" s="487"/>
      <c r="RPW745" s="487"/>
      <c r="RPX745" s="487"/>
      <c r="RPY745" s="487"/>
      <c r="RPZ745" s="487"/>
      <c r="RQA745" s="487"/>
      <c r="RQB745" s="487"/>
      <c r="RQC745" s="487"/>
      <c r="RQD745" s="487"/>
      <c r="RQE745" s="487"/>
      <c r="RQF745" s="487"/>
      <c r="RQG745" s="487"/>
      <c r="RQH745" s="487"/>
      <c r="RQI745" s="487"/>
      <c r="RQJ745" s="487"/>
      <c r="RQK745" s="487"/>
      <c r="RQL745" s="487"/>
      <c r="RQM745" s="487"/>
      <c r="RQN745" s="487"/>
      <c r="RQO745" s="487"/>
      <c r="RQP745" s="487"/>
      <c r="RQQ745" s="487"/>
      <c r="RQR745" s="487"/>
      <c r="RQS745" s="487"/>
      <c r="RQT745" s="487"/>
      <c r="RQU745" s="487"/>
      <c r="RQV745" s="487"/>
      <c r="RQW745" s="487"/>
      <c r="RQX745" s="487"/>
      <c r="RQY745" s="487"/>
      <c r="RQZ745" s="487"/>
      <c r="RRA745" s="487"/>
      <c r="RRB745" s="487"/>
      <c r="RRC745" s="487"/>
      <c r="RRD745" s="487"/>
      <c r="RRE745" s="487"/>
      <c r="RRF745" s="487"/>
      <c r="RRG745" s="487"/>
      <c r="RRH745" s="487"/>
      <c r="RRI745" s="487"/>
      <c r="RRJ745" s="487"/>
      <c r="RRK745" s="487"/>
      <c r="RRL745" s="487"/>
      <c r="RRM745" s="487"/>
      <c r="RRN745" s="487"/>
      <c r="RRO745" s="487"/>
      <c r="RRP745" s="487"/>
      <c r="RRQ745" s="487"/>
      <c r="RRR745" s="487"/>
      <c r="RRS745" s="487"/>
      <c r="RRT745" s="487"/>
      <c r="RRU745" s="487"/>
      <c r="RRV745" s="487"/>
      <c r="RRW745" s="487"/>
      <c r="RRX745" s="487"/>
      <c r="RRY745" s="487"/>
      <c r="RRZ745" s="487"/>
      <c r="RSA745" s="487"/>
      <c r="RSB745" s="487"/>
      <c r="RSC745" s="487"/>
      <c r="RSD745" s="487"/>
      <c r="RSE745" s="487"/>
      <c r="RSF745" s="487"/>
      <c r="RSG745" s="487"/>
      <c r="RSH745" s="487"/>
      <c r="RSI745" s="487"/>
      <c r="RSJ745" s="487"/>
      <c r="RSK745" s="487"/>
      <c r="RSL745" s="487"/>
      <c r="RSM745" s="487"/>
      <c r="RSN745" s="487"/>
      <c r="RSO745" s="487"/>
      <c r="RSP745" s="487"/>
      <c r="RSQ745" s="487"/>
      <c r="RSR745" s="487"/>
      <c r="RSS745" s="487"/>
      <c r="RST745" s="487"/>
      <c r="RSU745" s="487"/>
      <c r="RSV745" s="487"/>
      <c r="RSW745" s="487"/>
      <c r="RSX745" s="487"/>
      <c r="RSY745" s="487"/>
      <c r="RSZ745" s="487"/>
      <c r="RTA745" s="487"/>
      <c r="RTB745" s="487"/>
      <c r="RTC745" s="487"/>
      <c r="RTD745" s="487"/>
      <c r="RTE745" s="487"/>
      <c r="RTF745" s="487"/>
      <c r="RTG745" s="487"/>
      <c r="RTH745" s="487"/>
      <c r="RTI745" s="487"/>
      <c r="RTJ745" s="487"/>
      <c r="RTK745" s="487"/>
      <c r="RTL745" s="487"/>
      <c r="RTM745" s="487"/>
      <c r="RTN745" s="487"/>
      <c r="RTO745" s="487"/>
      <c r="RTP745" s="487"/>
      <c r="RTQ745" s="487"/>
      <c r="RTR745" s="487"/>
      <c r="RTS745" s="487"/>
      <c r="RTT745" s="487"/>
      <c r="RTU745" s="487"/>
      <c r="RTV745" s="487"/>
      <c r="RTW745" s="487"/>
      <c r="RTX745" s="487"/>
      <c r="RTY745" s="487"/>
      <c r="RTZ745" s="487"/>
      <c r="RUA745" s="487"/>
      <c r="RUB745" s="487"/>
      <c r="RUC745" s="487"/>
      <c r="RUD745" s="487"/>
      <c r="RUE745" s="487"/>
      <c r="RUF745" s="487"/>
      <c r="RUG745" s="487"/>
      <c r="RUH745" s="487"/>
      <c r="RUI745" s="487"/>
      <c r="RUJ745" s="487"/>
      <c r="RUK745" s="487"/>
      <c r="RUL745" s="487"/>
      <c r="RUM745" s="487"/>
      <c r="RUN745" s="487"/>
      <c r="RUO745" s="487"/>
      <c r="RUP745" s="487"/>
      <c r="RUQ745" s="487"/>
      <c r="RUR745" s="487"/>
      <c r="RUS745" s="487"/>
      <c r="RUT745" s="487"/>
      <c r="RUU745" s="487"/>
      <c r="RUV745" s="487"/>
      <c r="RUW745" s="487"/>
      <c r="RUX745" s="487"/>
      <c r="RUY745" s="487"/>
      <c r="RUZ745" s="487"/>
      <c r="RVA745" s="487"/>
      <c r="RVB745" s="487"/>
      <c r="RVC745" s="487"/>
      <c r="RVD745" s="487"/>
      <c r="RVE745" s="487"/>
      <c r="RVF745" s="487"/>
      <c r="RVG745" s="487"/>
      <c r="RVH745" s="487"/>
      <c r="RVI745" s="487"/>
      <c r="RVJ745" s="487"/>
      <c r="RVK745" s="487"/>
      <c r="RVL745" s="487"/>
      <c r="RVM745" s="487"/>
      <c r="RVN745" s="487"/>
      <c r="RVO745" s="487"/>
      <c r="RVP745" s="487"/>
      <c r="RVQ745" s="487"/>
      <c r="RVR745" s="487"/>
      <c r="RVS745" s="487"/>
      <c r="RVT745" s="487"/>
      <c r="RVU745" s="487"/>
      <c r="RVV745" s="487"/>
      <c r="RVW745" s="487"/>
      <c r="RVX745" s="487"/>
      <c r="RVY745" s="487"/>
      <c r="RVZ745" s="487"/>
      <c r="RWA745" s="487"/>
      <c r="RWB745" s="487"/>
      <c r="RWC745" s="487"/>
      <c r="RWD745" s="487"/>
      <c r="RWE745" s="487"/>
      <c r="RWF745" s="487"/>
      <c r="RWG745" s="487"/>
      <c r="RWH745" s="487"/>
      <c r="RWI745" s="487"/>
      <c r="RWJ745" s="487"/>
      <c r="RWK745" s="487"/>
      <c r="RWL745" s="487"/>
      <c r="RWM745" s="487"/>
      <c r="RWN745" s="487"/>
      <c r="RWO745" s="487"/>
      <c r="RWP745" s="487"/>
      <c r="RWQ745" s="487"/>
      <c r="RWR745" s="487"/>
      <c r="RWS745" s="487"/>
      <c r="RWT745" s="487"/>
      <c r="RWU745" s="487"/>
      <c r="RWV745" s="487"/>
      <c r="RWW745" s="487"/>
      <c r="RWX745" s="487"/>
      <c r="RWY745" s="487"/>
      <c r="RWZ745" s="487"/>
      <c r="RXA745" s="487"/>
      <c r="RXB745" s="487"/>
      <c r="RXC745" s="487"/>
      <c r="RXD745" s="487"/>
      <c r="RXE745" s="487"/>
      <c r="RXF745" s="487"/>
      <c r="RXG745" s="487"/>
      <c r="RXH745" s="487"/>
      <c r="RXI745" s="487"/>
      <c r="RXJ745" s="487"/>
      <c r="RXK745" s="487"/>
      <c r="RXL745" s="487"/>
      <c r="RXM745" s="487"/>
      <c r="RXN745" s="487"/>
      <c r="RXO745" s="487"/>
      <c r="RXP745" s="487"/>
      <c r="RXQ745" s="487"/>
      <c r="RXR745" s="487"/>
      <c r="RXS745" s="487"/>
      <c r="RXT745" s="487"/>
      <c r="RXU745" s="487"/>
      <c r="RXV745" s="487"/>
      <c r="RXW745" s="487"/>
      <c r="RXX745" s="487"/>
      <c r="RXY745" s="487"/>
      <c r="RXZ745" s="487"/>
      <c r="RYA745" s="487"/>
      <c r="RYB745" s="487"/>
      <c r="RYC745" s="487"/>
      <c r="RYD745" s="487"/>
      <c r="RYE745" s="487"/>
      <c r="RYF745" s="487"/>
      <c r="RYG745" s="487"/>
      <c r="RYH745" s="487"/>
      <c r="RYI745" s="487"/>
      <c r="RYJ745" s="487"/>
      <c r="RYK745" s="487"/>
      <c r="RYL745" s="487"/>
      <c r="RYM745" s="487"/>
      <c r="RYN745" s="487"/>
      <c r="RYO745" s="487"/>
      <c r="RYP745" s="487"/>
      <c r="RYQ745" s="487"/>
      <c r="RYR745" s="487"/>
      <c r="RYS745" s="487"/>
      <c r="RYT745" s="487"/>
      <c r="RYU745" s="487"/>
      <c r="RYV745" s="487"/>
      <c r="RYW745" s="487"/>
      <c r="RYX745" s="487"/>
      <c r="RYY745" s="487"/>
      <c r="RYZ745" s="487"/>
      <c r="RZA745" s="487"/>
      <c r="RZB745" s="487"/>
      <c r="RZC745" s="487"/>
      <c r="RZD745" s="487"/>
      <c r="RZE745" s="487"/>
      <c r="RZF745" s="487"/>
      <c r="RZG745" s="487"/>
      <c r="RZH745" s="487"/>
      <c r="RZI745" s="487"/>
      <c r="RZJ745" s="487"/>
      <c r="RZK745" s="487"/>
      <c r="RZL745" s="487"/>
      <c r="RZM745" s="487"/>
      <c r="RZN745" s="487"/>
      <c r="RZO745" s="487"/>
      <c r="RZP745" s="487"/>
      <c r="RZQ745" s="487"/>
      <c r="RZR745" s="487"/>
      <c r="RZS745" s="487"/>
      <c r="RZT745" s="487"/>
      <c r="RZU745" s="487"/>
      <c r="RZV745" s="487"/>
      <c r="RZW745" s="487"/>
      <c r="RZX745" s="487"/>
      <c r="RZY745" s="487"/>
      <c r="RZZ745" s="487"/>
      <c r="SAA745" s="487"/>
      <c r="SAB745" s="487"/>
      <c r="SAC745" s="487"/>
      <c r="SAD745" s="487"/>
      <c r="SAE745" s="487"/>
      <c r="SAF745" s="487"/>
      <c r="SAG745" s="487"/>
      <c r="SAH745" s="487"/>
      <c r="SAI745" s="487"/>
      <c r="SAJ745" s="487"/>
      <c r="SAK745" s="487"/>
      <c r="SAL745" s="487"/>
      <c r="SAM745" s="487"/>
      <c r="SAN745" s="487"/>
      <c r="SAO745" s="487"/>
      <c r="SAP745" s="487"/>
      <c r="SAQ745" s="487"/>
      <c r="SAR745" s="487"/>
      <c r="SAS745" s="487"/>
      <c r="SAT745" s="487"/>
      <c r="SAU745" s="487"/>
      <c r="SAV745" s="487"/>
      <c r="SAW745" s="487"/>
      <c r="SAX745" s="487"/>
      <c r="SAY745" s="487"/>
      <c r="SAZ745" s="487"/>
      <c r="SBA745" s="487"/>
      <c r="SBB745" s="487"/>
      <c r="SBC745" s="487"/>
      <c r="SBD745" s="487"/>
      <c r="SBE745" s="487"/>
      <c r="SBF745" s="487"/>
      <c r="SBG745" s="487"/>
      <c r="SBH745" s="487"/>
      <c r="SBI745" s="487"/>
      <c r="SBJ745" s="487"/>
      <c r="SBK745" s="487"/>
      <c r="SBL745" s="487"/>
      <c r="SBM745" s="487"/>
      <c r="SBN745" s="487"/>
      <c r="SBO745" s="487"/>
      <c r="SBP745" s="487"/>
      <c r="SBQ745" s="487"/>
      <c r="SBR745" s="487"/>
      <c r="SBS745" s="487"/>
      <c r="SBT745" s="487"/>
      <c r="SBU745" s="487"/>
      <c r="SBV745" s="487"/>
      <c r="SBW745" s="487"/>
      <c r="SBX745" s="487"/>
      <c r="SBY745" s="487"/>
      <c r="SBZ745" s="487"/>
      <c r="SCA745" s="487"/>
      <c r="SCB745" s="487"/>
      <c r="SCC745" s="487"/>
      <c r="SCD745" s="487"/>
      <c r="SCE745" s="487"/>
      <c r="SCF745" s="487"/>
      <c r="SCG745" s="487"/>
      <c r="SCH745" s="487"/>
      <c r="SCI745" s="487"/>
      <c r="SCJ745" s="487"/>
      <c r="SCK745" s="487"/>
      <c r="SCL745" s="487"/>
      <c r="SCM745" s="487"/>
      <c r="SCN745" s="487"/>
      <c r="SCO745" s="487"/>
      <c r="SCP745" s="487"/>
      <c r="SCQ745" s="487"/>
      <c r="SCR745" s="487"/>
      <c r="SCS745" s="487"/>
      <c r="SCT745" s="487"/>
      <c r="SCU745" s="487"/>
      <c r="SCV745" s="487"/>
      <c r="SCW745" s="487"/>
      <c r="SCX745" s="487"/>
      <c r="SCY745" s="487"/>
      <c r="SCZ745" s="487"/>
      <c r="SDA745" s="487"/>
      <c r="SDB745" s="487"/>
      <c r="SDC745" s="487"/>
      <c r="SDD745" s="487"/>
      <c r="SDE745" s="487"/>
      <c r="SDF745" s="487"/>
      <c r="SDG745" s="487"/>
      <c r="SDH745" s="487"/>
      <c r="SDI745" s="487"/>
      <c r="SDJ745" s="487"/>
      <c r="SDK745" s="487"/>
      <c r="SDL745" s="487"/>
      <c r="SDM745" s="487"/>
      <c r="SDN745" s="487"/>
      <c r="SDO745" s="487"/>
      <c r="SDP745" s="487"/>
      <c r="SDQ745" s="487"/>
      <c r="SDR745" s="487"/>
      <c r="SDS745" s="487"/>
      <c r="SDT745" s="487"/>
      <c r="SDU745" s="487"/>
      <c r="SDV745" s="487"/>
      <c r="SDW745" s="487"/>
      <c r="SDX745" s="487"/>
      <c r="SDY745" s="487"/>
      <c r="SDZ745" s="487"/>
      <c r="SEA745" s="487"/>
      <c r="SEB745" s="487"/>
      <c r="SEC745" s="487"/>
      <c r="SED745" s="487"/>
      <c r="SEE745" s="487"/>
      <c r="SEF745" s="487"/>
      <c r="SEG745" s="487"/>
      <c r="SEH745" s="487"/>
      <c r="SEI745" s="487"/>
      <c r="SEJ745" s="487"/>
      <c r="SEK745" s="487"/>
      <c r="SEL745" s="487"/>
      <c r="SEM745" s="487"/>
      <c r="SEN745" s="487"/>
      <c r="SEO745" s="487"/>
      <c r="SEP745" s="487"/>
      <c r="SEQ745" s="487"/>
      <c r="SER745" s="487"/>
      <c r="SES745" s="487"/>
      <c r="SET745" s="487"/>
      <c r="SEU745" s="487"/>
      <c r="SEV745" s="487"/>
      <c r="SEW745" s="487"/>
      <c r="SEX745" s="487"/>
      <c r="SEY745" s="487"/>
      <c r="SEZ745" s="487"/>
      <c r="SFA745" s="487"/>
      <c r="SFB745" s="487"/>
      <c r="SFC745" s="487"/>
      <c r="SFD745" s="487"/>
      <c r="SFE745" s="487"/>
      <c r="SFF745" s="487"/>
      <c r="SFG745" s="487"/>
      <c r="SFH745" s="487"/>
      <c r="SFI745" s="487"/>
      <c r="SFJ745" s="487"/>
      <c r="SFK745" s="487"/>
      <c r="SFL745" s="487"/>
      <c r="SFM745" s="487"/>
      <c r="SFN745" s="487"/>
      <c r="SFO745" s="487"/>
      <c r="SFP745" s="487"/>
      <c r="SFQ745" s="487"/>
      <c r="SFR745" s="487"/>
      <c r="SFS745" s="487"/>
      <c r="SFT745" s="487"/>
      <c r="SFU745" s="487"/>
      <c r="SFV745" s="487"/>
      <c r="SFW745" s="487"/>
      <c r="SFX745" s="487"/>
      <c r="SFY745" s="487"/>
      <c r="SFZ745" s="487"/>
      <c r="SGA745" s="487"/>
      <c r="SGB745" s="487"/>
      <c r="SGC745" s="487"/>
      <c r="SGD745" s="487"/>
      <c r="SGE745" s="487"/>
      <c r="SGF745" s="487"/>
      <c r="SGG745" s="487"/>
      <c r="SGH745" s="487"/>
      <c r="SGI745" s="487"/>
      <c r="SGJ745" s="487"/>
      <c r="SGK745" s="487"/>
      <c r="SGL745" s="487"/>
      <c r="SGM745" s="487"/>
      <c r="SGN745" s="487"/>
      <c r="SGO745" s="487"/>
      <c r="SGP745" s="487"/>
      <c r="SGQ745" s="487"/>
      <c r="SGR745" s="487"/>
      <c r="SGS745" s="487"/>
      <c r="SGT745" s="487"/>
      <c r="SGU745" s="487"/>
      <c r="SGV745" s="487"/>
      <c r="SGW745" s="487"/>
      <c r="SGX745" s="487"/>
      <c r="SGY745" s="487"/>
      <c r="SGZ745" s="487"/>
      <c r="SHA745" s="487"/>
      <c r="SHB745" s="487"/>
      <c r="SHC745" s="487"/>
      <c r="SHD745" s="487"/>
      <c r="SHE745" s="487"/>
      <c r="SHF745" s="487"/>
      <c r="SHG745" s="487"/>
      <c r="SHH745" s="487"/>
      <c r="SHI745" s="487"/>
      <c r="SHJ745" s="487"/>
      <c r="SHK745" s="487"/>
      <c r="SHL745" s="487"/>
      <c r="SHM745" s="487"/>
      <c r="SHN745" s="487"/>
      <c r="SHO745" s="487"/>
      <c r="SHP745" s="487"/>
      <c r="SHQ745" s="487"/>
      <c r="SHR745" s="487"/>
      <c r="SHS745" s="487"/>
      <c r="SHT745" s="487"/>
      <c r="SHU745" s="487"/>
      <c r="SHV745" s="487"/>
      <c r="SHW745" s="487"/>
      <c r="SHX745" s="487"/>
      <c r="SHY745" s="487"/>
      <c r="SHZ745" s="487"/>
      <c r="SIA745" s="487"/>
      <c r="SIB745" s="487"/>
      <c r="SIC745" s="487"/>
      <c r="SID745" s="487"/>
      <c r="SIE745" s="487"/>
      <c r="SIF745" s="487"/>
      <c r="SIG745" s="487"/>
      <c r="SIH745" s="487"/>
      <c r="SII745" s="487"/>
      <c r="SIJ745" s="487"/>
      <c r="SIK745" s="487"/>
      <c r="SIL745" s="487"/>
      <c r="SIM745" s="487"/>
      <c r="SIN745" s="487"/>
      <c r="SIO745" s="487"/>
      <c r="SIP745" s="487"/>
      <c r="SIQ745" s="487"/>
      <c r="SIR745" s="487"/>
      <c r="SIS745" s="487"/>
      <c r="SIT745" s="487"/>
      <c r="SIU745" s="487"/>
      <c r="SIV745" s="487"/>
      <c r="SIW745" s="487"/>
      <c r="SIX745" s="487"/>
      <c r="SIY745" s="487"/>
      <c r="SIZ745" s="487"/>
      <c r="SJA745" s="487"/>
      <c r="SJB745" s="487"/>
      <c r="SJC745" s="487"/>
      <c r="SJD745" s="487"/>
      <c r="SJE745" s="487"/>
      <c r="SJF745" s="487"/>
      <c r="SJG745" s="487"/>
      <c r="SJH745" s="487"/>
      <c r="SJI745" s="487"/>
      <c r="SJJ745" s="487"/>
      <c r="SJK745" s="487"/>
      <c r="SJL745" s="487"/>
      <c r="SJM745" s="487"/>
      <c r="SJN745" s="487"/>
      <c r="SJO745" s="487"/>
      <c r="SJP745" s="487"/>
      <c r="SJQ745" s="487"/>
      <c r="SJR745" s="487"/>
      <c r="SJS745" s="487"/>
      <c r="SJT745" s="487"/>
      <c r="SJU745" s="487"/>
      <c r="SJV745" s="487"/>
      <c r="SJW745" s="487"/>
      <c r="SJX745" s="487"/>
      <c r="SJY745" s="487"/>
      <c r="SJZ745" s="487"/>
      <c r="SKA745" s="487"/>
      <c r="SKB745" s="487"/>
      <c r="SKC745" s="487"/>
      <c r="SKD745" s="487"/>
      <c r="SKE745" s="487"/>
      <c r="SKF745" s="487"/>
      <c r="SKG745" s="487"/>
      <c r="SKH745" s="487"/>
      <c r="SKI745" s="487"/>
      <c r="SKJ745" s="487"/>
      <c r="SKK745" s="487"/>
      <c r="SKL745" s="487"/>
      <c r="SKM745" s="487"/>
      <c r="SKN745" s="487"/>
      <c r="SKO745" s="487"/>
      <c r="SKP745" s="487"/>
      <c r="SKQ745" s="487"/>
      <c r="SKR745" s="487"/>
      <c r="SKS745" s="487"/>
      <c r="SKT745" s="487"/>
      <c r="SKU745" s="487"/>
      <c r="SKV745" s="487"/>
      <c r="SKW745" s="487"/>
      <c r="SKX745" s="487"/>
      <c r="SKY745" s="487"/>
      <c r="SKZ745" s="487"/>
      <c r="SLA745" s="487"/>
      <c r="SLB745" s="487"/>
      <c r="SLC745" s="487"/>
      <c r="SLD745" s="487"/>
      <c r="SLE745" s="487"/>
      <c r="SLF745" s="487"/>
      <c r="SLG745" s="487"/>
      <c r="SLH745" s="487"/>
      <c r="SLI745" s="487"/>
      <c r="SLJ745" s="487"/>
      <c r="SLK745" s="487"/>
      <c r="SLL745" s="487"/>
      <c r="SLM745" s="487"/>
      <c r="SLN745" s="487"/>
      <c r="SLO745" s="487"/>
      <c r="SLP745" s="487"/>
      <c r="SLQ745" s="487"/>
      <c r="SLR745" s="487"/>
      <c r="SLS745" s="487"/>
      <c r="SLT745" s="487"/>
      <c r="SLU745" s="487"/>
      <c r="SLV745" s="487"/>
      <c r="SLW745" s="487"/>
      <c r="SLX745" s="487"/>
      <c r="SLY745" s="487"/>
      <c r="SLZ745" s="487"/>
      <c r="SMA745" s="487"/>
      <c r="SMB745" s="487"/>
      <c r="SMC745" s="487"/>
      <c r="SMD745" s="487"/>
      <c r="SME745" s="487"/>
      <c r="SMF745" s="487"/>
      <c r="SMG745" s="487"/>
      <c r="SMH745" s="487"/>
      <c r="SMI745" s="487"/>
      <c r="SMJ745" s="487"/>
      <c r="SMK745" s="487"/>
      <c r="SML745" s="487"/>
      <c r="SMM745" s="487"/>
      <c r="SMN745" s="487"/>
      <c r="SMO745" s="487"/>
      <c r="SMP745" s="487"/>
      <c r="SMQ745" s="487"/>
      <c r="SMR745" s="487"/>
      <c r="SMS745" s="487"/>
      <c r="SMT745" s="487"/>
      <c r="SMU745" s="487"/>
      <c r="SMV745" s="487"/>
      <c r="SMW745" s="487"/>
      <c r="SMX745" s="487"/>
      <c r="SMY745" s="487"/>
      <c r="SMZ745" s="487"/>
      <c r="SNA745" s="487"/>
      <c r="SNB745" s="487"/>
      <c r="SNC745" s="487"/>
      <c r="SND745" s="487"/>
      <c r="SNE745" s="487"/>
      <c r="SNF745" s="487"/>
      <c r="SNG745" s="487"/>
      <c r="SNH745" s="487"/>
      <c r="SNI745" s="487"/>
      <c r="SNJ745" s="487"/>
      <c r="SNK745" s="487"/>
      <c r="SNL745" s="487"/>
      <c r="SNM745" s="487"/>
      <c r="SNN745" s="487"/>
      <c r="SNO745" s="487"/>
      <c r="SNP745" s="487"/>
      <c r="SNQ745" s="487"/>
      <c r="SNR745" s="487"/>
      <c r="SNS745" s="487"/>
      <c r="SNT745" s="487"/>
      <c r="SNU745" s="487"/>
      <c r="SNV745" s="487"/>
      <c r="SNW745" s="487"/>
      <c r="SNX745" s="487"/>
      <c r="SNY745" s="487"/>
      <c r="SNZ745" s="487"/>
      <c r="SOA745" s="487"/>
      <c r="SOB745" s="487"/>
      <c r="SOC745" s="487"/>
      <c r="SOD745" s="487"/>
      <c r="SOE745" s="487"/>
      <c r="SOF745" s="487"/>
      <c r="SOG745" s="487"/>
      <c r="SOH745" s="487"/>
      <c r="SOI745" s="487"/>
      <c r="SOJ745" s="487"/>
      <c r="SOK745" s="487"/>
      <c r="SOL745" s="487"/>
      <c r="SOM745" s="487"/>
      <c r="SON745" s="487"/>
      <c r="SOO745" s="487"/>
      <c r="SOP745" s="487"/>
      <c r="SOQ745" s="487"/>
      <c r="SOR745" s="487"/>
      <c r="SOS745" s="487"/>
      <c r="SOT745" s="487"/>
      <c r="SOU745" s="487"/>
      <c r="SOV745" s="487"/>
      <c r="SOW745" s="487"/>
      <c r="SOX745" s="487"/>
      <c r="SOY745" s="487"/>
      <c r="SOZ745" s="487"/>
      <c r="SPA745" s="487"/>
      <c r="SPB745" s="487"/>
      <c r="SPC745" s="487"/>
      <c r="SPD745" s="487"/>
      <c r="SPE745" s="487"/>
      <c r="SPF745" s="487"/>
      <c r="SPG745" s="487"/>
      <c r="SPH745" s="487"/>
      <c r="SPI745" s="487"/>
      <c r="SPJ745" s="487"/>
      <c r="SPK745" s="487"/>
      <c r="SPL745" s="487"/>
      <c r="SPM745" s="487"/>
      <c r="SPN745" s="487"/>
      <c r="SPO745" s="487"/>
      <c r="SPP745" s="487"/>
      <c r="SPQ745" s="487"/>
      <c r="SPR745" s="487"/>
      <c r="SPS745" s="487"/>
      <c r="SPT745" s="487"/>
      <c r="SPU745" s="487"/>
      <c r="SPV745" s="487"/>
      <c r="SPW745" s="487"/>
      <c r="SPX745" s="487"/>
      <c r="SPY745" s="487"/>
      <c r="SPZ745" s="487"/>
      <c r="SQA745" s="487"/>
      <c r="SQB745" s="487"/>
      <c r="SQC745" s="487"/>
      <c r="SQD745" s="487"/>
      <c r="SQE745" s="487"/>
      <c r="SQF745" s="487"/>
      <c r="SQG745" s="487"/>
      <c r="SQH745" s="487"/>
      <c r="SQI745" s="487"/>
      <c r="SQJ745" s="487"/>
      <c r="SQK745" s="487"/>
      <c r="SQL745" s="487"/>
      <c r="SQM745" s="487"/>
      <c r="SQN745" s="487"/>
      <c r="SQO745" s="487"/>
      <c r="SQP745" s="487"/>
      <c r="SQQ745" s="487"/>
      <c r="SQR745" s="487"/>
      <c r="SQS745" s="487"/>
      <c r="SQT745" s="487"/>
      <c r="SQU745" s="487"/>
      <c r="SQV745" s="487"/>
      <c r="SQW745" s="487"/>
      <c r="SQX745" s="487"/>
      <c r="SQY745" s="487"/>
      <c r="SQZ745" s="487"/>
      <c r="SRA745" s="487"/>
      <c r="SRB745" s="487"/>
      <c r="SRC745" s="487"/>
      <c r="SRD745" s="487"/>
      <c r="SRE745" s="487"/>
      <c r="SRF745" s="487"/>
      <c r="SRG745" s="487"/>
      <c r="SRH745" s="487"/>
      <c r="SRI745" s="487"/>
      <c r="SRJ745" s="487"/>
      <c r="SRK745" s="487"/>
      <c r="SRL745" s="487"/>
      <c r="SRM745" s="487"/>
      <c r="SRN745" s="487"/>
      <c r="SRO745" s="487"/>
      <c r="SRP745" s="487"/>
      <c r="SRQ745" s="487"/>
      <c r="SRR745" s="487"/>
      <c r="SRS745" s="487"/>
      <c r="SRT745" s="487"/>
      <c r="SRU745" s="487"/>
      <c r="SRV745" s="487"/>
      <c r="SRW745" s="487"/>
      <c r="SRX745" s="487"/>
      <c r="SRY745" s="487"/>
      <c r="SRZ745" s="487"/>
      <c r="SSA745" s="487"/>
      <c r="SSB745" s="487"/>
      <c r="SSC745" s="487"/>
      <c r="SSD745" s="487"/>
      <c r="SSE745" s="487"/>
      <c r="SSF745" s="487"/>
      <c r="SSG745" s="487"/>
      <c r="SSH745" s="487"/>
      <c r="SSI745" s="487"/>
      <c r="SSJ745" s="487"/>
      <c r="SSK745" s="487"/>
      <c r="SSL745" s="487"/>
      <c r="SSM745" s="487"/>
      <c r="SSN745" s="487"/>
      <c r="SSO745" s="487"/>
      <c r="SSP745" s="487"/>
      <c r="SSQ745" s="487"/>
      <c r="SSR745" s="487"/>
      <c r="SSS745" s="487"/>
      <c r="SST745" s="487"/>
      <c r="SSU745" s="487"/>
      <c r="SSV745" s="487"/>
      <c r="SSW745" s="487"/>
      <c r="SSX745" s="487"/>
      <c r="SSY745" s="487"/>
      <c r="SSZ745" s="487"/>
      <c r="STA745" s="487"/>
      <c r="STB745" s="487"/>
      <c r="STC745" s="487"/>
      <c r="STD745" s="487"/>
      <c r="STE745" s="487"/>
      <c r="STF745" s="487"/>
      <c r="STG745" s="487"/>
      <c r="STH745" s="487"/>
      <c r="STI745" s="487"/>
      <c r="STJ745" s="487"/>
      <c r="STK745" s="487"/>
      <c r="STL745" s="487"/>
      <c r="STM745" s="487"/>
      <c r="STN745" s="487"/>
      <c r="STO745" s="487"/>
      <c r="STP745" s="487"/>
      <c r="STQ745" s="487"/>
      <c r="STR745" s="487"/>
      <c r="STS745" s="487"/>
      <c r="STT745" s="487"/>
      <c r="STU745" s="487"/>
      <c r="STV745" s="487"/>
      <c r="STW745" s="487"/>
      <c r="STX745" s="487"/>
      <c r="STY745" s="487"/>
      <c r="STZ745" s="487"/>
      <c r="SUA745" s="487"/>
      <c r="SUB745" s="487"/>
      <c r="SUC745" s="487"/>
      <c r="SUD745" s="487"/>
      <c r="SUE745" s="487"/>
      <c r="SUF745" s="487"/>
      <c r="SUG745" s="487"/>
      <c r="SUH745" s="487"/>
      <c r="SUI745" s="487"/>
      <c r="SUJ745" s="487"/>
      <c r="SUK745" s="487"/>
      <c r="SUL745" s="487"/>
      <c r="SUM745" s="487"/>
      <c r="SUN745" s="487"/>
      <c r="SUO745" s="487"/>
      <c r="SUP745" s="487"/>
      <c r="SUQ745" s="487"/>
      <c r="SUR745" s="487"/>
      <c r="SUS745" s="487"/>
      <c r="SUT745" s="487"/>
      <c r="SUU745" s="487"/>
      <c r="SUV745" s="487"/>
      <c r="SUW745" s="487"/>
      <c r="SUX745" s="487"/>
      <c r="SUY745" s="487"/>
      <c r="SUZ745" s="487"/>
      <c r="SVA745" s="487"/>
      <c r="SVB745" s="487"/>
      <c r="SVC745" s="487"/>
      <c r="SVD745" s="487"/>
      <c r="SVE745" s="487"/>
      <c r="SVF745" s="487"/>
      <c r="SVG745" s="487"/>
      <c r="SVH745" s="487"/>
      <c r="SVI745" s="487"/>
      <c r="SVJ745" s="487"/>
      <c r="SVK745" s="487"/>
      <c r="SVL745" s="487"/>
      <c r="SVM745" s="487"/>
      <c r="SVN745" s="487"/>
      <c r="SVO745" s="487"/>
      <c r="SVP745" s="487"/>
      <c r="SVQ745" s="487"/>
      <c r="SVR745" s="487"/>
      <c r="SVS745" s="487"/>
      <c r="SVT745" s="487"/>
      <c r="SVU745" s="487"/>
      <c r="SVV745" s="487"/>
      <c r="SVW745" s="487"/>
      <c r="SVX745" s="487"/>
      <c r="SVY745" s="487"/>
      <c r="SVZ745" s="487"/>
      <c r="SWA745" s="487"/>
      <c r="SWB745" s="487"/>
      <c r="SWC745" s="487"/>
      <c r="SWD745" s="487"/>
      <c r="SWE745" s="487"/>
      <c r="SWF745" s="487"/>
      <c r="SWG745" s="487"/>
      <c r="SWH745" s="487"/>
      <c r="SWI745" s="487"/>
      <c r="SWJ745" s="487"/>
      <c r="SWK745" s="487"/>
      <c r="SWL745" s="487"/>
      <c r="SWM745" s="487"/>
      <c r="SWN745" s="487"/>
      <c r="SWO745" s="487"/>
      <c r="SWP745" s="487"/>
      <c r="SWQ745" s="487"/>
      <c r="SWR745" s="487"/>
      <c r="SWS745" s="487"/>
      <c r="SWT745" s="487"/>
      <c r="SWU745" s="487"/>
      <c r="SWV745" s="487"/>
      <c r="SWW745" s="487"/>
      <c r="SWX745" s="487"/>
      <c r="SWY745" s="487"/>
      <c r="SWZ745" s="487"/>
      <c r="SXA745" s="487"/>
      <c r="SXB745" s="487"/>
      <c r="SXC745" s="487"/>
      <c r="SXD745" s="487"/>
      <c r="SXE745" s="487"/>
      <c r="SXF745" s="487"/>
      <c r="SXG745" s="487"/>
      <c r="SXH745" s="487"/>
      <c r="SXI745" s="487"/>
      <c r="SXJ745" s="487"/>
      <c r="SXK745" s="487"/>
      <c r="SXL745" s="487"/>
      <c r="SXM745" s="487"/>
      <c r="SXN745" s="487"/>
      <c r="SXO745" s="487"/>
      <c r="SXP745" s="487"/>
      <c r="SXQ745" s="487"/>
      <c r="SXR745" s="487"/>
      <c r="SXS745" s="487"/>
      <c r="SXT745" s="487"/>
      <c r="SXU745" s="487"/>
      <c r="SXV745" s="487"/>
      <c r="SXW745" s="487"/>
      <c r="SXX745" s="487"/>
      <c r="SXY745" s="487"/>
      <c r="SXZ745" s="487"/>
      <c r="SYA745" s="487"/>
      <c r="SYB745" s="487"/>
      <c r="SYC745" s="487"/>
      <c r="SYD745" s="487"/>
      <c r="SYE745" s="487"/>
      <c r="SYF745" s="487"/>
      <c r="SYG745" s="487"/>
      <c r="SYH745" s="487"/>
      <c r="SYI745" s="487"/>
      <c r="SYJ745" s="487"/>
      <c r="SYK745" s="487"/>
      <c r="SYL745" s="487"/>
      <c r="SYM745" s="487"/>
      <c r="SYN745" s="487"/>
      <c r="SYO745" s="487"/>
      <c r="SYP745" s="487"/>
      <c r="SYQ745" s="487"/>
      <c r="SYR745" s="487"/>
      <c r="SYS745" s="487"/>
      <c r="SYT745" s="487"/>
      <c r="SYU745" s="487"/>
      <c r="SYV745" s="487"/>
      <c r="SYW745" s="487"/>
      <c r="SYX745" s="487"/>
      <c r="SYY745" s="487"/>
      <c r="SYZ745" s="487"/>
      <c r="SZA745" s="487"/>
      <c r="SZB745" s="487"/>
      <c r="SZC745" s="487"/>
      <c r="SZD745" s="487"/>
      <c r="SZE745" s="487"/>
      <c r="SZF745" s="487"/>
      <c r="SZG745" s="487"/>
      <c r="SZH745" s="487"/>
      <c r="SZI745" s="487"/>
      <c r="SZJ745" s="487"/>
      <c r="SZK745" s="487"/>
      <c r="SZL745" s="487"/>
      <c r="SZM745" s="487"/>
      <c r="SZN745" s="487"/>
      <c r="SZO745" s="487"/>
      <c r="SZP745" s="487"/>
      <c r="SZQ745" s="487"/>
      <c r="SZR745" s="487"/>
      <c r="SZS745" s="487"/>
      <c r="SZT745" s="487"/>
      <c r="SZU745" s="487"/>
      <c r="SZV745" s="487"/>
      <c r="SZW745" s="487"/>
      <c r="SZX745" s="487"/>
      <c r="SZY745" s="487"/>
      <c r="SZZ745" s="487"/>
      <c r="TAA745" s="487"/>
      <c r="TAB745" s="487"/>
      <c r="TAC745" s="487"/>
      <c r="TAD745" s="487"/>
      <c r="TAE745" s="487"/>
      <c r="TAF745" s="487"/>
      <c r="TAG745" s="487"/>
      <c r="TAH745" s="487"/>
      <c r="TAI745" s="487"/>
      <c r="TAJ745" s="487"/>
      <c r="TAK745" s="487"/>
      <c r="TAL745" s="487"/>
      <c r="TAM745" s="487"/>
      <c r="TAN745" s="487"/>
      <c r="TAO745" s="487"/>
      <c r="TAP745" s="487"/>
      <c r="TAQ745" s="487"/>
      <c r="TAR745" s="487"/>
      <c r="TAS745" s="487"/>
      <c r="TAT745" s="487"/>
      <c r="TAU745" s="487"/>
      <c r="TAV745" s="487"/>
      <c r="TAW745" s="487"/>
      <c r="TAX745" s="487"/>
      <c r="TAY745" s="487"/>
      <c r="TAZ745" s="487"/>
      <c r="TBA745" s="487"/>
      <c r="TBB745" s="487"/>
      <c r="TBC745" s="487"/>
      <c r="TBD745" s="487"/>
      <c r="TBE745" s="487"/>
      <c r="TBF745" s="487"/>
      <c r="TBG745" s="487"/>
      <c r="TBH745" s="487"/>
      <c r="TBI745" s="487"/>
      <c r="TBJ745" s="487"/>
      <c r="TBK745" s="487"/>
      <c r="TBL745" s="487"/>
      <c r="TBM745" s="487"/>
      <c r="TBN745" s="487"/>
      <c r="TBO745" s="487"/>
      <c r="TBP745" s="487"/>
      <c r="TBQ745" s="487"/>
      <c r="TBR745" s="487"/>
      <c r="TBS745" s="487"/>
      <c r="TBT745" s="487"/>
      <c r="TBU745" s="487"/>
      <c r="TBV745" s="487"/>
      <c r="TBW745" s="487"/>
      <c r="TBX745" s="487"/>
      <c r="TBY745" s="487"/>
      <c r="TBZ745" s="487"/>
      <c r="TCA745" s="487"/>
      <c r="TCB745" s="487"/>
      <c r="TCC745" s="487"/>
      <c r="TCD745" s="487"/>
      <c r="TCE745" s="487"/>
      <c r="TCF745" s="487"/>
      <c r="TCG745" s="487"/>
      <c r="TCH745" s="487"/>
      <c r="TCI745" s="487"/>
      <c r="TCJ745" s="487"/>
      <c r="TCK745" s="487"/>
      <c r="TCL745" s="487"/>
      <c r="TCM745" s="487"/>
      <c r="TCN745" s="487"/>
      <c r="TCO745" s="487"/>
      <c r="TCP745" s="487"/>
      <c r="TCQ745" s="487"/>
      <c r="TCR745" s="487"/>
      <c r="TCS745" s="487"/>
      <c r="TCT745" s="487"/>
      <c r="TCU745" s="487"/>
      <c r="TCV745" s="487"/>
      <c r="TCW745" s="487"/>
      <c r="TCX745" s="487"/>
      <c r="TCY745" s="487"/>
      <c r="TCZ745" s="487"/>
      <c r="TDA745" s="487"/>
      <c r="TDB745" s="487"/>
      <c r="TDC745" s="487"/>
      <c r="TDD745" s="487"/>
      <c r="TDE745" s="487"/>
      <c r="TDF745" s="487"/>
      <c r="TDG745" s="487"/>
      <c r="TDH745" s="487"/>
      <c r="TDI745" s="487"/>
      <c r="TDJ745" s="487"/>
      <c r="TDK745" s="487"/>
      <c r="TDL745" s="487"/>
      <c r="TDM745" s="487"/>
      <c r="TDN745" s="487"/>
      <c r="TDO745" s="487"/>
      <c r="TDP745" s="487"/>
      <c r="TDQ745" s="487"/>
      <c r="TDR745" s="487"/>
      <c r="TDS745" s="487"/>
      <c r="TDT745" s="487"/>
      <c r="TDU745" s="487"/>
      <c r="TDV745" s="487"/>
      <c r="TDW745" s="487"/>
      <c r="TDX745" s="487"/>
      <c r="TDY745" s="487"/>
      <c r="TDZ745" s="487"/>
      <c r="TEA745" s="487"/>
      <c r="TEB745" s="487"/>
      <c r="TEC745" s="487"/>
      <c r="TED745" s="487"/>
      <c r="TEE745" s="487"/>
      <c r="TEF745" s="487"/>
      <c r="TEG745" s="487"/>
      <c r="TEH745" s="487"/>
      <c r="TEI745" s="487"/>
      <c r="TEJ745" s="487"/>
      <c r="TEK745" s="487"/>
      <c r="TEL745" s="487"/>
      <c r="TEM745" s="487"/>
      <c r="TEN745" s="487"/>
      <c r="TEO745" s="487"/>
      <c r="TEP745" s="487"/>
      <c r="TEQ745" s="487"/>
      <c r="TER745" s="487"/>
      <c r="TES745" s="487"/>
      <c r="TET745" s="487"/>
      <c r="TEU745" s="487"/>
      <c r="TEV745" s="487"/>
      <c r="TEW745" s="487"/>
      <c r="TEX745" s="487"/>
      <c r="TEY745" s="487"/>
      <c r="TEZ745" s="487"/>
      <c r="TFA745" s="487"/>
      <c r="TFB745" s="487"/>
      <c r="TFC745" s="487"/>
      <c r="TFD745" s="487"/>
      <c r="TFE745" s="487"/>
      <c r="TFF745" s="487"/>
      <c r="TFG745" s="487"/>
      <c r="TFH745" s="487"/>
      <c r="TFI745" s="487"/>
      <c r="TFJ745" s="487"/>
      <c r="TFK745" s="487"/>
      <c r="TFL745" s="487"/>
      <c r="TFM745" s="487"/>
      <c r="TFN745" s="487"/>
      <c r="TFO745" s="487"/>
      <c r="TFP745" s="487"/>
      <c r="TFQ745" s="487"/>
      <c r="TFR745" s="487"/>
      <c r="TFS745" s="487"/>
      <c r="TFT745" s="487"/>
      <c r="TFU745" s="487"/>
      <c r="TFV745" s="487"/>
      <c r="TFW745" s="487"/>
      <c r="TFX745" s="487"/>
      <c r="TFY745" s="487"/>
      <c r="TFZ745" s="487"/>
      <c r="TGA745" s="487"/>
      <c r="TGB745" s="487"/>
      <c r="TGC745" s="487"/>
      <c r="TGD745" s="487"/>
      <c r="TGE745" s="487"/>
      <c r="TGF745" s="487"/>
      <c r="TGG745" s="487"/>
      <c r="TGH745" s="487"/>
      <c r="TGI745" s="487"/>
      <c r="TGJ745" s="487"/>
      <c r="TGK745" s="487"/>
      <c r="TGL745" s="487"/>
      <c r="TGM745" s="487"/>
      <c r="TGN745" s="487"/>
      <c r="TGO745" s="487"/>
      <c r="TGP745" s="487"/>
      <c r="TGQ745" s="487"/>
      <c r="TGR745" s="487"/>
      <c r="TGS745" s="487"/>
      <c r="TGT745" s="487"/>
      <c r="TGU745" s="487"/>
      <c r="TGV745" s="487"/>
      <c r="TGW745" s="487"/>
      <c r="TGX745" s="487"/>
      <c r="TGY745" s="487"/>
      <c r="TGZ745" s="487"/>
      <c r="THA745" s="487"/>
      <c r="THB745" s="487"/>
      <c r="THC745" s="487"/>
      <c r="THD745" s="487"/>
      <c r="THE745" s="487"/>
      <c r="THF745" s="487"/>
      <c r="THG745" s="487"/>
      <c r="THH745" s="487"/>
      <c r="THI745" s="487"/>
      <c r="THJ745" s="487"/>
      <c r="THK745" s="487"/>
      <c r="THL745" s="487"/>
      <c r="THM745" s="487"/>
      <c r="THN745" s="487"/>
      <c r="THO745" s="487"/>
      <c r="THP745" s="487"/>
      <c r="THQ745" s="487"/>
      <c r="THR745" s="487"/>
      <c r="THS745" s="487"/>
      <c r="THT745" s="487"/>
      <c r="THU745" s="487"/>
      <c r="THV745" s="487"/>
      <c r="THW745" s="487"/>
      <c r="THX745" s="487"/>
      <c r="THY745" s="487"/>
      <c r="THZ745" s="487"/>
      <c r="TIA745" s="487"/>
      <c r="TIB745" s="487"/>
      <c r="TIC745" s="487"/>
      <c r="TID745" s="487"/>
      <c r="TIE745" s="487"/>
      <c r="TIF745" s="487"/>
      <c r="TIG745" s="487"/>
      <c r="TIH745" s="487"/>
      <c r="TII745" s="487"/>
      <c r="TIJ745" s="487"/>
      <c r="TIK745" s="487"/>
      <c r="TIL745" s="487"/>
      <c r="TIM745" s="487"/>
      <c r="TIN745" s="487"/>
      <c r="TIO745" s="487"/>
      <c r="TIP745" s="487"/>
      <c r="TIQ745" s="487"/>
      <c r="TIR745" s="487"/>
      <c r="TIS745" s="487"/>
      <c r="TIT745" s="487"/>
      <c r="TIU745" s="487"/>
      <c r="TIV745" s="487"/>
      <c r="TIW745" s="487"/>
      <c r="TIX745" s="487"/>
      <c r="TIY745" s="487"/>
      <c r="TIZ745" s="487"/>
      <c r="TJA745" s="487"/>
      <c r="TJB745" s="487"/>
      <c r="TJC745" s="487"/>
      <c r="TJD745" s="487"/>
      <c r="TJE745" s="487"/>
      <c r="TJF745" s="487"/>
      <c r="TJG745" s="487"/>
      <c r="TJH745" s="487"/>
      <c r="TJI745" s="487"/>
      <c r="TJJ745" s="487"/>
      <c r="TJK745" s="487"/>
      <c r="TJL745" s="487"/>
      <c r="TJM745" s="487"/>
      <c r="TJN745" s="487"/>
      <c r="TJO745" s="487"/>
      <c r="TJP745" s="487"/>
      <c r="TJQ745" s="487"/>
      <c r="TJR745" s="487"/>
      <c r="TJS745" s="487"/>
      <c r="TJT745" s="487"/>
      <c r="TJU745" s="487"/>
      <c r="TJV745" s="487"/>
      <c r="TJW745" s="487"/>
      <c r="TJX745" s="487"/>
      <c r="TJY745" s="487"/>
      <c r="TJZ745" s="487"/>
      <c r="TKA745" s="487"/>
      <c r="TKB745" s="487"/>
      <c r="TKC745" s="487"/>
      <c r="TKD745" s="487"/>
      <c r="TKE745" s="487"/>
      <c r="TKF745" s="487"/>
      <c r="TKG745" s="487"/>
      <c r="TKH745" s="487"/>
      <c r="TKI745" s="487"/>
      <c r="TKJ745" s="487"/>
      <c r="TKK745" s="487"/>
      <c r="TKL745" s="487"/>
      <c r="TKM745" s="487"/>
      <c r="TKN745" s="487"/>
      <c r="TKO745" s="487"/>
      <c r="TKP745" s="487"/>
      <c r="TKQ745" s="487"/>
      <c r="TKR745" s="487"/>
      <c r="TKS745" s="487"/>
      <c r="TKT745" s="487"/>
      <c r="TKU745" s="487"/>
      <c r="TKV745" s="487"/>
      <c r="TKW745" s="487"/>
      <c r="TKX745" s="487"/>
      <c r="TKY745" s="487"/>
      <c r="TKZ745" s="487"/>
      <c r="TLA745" s="487"/>
      <c r="TLB745" s="487"/>
      <c r="TLC745" s="487"/>
      <c r="TLD745" s="487"/>
      <c r="TLE745" s="487"/>
      <c r="TLF745" s="487"/>
      <c r="TLG745" s="487"/>
      <c r="TLH745" s="487"/>
      <c r="TLI745" s="487"/>
      <c r="TLJ745" s="487"/>
      <c r="TLK745" s="487"/>
      <c r="TLL745" s="487"/>
      <c r="TLM745" s="487"/>
      <c r="TLN745" s="487"/>
      <c r="TLO745" s="487"/>
      <c r="TLP745" s="487"/>
      <c r="TLQ745" s="487"/>
      <c r="TLR745" s="487"/>
      <c r="TLS745" s="487"/>
      <c r="TLT745" s="487"/>
      <c r="TLU745" s="487"/>
      <c r="TLV745" s="487"/>
      <c r="TLW745" s="487"/>
      <c r="TLX745" s="487"/>
      <c r="TLY745" s="487"/>
      <c r="TLZ745" s="487"/>
      <c r="TMA745" s="487"/>
      <c r="TMB745" s="487"/>
      <c r="TMC745" s="487"/>
      <c r="TMD745" s="487"/>
      <c r="TME745" s="487"/>
      <c r="TMF745" s="487"/>
      <c r="TMG745" s="487"/>
      <c r="TMH745" s="487"/>
      <c r="TMI745" s="487"/>
      <c r="TMJ745" s="487"/>
      <c r="TMK745" s="487"/>
      <c r="TML745" s="487"/>
      <c r="TMM745" s="487"/>
      <c r="TMN745" s="487"/>
      <c r="TMO745" s="487"/>
      <c r="TMP745" s="487"/>
      <c r="TMQ745" s="487"/>
      <c r="TMR745" s="487"/>
      <c r="TMS745" s="487"/>
      <c r="TMT745" s="487"/>
      <c r="TMU745" s="487"/>
      <c r="TMV745" s="487"/>
      <c r="TMW745" s="487"/>
      <c r="TMX745" s="487"/>
      <c r="TMY745" s="487"/>
      <c r="TMZ745" s="487"/>
      <c r="TNA745" s="487"/>
      <c r="TNB745" s="487"/>
      <c r="TNC745" s="487"/>
      <c r="TND745" s="487"/>
      <c r="TNE745" s="487"/>
      <c r="TNF745" s="487"/>
      <c r="TNG745" s="487"/>
      <c r="TNH745" s="487"/>
      <c r="TNI745" s="487"/>
      <c r="TNJ745" s="487"/>
      <c r="TNK745" s="487"/>
      <c r="TNL745" s="487"/>
      <c r="TNM745" s="487"/>
      <c r="TNN745" s="487"/>
      <c r="TNO745" s="487"/>
      <c r="TNP745" s="487"/>
      <c r="TNQ745" s="487"/>
      <c r="TNR745" s="487"/>
      <c r="TNS745" s="487"/>
      <c r="TNT745" s="487"/>
      <c r="TNU745" s="487"/>
      <c r="TNV745" s="487"/>
      <c r="TNW745" s="487"/>
      <c r="TNX745" s="487"/>
      <c r="TNY745" s="487"/>
      <c r="TNZ745" s="487"/>
      <c r="TOA745" s="487"/>
      <c r="TOB745" s="487"/>
      <c r="TOC745" s="487"/>
      <c r="TOD745" s="487"/>
      <c r="TOE745" s="487"/>
      <c r="TOF745" s="487"/>
      <c r="TOG745" s="487"/>
      <c r="TOH745" s="487"/>
      <c r="TOI745" s="487"/>
      <c r="TOJ745" s="487"/>
      <c r="TOK745" s="487"/>
      <c r="TOL745" s="487"/>
      <c r="TOM745" s="487"/>
      <c r="TON745" s="487"/>
      <c r="TOO745" s="487"/>
      <c r="TOP745" s="487"/>
      <c r="TOQ745" s="487"/>
      <c r="TOR745" s="487"/>
      <c r="TOS745" s="487"/>
      <c r="TOT745" s="487"/>
      <c r="TOU745" s="487"/>
      <c r="TOV745" s="487"/>
      <c r="TOW745" s="487"/>
      <c r="TOX745" s="487"/>
      <c r="TOY745" s="487"/>
      <c r="TOZ745" s="487"/>
      <c r="TPA745" s="487"/>
      <c r="TPB745" s="487"/>
      <c r="TPC745" s="487"/>
      <c r="TPD745" s="487"/>
      <c r="TPE745" s="487"/>
      <c r="TPF745" s="487"/>
      <c r="TPG745" s="487"/>
      <c r="TPH745" s="487"/>
      <c r="TPI745" s="487"/>
      <c r="TPJ745" s="487"/>
      <c r="TPK745" s="487"/>
      <c r="TPL745" s="487"/>
      <c r="TPM745" s="487"/>
      <c r="TPN745" s="487"/>
      <c r="TPO745" s="487"/>
      <c r="TPP745" s="487"/>
      <c r="TPQ745" s="487"/>
      <c r="TPR745" s="487"/>
      <c r="TPS745" s="487"/>
      <c r="TPT745" s="487"/>
      <c r="TPU745" s="487"/>
      <c r="TPV745" s="487"/>
      <c r="TPW745" s="487"/>
      <c r="TPX745" s="487"/>
      <c r="TPY745" s="487"/>
      <c r="TPZ745" s="487"/>
      <c r="TQA745" s="487"/>
      <c r="TQB745" s="487"/>
      <c r="TQC745" s="487"/>
      <c r="TQD745" s="487"/>
      <c r="TQE745" s="487"/>
      <c r="TQF745" s="487"/>
      <c r="TQG745" s="487"/>
      <c r="TQH745" s="487"/>
      <c r="TQI745" s="487"/>
      <c r="TQJ745" s="487"/>
      <c r="TQK745" s="487"/>
      <c r="TQL745" s="487"/>
      <c r="TQM745" s="487"/>
      <c r="TQN745" s="487"/>
      <c r="TQO745" s="487"/>
      <c r="TQP745" s="487"/>
      <c r="TQQ745" s="487"/>
      <c r="TQR745" s="487"/>
      <c r="TQS745" s="487"/>
      <c r="TQT745" s="487"/>
      <c r="TQU745" s="487"/>
      <c r="TQV745" s="487"/>
      <c r="TQW745" s="487"/>
      <c r="TQX745" s="487"/>
      <c r="TQY745" s="487"/>
      <c r="TQZ745" s="487"/>
      <c r="TRA745" s="487"/>
      <c r="TRB745" s="487"/>
      <c r="TRC745" s="487"/>
      <c r="TRD745" s="487"/>
      <c r="TRE745" s="487"/>
      <c r="TRF745" s="487"/>
      <c r="TRG745" s="487"/>
      <c r="TRH745" s="487"/>
      <c r="TRI745" s="487"/>
      <c r="TRJ745" s="487"/>
      <c r="TRK745" s="487"/>
      <c r="TRL745" s="487"/>
      <c r="TRM745" s="487"/>
      <c r="TRN745" s="487"/>
      <c r="TRO745" s="487"/>
      <c r="TRP745" s="487"/>
      <c r="TRQ745" s="487"/>
      <c r="TRR745" s="487"/>
      <c r="TRS745" s="487"/>
      <c r="TRT745" s="487"/>
      <c r="TRU745" s="487"/>
      <c r="TRV745" s="487"/>
      <c r="TRW745" s="487"/>
      <c r="TRX745" s="487"/>
      <c r="TRY745" s="487"/>
      <c r="TRZ745" s="487"/>
      <c r="TSA745" s="487"/>
      <c r="TSB745" s="487"/>
      <c r="TSC745" s="487"/>
      <c r="TSD745" s="487"/>
      <c r="TSE745" s="487"/>
      <c r="TSF745" s="487"/>
      <c r="TSG745" s="487"/>
      <c r="TSH745" s="487"/>
      <c r="TSI745" s="487"/>
      <c r="TSJ745" s="487"/>
      <c r="TSK745" s="487"/>
      <c r="TSL745" s="487"/>
      <c r="TSM745" s="487"/>
      <c r="TSN745" s="487"/>
      <c r="TSO745" s="487"/>
      <c r="TSP745" s="487"/>
      <c r="TSQ745" s="487"/>
      <c r="TSR745" s="487"/>
      <c r="TSS745" s="487"/>
      <c r="TST745" s="487"/>
      <c r="TSU745" s="487"/>
      <c r="TSV745" s="487"/>
      <c r="TSW745" s="487"/>
      <c r="TSX745" s="487"/>
      <c r="TSY745" s="487"/>
      <c r="TSZ745" s="487"/>
      <c r="TTA745" s="487"/>
      <c r="TTB745" s="487"/>
      <c r="TTC745" s="487"/>
      <c r="TTD745" s="487"/>
      <c r="TTE745" s="487"/>
      <c r="TTF745" s="487"/>
      <c r="TTG745" s="487"/>
      <c r="TTH745" s="487"/>
      <c r="TTI745" s="487"/>
      <c r="TTJ745" s="487"/>
      <c r="TTK745" s="487"/>
      <c r="TTL745" s="487"/>
      <c r="TTM745" s="487"/>
      <c r="TTN745" s="487"/>
      <c r="TTO745" s="487"/>
      <c r="TTP745" s="487"/>
      <c r="TTQ745" s="487"/>
      <c r="TTR745" s="487"/>
      <c r="TTS745" s="487"/>
      <c r="TTT745" s="487"/>
      <c r="TTU745" s="487"/>
      <c r="TTV745" s="487"/>
      <c r="TTW745" s="487"/>
      <c r="TTX745" s="487"/>
      <c r="TTY745" s="487"/>
      <c r="TTZ745" s="487"/>
      <c r="TUA745" s="487"/>
      <c r="TUB745" s="487"/>
      <c r="TUC745" s="487"/>
      <c r="TUD745" s="487"/>
      <c r="TUE745" s="487"/>
      <c r="TUF745" s="487"/>
      <c r="TUG745" s="487"/>
      <c r="TUH745" s="487"/>
      <c r="TUI745" s="487"/>
      <c r="TUJ745" s="487"/>
      <c r="TUK745" s="487"/>
      <c r="TUL745" s="487"/>
      <c r="TUM745" s="487"/>
      <c r="TUN745" s="487"/>
      <c r="TUO745" s="487"/>
      <c r="TUP745" s="487"/>
      <c r="TUQ745" s="487"/>
      <c r="TUR745" s="487"/>
      <c r="TUS745" s="487"/>
      <c r="TUT745" s="487"/>
      <c r="TUU745" s="487"/>
      <c r="TUV745" s="487"/>
      <c r="TUW745" s="487"/>
      <c r="TUX745" s="487"/>
      <c r="TUY745" s="487"/>
      <c r="TUZ745" s="487"/>
      <c r="TVA745" s="487"/>
      <c r="TVB745" s="487"/>
      <c r="TVC745" s="487"/>
      <c r="TVD745" s="487"/>
      <c r="TVE745" s="487"/>
      <c r="TVF745" s="487"/>
      <c r="TVG745" s="487"/>
      <c r="TVH745" s="487"/>
      <c r="TVI745" s="487"/>
      <c r="TVJ745" s="487"/>
      <c r="TVK745" s="487"/>
      <c r="TVL745" s="487"/>
      <c r="TVM745" s="487"/>
      <c r="TVN745" s="487"/>
      <c r="TVO745" s="487"/>
      <c r="TVP745" s="487"/>
      <c r="TVQ745" s="487"/>
      <c r="TVR745" s="487"/>
      <c r="TVS745" s="487"/>
      <c r="TVT745" s="487"/>
      <c r="TVU745" s="487"/>
      <c r="TVV745" s="487"/>
      <c r="TVW745" s="487"/>
      <c r="TVX745" s="487"/>
      <c r="TVY745" s="487"/>
      <c r="TVZ745" s="487"/>
      <c r="TWA745" s="487"/>
      <c r="TWB745" s="487"/>
      <c r="TWC745" s="487"/>
      <c r="TWD745" s="487"/>
      <c r="TWE745" s="487"/>
      <c r="TWF745" s="487"/>
      <c r="TWG745" s="487"/>
      <c r="TWH745" s="487"/>
      <c r="TWI745" s="487"/>
      <c r="TWJ745" s="487"/>
      <c r="TWK745" s="487"/>
      <c r="TWL745" s="487"/>
      <c r="TWM745" s="487"/>
      <c r="TWN745" s="487"/>
      <c r="TWO745" s="487"/>
      <c r="TWP745" s="487"/>
      <c r="TWQ745" s="487"/>
      <c r="TWR745" s="487"/>
      <c r="TWS745" s="487"/>
      <c r="TWT745" s="487"/>
      <c r="TWU745" s="487"/>
      <c r="TWV745" s="487"/>
      <c r="TWW745" s="487"/>
      <c r="TWX745" s="487"/>
      <c r="TWY745" s="487"/>
      <c r="TWZ745" s="487"/>
      <c r="TXA745" s="487"/>
      <c r="TXB745" s="487"/>
      <c r="TXC745" s="487"/>
      <c r="TXD745" s="487"/>
      <c r="TXE745" s="487"/>
      <c r="TXF745" s="487"/>
      <c r="TXG745" s="487"/>
      <c r="TXH745" s="487"/>
      <c r="TXI745" s="487"/>
      <c r="TXJ745" s="487"/>
      <c r="TXK745" s="487"/>
      <c r="TXL745" s="487"/>
      <c r="TXM745" s="487"/>
      <c r="TXN745" s="487"/>
      <c r="TXO745" s="487"/>
      <c r="TXP745" s="487"/>
      <c r="TXQ745" s="487"/>
      <c r="TXR745" s="487"/>
      <c r="TXS745" s="487"/>
      <c r="TXT745" s="487"/>
      <c r="TXU745" s="487"/>
      <c r="TXV745" s="487"/>
      <c r="TXW745" s="487"/>
      <c r="TXX745" s="487"/>
      <c r="TXY745" s="487"/>
      <c r="TXZ745" s="487"/>
      <c r="TYA745" s="487"/>
      <c r="TYB745" s="487"/>
      <c r="TYC745" s="487"/>
      <c r="TYD745" s="487"/>
      <c r="TYE745" s="487"/>
      <c r="TYF745" s="487"/>
      <c r="TYG745" s="487"/>
      <c r="TYH745" s="487"/>
      <c r="TYI745" s="487"/>
      <c r="TYJ745" s="487"/>
      <c r="TYK745" s="487"/>
      <c r="TYL745" s="487"/>
      <c r="TYM745" s="487"/>
      <c r="TYN745" s="487"/>
      <c r="TYO745" s="487"/>
      <c r="TYP745" s="487"/>
      <c r="TYQ745" s="487"/>
      <c r="TYR745" s="487"/>
      <c r="TYS745" s="487"/>
      <c r="TYT745" s="487"/>
      <c r="TYU745" s="487"/>
      <c r="TYV745" s="487"/>
      <c r="TYW745" s="487"/>
      <c r="TYX745" s="487"/>
      <c r="TYY745" s="487"/>
      <c r="TYZ745" s="487"/>
      <c r="TZA745" s="487"/>
      <c r="TZB745" s="487"/>
      <c r="TZC745" s="487"/>
      <c r="TZD745" s="487"/>
      <c r="TZE745" s="487"/>
      <c r="TZF745" s="487"/>
      <c r="TZG745" s="487"/>
      <c r="TZH745" s="487"/>
      <c r="TZI745" s="487"/>
      <c r="TZJ745" s="487"/>
      <c r="TZK745" s="487"/>
      <c r="TZL745" s="487"/>
      <c r="TZM745" s="487"/>
      <c r="TZN745" s="487"/>
      <c r="TZO745" s="487"/>
      <c r="TZP745" s="487"/>
      <c r="TZQ745" s="487"/>
      <c r="TZR745" s="487"/>
      <c r="TZS745" s="487"/>
      <c r="TZT745" s="487"/>
      <c r="TZU745" s="487"/>
      <c r="TZV745" s="487"/>
      <c r="TZW745" s="487"/>
      <c r="TZX745" s="487"/>
      <c r="TZY745" s="487"/>
      <c r="TZZ745" s="487"/>
      <c r="UAA745" s="487"/>
      <c r="UAB745" s="487"/>
      <c r="UAC745" s="487"/>
      <c r="UAD745" s="487"/>
      <c r="UAE745" s="487"/>
      <c r="UAF745" s="487"/>
      <c r="UAG745" s="487"/>
      <c r="UAH745" s="487"/>
      <c r="UAI745" s="487"/>
      <c r="UAJ745" s="487"/>
      <c r="UAK745" s="487"/>
      <c r="UAL745" s="487"/>
      <c r="UAM745" s="487"/>
      <c r="UAN745" s="487"/>
      <c r="UAO745" s="487"/>
      <c r="UAP745" s="487"/>
      <c r="UAQ745" s="487"/>
      <c r="UAR745" s="487"/>
      <c r="UAS745" s="487"/>
      <c r="UAT745" s="487"/>
      <c r="UAU745" s="487"/>
      <c r="UAV745" s="487"/>
      <c r="UAW745" s="487"/>
      <c r="UAX745" s="487"/>
      <c r="UAY745" s="487"/>
      <c r="UAZ745" s="487"/>
      <c r="UBA745" s="487"/>
      <c r="UBB745" s="487"/>
      <c r="UBC745" s="487"/>
      <c r="UBD745" s="487"/>
      <c r="UBE745" s="487"/>
      <c r="UBF745" s="487"/>
      <c r="UBG745" s="487"/>
      <c r="UBH745" s="487"/>
      <c r="UBI745" s="487"/>
      <c r="UBJ745" s="487"/>
      <c r="UBK745" s="487"/>
      <c r="UBL745" s="487"/>
      <c r="UBM745" s="487"/>
      <c r="UBN745" s="487"/>
      <c r="UBO745" s="487"/>
      <c r="UBP745" s="487"/>
      <c r="UBQ745" s="487"/>
      <c r="UBR745" s="487"/>
      <c r="UBS745" s="487"/>
      <c r="UBT745" s="487"/>
      <c r="UBU745" s="487"/>
      <c r="UBV745" s="487"/>
      <c r="UBW745" s="487"/>
      <c r="UBX745" s="487"/>
      <c r="UBY745" s="487"/>
      <c r="UBZ745" s="487"/>
      <c r="UCA745" s="487"/>
      <c r="UCB745" s="487"/>
      <c r="UCC745" s="487"/>
      <c r="UCD745" s="487"/>
      <c r="UCE745" s="487"/>
      <c r="UCF745" s="487"/>
      <c r="UCG745" s="487"/>
      <c r="UCH745" s="487"/>
      <c r="UCI745" s="487"/>
      <c r="UCJ745" s="487"/>
      <c r="UCK745" s="487"/>
      <c r="UCL745" s="487"/>
      <c r="UCM745" s="487"/>
      <c r="UCN745" s="487"/>
      <c r="UCO745" s="487"/>
      <c r="UCP745" s="487"/>
      <c r="UCQ745" s="487"/>
      <c r="UCR745" s="487"/>
      <c r="UCS745" s="487"/>
      <c r="UCT745" s="487"/>
      <c r="UCU745" s="487"/>
      <c r="UCV745" s="487"/>
      <c r="UCW745" s="487"/>
      <c r="UCX745" s="487"/>
      <c r="UCY745" s="487"/>
      <c r="UCZ745" s="487"/>
      <c r="UDA745" s="487"/>
      <c r="UDB745" s="487"/>
      <c r="UDC745" s="487"/>
      <c r="UDD745" s="487"/>
      <c r="UDE745" s="487"/>
      <c r="UDF745" s="487"/>
      <c r="UDG745" s="487"/>
      <c r="UDH745" s="487"/>
      <c r="UDI745" s="487"/>
      <c r="UDJ745" s="487"/>
      <c r="UDK745" s="487"/>
      <c r="UDL745" s="487"/>
      <c r="UDM745" s="487"/>
      <c r="UDN745" s="487"/>
      <c r="UDO745" s="487"/>
      <c r="UDP745" s="487"/>
      <c r="UDQ745" s="487"/>
      <c r="UDR745" s="487"/>
      <c r="UDS745" s="487"/>
      <c r="UDT745" s="487"/>
      <c r="UDU745" s="487"/>
      <c r="UDV745" s="487"/>
      <c r="UDW745" s="487"/>
      <c r="UDX745" s="487"/>
      <c r="UDY745" s="487"/>
      <c r="UDZ745" s="487"/>
      <c r="UEA745" s="487"/>
      <c r="UEB745" s="487"/>
      <c r="UEC745" s="487"/>
      <c r="UED745" s="487"/>
      <c r="UEE745" s="487"/>
      <c r="UEF745" s="487"/>
      <c r="UEG745" s="487"/>
      <c r="UEH745" s="487"/>
      <c r="UEI745" s="487"/>
      <c r="UEJ745" s="487"/>
      <c r="UEK745" s="487"/>
      <c r="UEL745" s="487"/>
      <c r="UEM745" s="487"/>
      <c r="UEN745" s="487"/>
      <c r="UEO745" s="487"/>
      <c r="UEP745" s="487"/>
      <c r="UEQ745" s="487"/>
      <c r="UER745" s="487"/>
      <c r="UES745" s="487"/>
      <c r="UET745" s="487"/>
      <c r="UEU745" s="487"/>
      <c r="UEV745" s="487"/>
      <c r="UEW745" s="487"/>
      <c r="UEX745" s="487"/>
      <c r="UEY745" s="487"/>
      <c r="UEZ745" s="487"/>
      <c r="UFA745" s="487"/>
      <c r="UFB745" s="487"/>
      <c r="UFC745" s="487"/>
      <c r="UFD745" s="487"/>
      <c r="UFE745" s="487"/>
      <c r="UFF745" s="487"/>
      <c r="UFG745" s="487"/>
      <c r="UFH745" s="487"/>
      <c r="UFI745" s="487"/>
      <c r="UFJ745" s="487"/>
      <c r="UFK745" s="487"/>
      <c r="UFL745" s="487"/>
      <c r="UFM745" s="487"/>
      <c r="UFN745" s="487"/>
      <c r="UFO745" s="487"/>
      <c r="UFP745" s="487"/>
      <c r="UFQ745" s="487"/>
      <c r="UFR745" s="487"/>
      <c r="UFS745" s="487"/>
      <c r="UFT745" s="487"/>
      <c r="UFU745" s="487"/>
      <c r="UFV745" s="487"/>
      <c r="UFW745" s="487"/>
      <c r="UFX745" s="487"/>
      <c r="UFY745" s="487"/>
      <c r="UFZ745" s="487"/>
      <c r="UGA745" s="487"/>
      <c r="UGB745" s="487"/>
      <c r="UGC745" s="487"/>
      <c r="UGD745" s="487"/>
      <c r="UGE745" s="487"/>
      <c r="UGF745" s="487"/>
      <c r="UGG745" s="487"/>
      <c r="UGH745" s="487"/>
      <c r="UGI745" s="487"/>
      <c r="UGJ745" s="487"/>
      <c r="UGK745" s="487"/>
      <c r="UGL745" s="487"/>
      <c r="UGM745" s="487"/>
      <c r="UGN745" s="487"/>
      <c r="UGO745" s="487"/>
      <c r="UGP745" s="487"/>
      <c r="UGQ745" s="487"/>
      <c r="UGR745" s="487"/>
      <c r="UGS745" s="487"/>
      <c r="UGT745" s="487"/>
      <c r="UGU745" s="487"/>
      <c r="UGV745" s="487"/>
      <c r="UGW745" s="487"/>
      <c r="UGX745" s="487"/>
      <c r="UGY745" s="487"/>
      <c r="UGZ745" s="487"/>
      <c r="UHA745" s="487"/>
      <c r="UHB745" s="487"/>
      <c r="UHC745" s="487"/>
      <c r="UHD745" s="487"/>
      <c r="UHE745" s="487"/>
      <c r="UHF745" s="487"/>
      <c r="UHG745" s="487"/>
      <c r="UHH745" s="487"/>
      <c r="UHI745" s="487"/>
      <c r="UHJ745" s="487"/>
      <c r="UHK745" s="487"/>
      <c r="UHL745" s="487"/>
      <c r="UHM745" s="487"/>
      <c r="UHN745" s="487"/>
      <c r="UHO745" s="487"/>
      <c r="UHP745" s="487"/>
      <c r="UHQ745" s="487"/>
      <c r="UHR745" s="487"/>
      <c r="UHS745" s="487"/>
      <c r="UHT745" s="487"/>
      <c r="UHU745" s="487"/>
      <c r="UHV745" s="487"/>
      <c r="UHW745" s="487"/>
      <c r="UHX745" s="487"/>
      <c r="UHY745" s="487"/>
      <c r="UHZ745" s="487"/>
      <c r="UIA745" s="487"/>
      <c r="UIB745" s="487"/>
      <c r="UIC745" s="487"/>
      <c r="UID745" s="487"/>
      <c r="UIE745" s="487"/>
      <c r="UIF745" s="487"/>
      <c r="UIG745" s="487"/>
      <c r="UIH745" s="487"/>
      <c r="UII745" s="487"/>
      <c r="UIJ745" s="487"/>
      <c r="UIK745" s="487"/>
      <c r="UIL745" s="487"/>
      <c r="UIM745" s="487"/>
      <c r="UIN745" s="487"/>
      <c r="UIO745" s="487"/>
      <c r="UIP745" s="487"/>
      <c r="UIQ745" s="487"/>
      <c r="UIR745" s="487"/>
      <c r="UIS745" s="487"/>
      <c r="UIT745" s="487"/>
      <c r="UIU745" s="487"/>
      <c r="UIV745" s="487"/>
      <c r="UIW745" s="487"/>
      <c r="UIX745" s="487"/>
      <c r="UIY745" s="487"/>
      <c r="UIZ745" s="487"/>
      <c r="UJA745" s="487"/>
      <c r="UJB745" s="487"/>
      <c r="UJC745" s="487"/>
      <c r="UJD745" s="487"/>
      <c r="UJE745" s="487"/>
      <c r="UJF745" s="487"/>
      <c r="UJG745" s="487"/>
      <c r="UJH745" s="487"/>
      <c r="UJI745" s="487"/>
      <c r="UJJ745" s="487"/>
      <c r="UJK745" s="487"/>
      <c r="UJL745" s="487"/>
      <c r="UJM745" s="487"/>
      <c r="UJN745" s="487"/>
      <c r="UJO745" s="487"/>
      <c r="UJP745" s="487"/>
      <c r="UJQ745" s="487"/>
      <c r="UJR745" s="487"/>
      <c r="UJS745" s="487"/>
      <c r="UJT745" s="487"/>
      <c r="UJU745" s="487"/>
      <c r="UJV745" s="487"/>
      <c r="UJW745" s="487"/>
      <c r="UJX745" s="487"/>
      <c r="UJY745" s="487"/>
      <c r="UJZ745" s="487"/>
      <c r="UKA745" s="487"/>
      <c r="UKB745" s="487"/>
      <c r="UKC745" s="487"/>
      <c r="UKD745" s="487"/>
      <c r="UKE745" s="487"/>
      <c r="UKF745" s="487"/>
      <c r="UKG745" s="487"/>
      <c r="UKH745" s="487"/>
      <c r="UKI745" s="487"/>
      <c r="UKJ745" s="487"/>
      <c r="UKK745" s="487"/>
      <c r="UKL745" s="487"/>
      <c r="UKM745" s="487"/>
      <c r="UKN745" s="487"/>
      <c r="UKO745" s="487"/>
      <c r="UKP745" s="487"/>
      <c r="UKQ745" s="487"/>
      <c r="UKR745" s="487"/>
      <c r="UKS745" s="487"/>
      <c r="UKT745" s="487"/>
      <c r="UKU745" s="487"/>
      <c r="UKV745" s="487"/>
      <c r="UKW745" s="487"/>
      <c r="UKX745" s="487"/>
      <c r="UKY745" s="487"/>
      <c r="UKZ745" s="487"/>
      <c r="ULA745" s="487"/>
      <c r="ULB745" s="487"/>
      <c r="ULC745" s="487"/>
      <c r="ULD745" s="487"/>
      <c r="ULE745" s="487"/>
      <c r="ULF745" s="487"/>
      <c r="ULG745" s="487"/>
      <c r="ULH745" s="487"/>
      <c r="ULI745" s="487"/>
      <c r="ULJ745" s="487"/>
      <c r="ULK745" s="487"/>
      <c r="ULL745" s="487"/>
      <c r="ULM745" s="487"/>
      <c r="ULN745" s="487"/>
      <c r="ULO745" s="487"/>
      <c r="ULP745" s="487"/>
      <c r="ULQ745" s="487"/>
      <c r="ULR745" s="487"/>
      <c r="ULS745" s="487"/>
      <c r="ULT745" s="487"/>
      <c r="ULU745" s="487"/>
      <c r="ULV745" s="487"/>
      <c r="ULW745" s="487"/>
      <c r="ULX745" s="487"/>
      <c r="ULY745" s="487"/>
      <c r="ULZ745" s="487"/>
      <c r="UMA745" s="487"/>
      <c r="UMB745" s="487"/>
      <c r="UMC745" s="487"/>
      <c r="UMD745" s="487"/>
      <c r="UME745" s="487"/>
      <c r="UMF745" s="487"/>
      <c r="UMG745" s="487"/>
      <c r="UMH745" s="487"/>
      <c r="UMI745" s="487"/>
      <c r="UMJ745" s="487"/>
      <c r="UMK745" s="487"/>
      <c r="UML745" s="487"/>
      <c r="UMM745" s="487"/>
      <c r="UMN745" s="487"/>
      <c r="UMO745" s="487"/>
      <c r="UMP745" s="487"/>
      <c r="UMQ745" s="487"/>
      <c r="UMR745" s="487"/>
      <c r="UMS745" s="487"/>
      <c r="UMT745" s="487"/>
      <c r="UMU745" s="487"/>
      <c r="UMV745" s="487"/>
      <c r="UMW745" s="487"/>
      <c r="UMX745" s="487"/>
      <c r="UMY745" s="487"/>
      <c r="UMZ745" s="487"/>
      <c r="UNA745" s="487"/>
      <c r="UNB745" s="487"/>
      <c r="UNC745" s="487"/>
      <c r="UND745" s="487"/>
      <c r="UNE745" s="487"/>
      <c r="UNF745" s="487"/>
      <c r="UNG745" s="487"/>
      <c r="UNH745" s="487"/>
      <c r="UNI745" s="487"/>
      <c r="UNJ745" s="487"/>
      <c r="UNK745" s="487"/>
      <c r="UNL745" s="487"/>
      <c r="UNM745" s="487"/>
      <c r="UNN745" s="487"/>
      <c r="UNO745" s="487"/>
      <c r="UNP745" s="487"/>
      <c r="UNQ745" s="487"/>
      <c r="UNR745" s="487"/>
      <c r="UNS745" s="487"/>
      <c r="UNT745" s="487"/>
      <c r="UNU745" s="487"/>
      <c r="UNV745" s="487"/>
      <c r="UNW745" s="487"/>
      <c r="UNX745" s="487"/>
      <c r="UNY745" s="487"/>
      <c r="UNZ745" s="487"/>
      <c r="UOA745" s="487"/>
      <c r="UOB745" s="487"/>
      <c r="UOC745" s="487"/>
      <c r="UOD745" s="487"/>
      <c r="UOE745" s="487"/>
      <c r="UOF745" s="487"/>
      <c r="UOG745" s="487"/>
      <c r="UOH745" s="487"/>
      <c r="UOI745" s="487"/>
      <c r="UOJ745" s="487"/>
      <c r="UOK745" s="487"/>
      <c r="UOL745" s="487"/>
      <c r="UOM745" s="487"/>
      <c r="UON745" s="487"/>
      <c r="UOO745" s="487"/>
      <c r="UOP745" s="487"/>
      <c r="UOQ745" s="487"/>
      <c r="UOR745" s="487"/>
      <c r="UOS745" s="487"/>
      <c r="UOT745" s="487"/>
      <c r="UOU745" s="487"/>
      <c r="UOV745" s="487"/>
      <c r="UOW745" s="487"/>
      <c r="UOX745" s="487"/>
      <c r="UOY745" s="487"/>
      <c r="UOZ745" s="487"/>
      <c r="UPA745" s="487"/>
      <c r="UPB745" s="487"/>
      <c r="UPC745" s="487"/>
      <c r="UPD745" s="487"/>
      <c r="UPE745" s="487"/>
      <c r="UPF745" s="487"/>
      <c r="UPG745" s="487"/>
      <c r="UPH745" s="487"/>
      <c r="UPI745" s="487"/>
      <c r="UPJ745" s="487"/>
      <c r="UPK745" s="487"/>
      <c r="UPL745" s="487"/>
      <c r="UPM745" s="487"/>
      <c r="UPN745" s="487"/>
      <c r="UPO745" s="487"/>
      <c r="UPP745" s="487"/>
      <c r="UPQ745" s="487"/>
      <c r="UPR745" s="487"/>
      <c r="UPS745" s="487"/>
      <c r="UPT745" s="487"/>
      <c r="UPU745" s="487"/>
      <c r="UPV745" s="487"/>
      <c r="UPW745" s="487"/>
      <c r="UPX745" s="487"/>
      <c r="UPY745" s="487"/>
      <c r="UPZ745" s="487"/>
      <c r="UQA745" s="487"/>
      <c r="UQB745" s="487"/>
      <c r="UQC745" s="487"/>
      <c r="UQD745" s="487"/>
      <c r="UQE745" s="487"/>
      <c r="UQF745" s="487"/>
      <c r="UQG745" s="487"/>
      <c r="UQH745" s="487"/>
      <c r="UQI745" s="487"/>
      <c r="UQJ745" s="487"/>
      <c r="UQK745" s="487"/>
      <c r="UQL745" s="487"/>
      <c r="UQM745" s="487"/>
      <c r="UQN745" s="487"/>
      <c r="UQO745" s="487"/>
      <c r="UQP745" s="487"/>
      <c r="UQQ745" s="487"/>
      <c r="UQR745" s="487"/>
      <c r="UQS745" s="487"/>
      <c r="UQT745" s="487"/>
      <c r="UQU745" s="487"/>
      <c r="UQV745" s="487"/>
      <c r="UQW745" s="487"/>
      <c r="UQX745" s="487"/>
      <c r="UQY745" s="487"/>
      <c r="UQZ745" s="487"/>
      <c r="URA745" s="487"/>
      <c r="URB745" s="487"/>
      <c r="URC745" s="487"/>
      <c r="URD745" s="487"/>
      <c r="URE745" s="487"/>
      <c r="URF745" s="487"/>
      <c r="URG745" s="487"/>
      <c r="URH745" s="487"/>
      <c r="URI745" s="487"/>
      <c r="URJ745" s="487"/>
      <c r="URK745" s="487"/>
      <c r="URL745" s="487"/>
      <c r="URM745" s="487"/>
      <c r="URN745" s="487"/>
      <c r="URO745" s="487"/>
      <c r="URP745" s="487"/>
      <c r="URQ745" s="487"/>
      <c r="URR745" s="487"/>
      <c r="URS745" s="487"/>
      <c r="URT745" s="487"/>
      <c r="URU745" s="487"/>
      <c r="URV745" s="487"/>
      <c r="URW745" s="487"/>
      <c r="URX745" s="487"/>
      <c r="URY745" s="487"/>
      <c r="URZ745" s="487"/>
      <c r="USA745" s="487"/>
      <c r="USB745" s="487"/>
      <c r="USC745" s="487"/>
      <c r="USD745" s="487"/>
      <c r="USE745" s="487"/>
      <c r="USF745" s="487"/>
      <c r="USG745" s="487"/>
      <c r="USH745" s="487"/>
      <c r="USI745" s="487"/>
      <c r="USJ745" s="487"/>
      <c r="USK745" s="487"/>
      <c r="USL745" s="487"/>
      <c r="USM745" s="487"/>
      <c r="USN745" s="487"/>
      <c r="USO745" s="487"/>
      <c r="USP745" s="487"/>
      <c r="USQ745" s="487"/>
      <c r="USR745" s="487"/>
      <c r="USS745" s="487"/>
      <c r="UST745" s="487"/>
      <c r="USU745" s="487"/>
      <c r="USV745" s="487"/>
      <c r="USW745" s="487"/>
      <c r="USX745" s="487"/>
      <c r="USY745" s="487"/>
      <c r="USZ745" s="487"/>
      <c r="UTA745" s="487"/>
      <c r="UTB745" s="487"/>
      <c r="UTC745" s="487"/>
      <c r="UTD745" s="487"/>
      <c r="UTE745" s="487"/>
      <c r="UTF745" s="487"/>
      <c r="UTG745" s="487"/>
      <c r="UTH745" s="487"/>
      <c r="UTI745" s="487"/>
      <c r="UTJ745" s="487"/>
      <c r="UTK745" s="487"/>
      <c r="UTL745" s="487"/>
      <c r="UTM745" s="487"/>
      <c r="UTN745" s="487"/>
      <c r="UTO745" s="487"/>
      <c r="UTP745" s="487"/>
      <c r="UTQ745" s="487"/>
      <c r="UTR745" s="487"/>
      <c r="UTS745" s="487"/>
      <c r="UTT745" s="487"/>
      <c r="UTU745" s="487"/>
      <c r="UTV745" s="487"/>
      <c r="UTW745" s="487"/>
      <c r="UTX745" s="487"/>
      <c r="UTY745" s="487"/>
      <c r="UTZ745" s="487"/>
      <c r="UUA745" s="487"/>
      <c r="UUB745" s="487"/>
      <c r="UUC745" s="487"/>
      <c r="UUD745" s="487"/>
      <c r="UUE745" s="487"/>
      <c r="UUF745" s="487"/>
      <c r="UUG745" s="487"/>
      <c r="UUH745" s="487"/>
      <c r="UUI745" s="487"/>
      <c r="UUJ745" s="487"/>
      <c r="UUK745" s="487"/>
      <c r="UUL745" s="487"/>
      <c r="UUM745" s="487"/>
      <c r="UUN745" s="487"/>
      <c r="UUO745" s="487"/>
      <c r="UUP745" s="487"/>
      <c r="UUQ745" s="487"/>
      <c r="UUR745" s="487"/>
      <c r="UUS745" s="487"/>
      <c r="UUT745" s="487"/>
      <c r="UUU745" s="487"/>
      <c r="UUV745" s="487"/>
      <c r="UUW745" s="487"/>
      <c r="UUX745" s="487"/>
      <c r="UUY745" s="487"/>
      <c r="UUZ745" s="487"/>
      <c r="UVA745" s="487"/>
      <c r="UVB745" s="487"/>
      <c r="UVC745" s="487"/>
      <c r="UVD745" s="487"/>
      <c r="UVE745" s="487"/>
      <c r="UVF745" s="487"/>
      <c r="UVG745" s="487"/>
      <c r="UVH745" s="487"/>
      <c r="UVI745" s="487"/>
      <c r="UVJ745" s="487"/>
      <c r="UVK745" s="487"/>
      <c r="UVL745" s="487"/>
      <c r="UVM745" s="487"/>
      <c r="UVN745" s="487"/>
      <c r="UVO745" s="487"/>
      <c r="UVP745" s="487"/>
      <c r="UVQ745" s="487"/>
      <c r="UVR745" s="487"/>
      <c r="UVS745" s="487"/>
      <c r="UVT745" s="487"/>
      <c r="UVU745" s="487"/>
      <c r="UVV745" s="487"/>
      <c r="UVW745" s="487"/>
      <c r="UVX745" s="487"/>
      <c r="UVY745" s="487"/>
      <c r="UVZ745" s="487"/>
      <c r="UWA745" s="487"/>
      <c r="UWB745" s="487"/>
      <c r="UWC745" s="487"/>
      <c r="UWD745" s="487"/>
      <c r="UWE745" s="487"/>
      <c r="UWF745" s="487"/>
      <c r="UWG745" s="487"/>
      <c r="UWH745" s="487"/>
      <c r="UWI745" s="487"/>
      <c r="UWJ745" s="487"/>
      <c r="UWK745" s="487"/>
      <c r="UWL745" s="487"/>
      <c r="UWM745" s="487"/>
      <c r="UWN745" s="487"/>
      <c r="UWO745" s="487"/>
      <c r="UWP745" s="487"/>
      <c r="UWQ745" s="487"/>
      <c r="UWR745" s="487"/>
      <c r="UWS745" s="487"/>
      <c r="UWT745" s="487"/>
      <c r="UWU745" s="487"/>
      <c r="UWV745" s="487"/>
      <c r="UWW745" s="487"/>
      <c r="UWX745" s="487"/>
      <c r="UWY745" s="487"/>
      <c r="UWZ745" s="487"/>
      <c r="UXA745" s="487"/>
      <c r="UXB745" s="487"/>
      <c r="UXC745" s="487"/>
      <c r="UXD745" s="487"/>
      <c r="UXE745" s="487"/>
      <c r="UXF745" s="487"/>
      <c r="UXG745" s="487"/>
      <c r="UXH745" s="487"/>
      <c r="UXI745" s="487"/>
      <c r="UXJ745" s="487"/>
      <c r="UXK745" s="487"/>
      <c r="UXL745" s="487"/>
      <c r="UXM745" s="487"/>
      <c r="UXN745" s="487"/>
      <c r="UXO745" s="487"/>
      <c r="UXP745" s="487"/>
      <c r="UXQ745" s="487"/>
      <c r="UXR745" s="487"/>
      <c r="UXS745" s="487"/>
      <c r="UXT745" s="487"/>
      <c r="UXU745" s="487"/>
      <c r="UXV745" s="487"/>
      <c r="UXW745" s="487"/>
      <c r="UXX745" s="487"/>
      <c r="UXY745" s="487"/>
      <c r="UXZ745" s="487"/>
      <c r="UYA745" s="487"/>
      <c r="UYB745" s="487"/>
      <c r="UYC745" s="487"/>
      <c r="UYD745" s="487"/>
      <c r="UYE745" s="487"/>
      <c r="UYF745" s="487"/>
      <c r="UYG745" s="487"/>
      <c r="UYH745" s="487"/>
      <c r="UYI745" s="487"/>
      <c r="UYJ745" s="487"/>
      <c r="UYK745" s="487"/>
      <c r="UYL745" s="487"/>
      <c r="UYM745" s="487"/>
      <c r="UYN745" s="487"/>
      <c r="UYO745" s="487"/>
      <c r="UYP745" s="487"/>
      <c r="UYQ745" s="487"/>
      <c r="UYR745" s="487"/>
      <c r="UYS745" s="487"/>
      <c r="UYT745" s="487"/>
      <c r="UYU745" s="487"/>
      <c r="UYV745" s="487"/>
      <c r="UYW745" s="487"/>
      <c r="UYX745" s="487"/>
      <c r="UYY745" s="487"/>
      <c r="UYZ745" s="487"/>
      <c r="UZA745" s="487"/>
      <c r="UZB745" s="487"/>
      <c r="UZC745" s="487"/>
      <c r="UZD745" s="487"/>
      <c r="UZE745" s="487"/>
      <c r="UZF745" s="487"/>
      <c r="UZG745" s="487"/>
      <c r="UZH745" s="487"/>
      <c r="UZI745" s="487"/>
      <c r="UZJ745" s="487"/>
      <c r="UZK745" s="487"/>
      <c r="UZL745" s="487"/>
      <c r="UZM745" s="487"/>
      <c r="UZN745" s="487"/>
      <c r="UZO745" s="487"/>
      <c r="UZP745" s="487"/>
      <c r="UZQ745" s="487"/>
      <c r="UZR745" s="487"/>
      <c r="UZS745" s="487"/>
      <c r="UZT745" s="487"/>
      <c r="UZU745" s="487"/>
      <c r="UZV745" s="487"/>
      <c r="UZW745" s="487"/>
      <c r="UZX745" s="487"/>
      <c r="UZY745" s="487"/>
      <c r="UZZ745" s="487"/>
      <c r="VAA745" s="487"/>
      <c r="VAB745" s="487"/>
      <c r="VAC745" s="487"/>
      <c r="VAD745" s="487"/>
      <c r="VAE745" s="487"/>
      <c r="VAF745" s="487"/>
      <c r="VAG745" s="487"/>
      <c r="VAH745" s="487"/>
      <c r="VAI745" s="487"/>
      <c r="VAJ745" s="487"/>
      <c r="VAK745" s="487"/>
      <c r="VAL745" s="487"/>
      <c r="VAM745" s="487"/>
      <c r="VAN745" s="487"/>
      <c r="VAO745" s="487"/>
      <c r="VAP745" s="487"/>
      <c r="VAQ745" s="487"/>
      <c r="VAR745" s="487"/>
      <c r="VAS745" s="487"/>
      <c r="VAT745" s="487"/>
      <c r="VAU745" s="487"/>
      <c r="VAV745" s="487"/>
      <c r="VAW745" s="487"/>
      <c r="VAX745" s="487"/>
      <c r="VAY745" s="487"/>
      <c r="VAZ745" s="487"/>
      <c r="VBA745" s="487"/>
      <c r="VBB745" s="487"/>
      <c r="VBC745" s="487"/>
      <c r="VBD745" s="487"/>
      <c r="VBE745" s="487"/>
      <c r="VBF745" s="487"/>
      <c r="VBG745" s="487"/>
      <c r="VBH745" s="487"/>
      <c r="VBI745" s="487"/>
      <c r="VBJ745" s="487"/>
      <c r="VBK745" s="487"/>
      <c r="VBL745" s="487"/>
      <c r="VBM745" s="487"/>
      <c r="VBN745" s="487"/>
      <c r="VBO745" s="487"/>
      <c r="VBP745" s="487"/>
      <c r="VBQ745" s="487"/>
      <c r="VBR745" s="487"/>
      <c r="VBS745" s="487"/>
      <c r="VBT745" s="487"/>
      <c r="VBU745" s="487"/>
      <c r="VBV745" s="487"/>
      <c r="VBW745" s="487"/>
      <c r="VBX745" s="487"/>
      <c r="VBY745" s="487"/>
      <c r="VBZ745" s="487"/>
      <c r="VCA745" s="487"/>
      <c r="VCB745" s="487"/>
      <c r="VCC745" s="487"/>
      <c r="VCD745" s="487"/>
      <c r="VCE745" s="487"/>
      <c r="VCF745" s="487"/>
      <c r="VCG745" s="487"/>
      <c r="VCH745" s="487"/>
      <c r="VCI745" s="487"/>
      <c r="VCJ745" s="487"/>
      <c r="VCK745" s="487"/>
      <c r="VCL745" s="487"/>
      <c r="VCM745" s="487"/>
      <c r="VCN745" s="487"/>
      <c r="VCO745" s="487"/>
      <c r="VCP745" s="487"/>
      <c r="VCQ745" s="487"/>
      <c r="VCR745" s="487"/>
      <c r="VCS745" s="487"/>
      <c r="VCT745" s="487"/>
      <c r="VCU745" s="487"/>
      <c r="VCV745" s="487"/>
      <c r="VCW745" s="487"/>
      <c r="VCX745" s="487"/>
      <c r="VCY745" s="487"/>
      <c r="VCZ745" s="487"/>
      <c r="VDA745" s="487"/>
      <c r="VDB745" s="487"/>
      <c r="VDC745" s="487"/>
      <c r="VDD745" s="487"/>
      <c r="VDE745" s="487"/>
      <c r="VDF745" s="487"/>
      <c r="VDG745" s="487"/>
      <c r="VDH745" s="487"/>
      <c r="VDI745" s="487"/>
      <c r="VDJ745" s="487"/>
      <c r="VDK745" s="487"/>
      <c r="VDL745" s="487"/>
      <c r="VDM745" s="487"/>
      <c r="VDN745" s="487"/>
      <c r="VDO745" s="487"/>
      <c r="VDP745" s="487"/>
      <c r="VDQ745" s="487"/>
      <c r="VDR745" s="487"/>
      <c r="VDS745" s="487"/>
      <c r="VDT745" s="487"/>
      <c r="VDU745" s="487"/>
      <c r="VDV745" s="487"/>
      <c r="VDW745" s="487"/>
      <c r="VDX745" s="487"/>
      <c r="VDY745" s="487"/>
      <c r="VDZ745" s="487"/>
      <c r="VEA745" s="487"/>
      <c r="VEB745" s="487"/>
      <c r="VEC745" s="487"/>
      <c r="VED745" s="487"/>
      <c r="VEE745" s="487"/>
      <c r="VEF745" s="487"/>
      <c r="VEG745" s="487"/>
      <c r="VEH745" s="487"/>
      <c r="VEI745" s="487"/>
      <c r="VEJ745" s="487"/>
      <c r="VEK745" s="487"/>
      <c r="VEL745" s="487"/>
      <c r="VEM745" s="487"/>
      <c r="VEN745" s="487"/>
      <c r="VEO745" s="487"/>
      <c r="VEP745" s="487"/>
      <c r="VEQ745" s="487"/>
      <c r="VER745" s="487"/>
      <c r="VES745" s="487"/>
      <c r="VET745" s="487"/>
      <c r="VEU745" s="487"/>
      <c r="VEV745" s="487"/>
      <c r="VEW745" s="487"/>
      <c r="VEX745" s="487"/>
      <c r="VEY745" s="487"/>
      <c r="VEZ745" s="487"/>
      <c r="VFA745" s="487"/>
      <c r="VFB745" s="487"/>
      <c r="VFC745" s="487"/>
      <c r="VFD745" s="487"/>
      <c r="VFE745" s="487"/>
      <c r="VFF745" s="487"/>
      <c r="VFG745" s="487"/>
      <c r="VFH745" s="487"/>
      <c r="VFI745" s="487"/>
      <c r="VFJ745" s="487"/>
      <c r="VFK745" s="487"/>
      <c r="VFL745" s="487"/>
      <c r="VFM745" s="487"/>
      <c r="VFN745" s="487"/>
      <c r="VFO745" s="487"/>
      <c r="VFP745" s="487"/>
      <c r="VFQ745" s="487"/>
      <c r="VFR745" s="487"/>
      <c r="VFS745" s="487"/>
      <c r="VFT745" s="487"/>
      <c r="VFU745" s="487"/>
      <c r="VFV745" s="487"/>
      <c r="VFW745" s="487"/>
      <c r="VFX745" s="487"/>
      <c r="VFY745" s="487"/>
      <c r="VFZ745" s="487"/>
      <c r="VGA745" s="487"/>
      <c r="VGB745" s="487"/>
      <c r="VGC745" s="487"/>
      <c r="VGD745" s="487"/>
      <c r="VGE745" s="487"/>
      <c r="VGF745" s="487"/>
      <c r="VGG745" s="487"/>
      <c r="VGH745" s="487"/>
      <c r="VGI745" s="487"/>
      <c r="VGJ745" s="487"/>
      <c r="VGK745" s="487"/>
      <c r="VGL745" s="487"/>
      <c r="VGM745" s="487"/>
      <c r="VGN745" s="487"/>
      <c r="VGO745" s="487"/>
      <c r="VGP745" s="487"/>
      <c r="VGQ745" s="487"/>
      <c r="VGR745" s="487"/>
      <c r="VGS745" s="487"/>
      <c r="VGT745" s="487"/>
      <c r="VGU745" s="487"/>
      <c r="VGV745" s="487"/>
      <c r="VGW745" s="487"/>
      <c r="VGX745" s="487"/>
      <c r="VGY745" s="487"/>
      <c r="VGZ745" s="487"/>
      <c r="VHA745" s="487"/>
      <c r="VHB745" s="487"/>
      <c r="VHC745" s="487"/>
      <c r="VHD745" s="487"/>
      <c r="VHE745" s="487"/>
      <c r="VHF745" s="487"/>
      <c r="VHG745" s="487"/>
      <c r="VHH745" s="487"/>
      <c r="VHI745" s="487"/>
      <c r="VHJ745" s="487"/>
      <c r="VHK745" s="487"/>
      <c r="VHL745" s="487"/>
      <c r="VHM745" s="487"/>
      <c r="VHN745" s="487"/>
      <c r="VHO745" s="487"/>
      <c r="VHP745" s="487"/>
      <c r="VHQ745" s="487"/>
      <c r="VHR745" s="487"/>
      <c r="VHS745" s="487"/>
      <c r="VHT745" s="487"/>
      <c r="VHU745" s="487"/>
      <c r="VHV745" s="487"/>
      <c r="VHW745" s="487"/>
      <c r="VHX745" s="487"/>
      <c r="VHY745" s="487"/>
      <c r="VHZ745" s="487"/>
      <c r="VIA745" s="487"/>
      <c r="VIB745" s="487"/>
      <c r="VIC745" s="487"/>
      <c r="VID745" s="487"/>
      <c r="VIE745" s="487"/>
      <c r="VIF745" s="487"/>
      <c r="VIG745" s="487"/>
      <c r="VIH745" s="487"/>
      <c r="VII745" s="487"/>
      <c r="VIJ745" s="487"/>
      <c r="VIK745" s="487"/>
      <c r="VIL745" s="487"/>
      <c r="VIM745" s="487"/>
      <c r="VIN745" s="487"/>
      <c r="VIO745" s="487"/>
      <c r="VIP745" s="487"/>
      <c r="VIQ745" s="487"/>
      <c r="VIR745" s="487"/>
      <c r="VIS745" s="487"/>
      <c r="VIT745" s="487"/>
      <c r="VIU745" s="487"/>
      <c r="VIV745" s="487"/>
      <c r="VIW745" s="487"/>
      <c r="VIX745" s="487"/>
      <c r="VIY745" s="487"/>
      <c r="VIZ745" s="487"/>
      <c r="VJA745" s="487"/>
      <c r="VJB745" s="487"/>
      <c r="VJC745" s="487"/>
      <c r="VJD745" s="487"/>
      <c r="VJE745" s="487"/>
      <c r="VJF745" s="487"/>
      <c r="VJG745" s="487"/>
      <c r="VJH745" s="487"/>
      <c r="VJI745" s="487"/>
      <c r="VJJ745" s="487"/>
      <c r="VJK745" s="487"/>
      <c r="VJL745" s="487"/>
      <c r="VJM745" s="487"/>
      <c r="VJN745" s="487"/>
      <c r="VJO745" s="487"/>
      <c r="VJP745" s="487"/>
      <c r="VJQ745" s="487"/>
      <c r="VJR745" s="487"/>
      <c r="VJS745" s="487"/>
      <c r="VJT745" s="487"/>
      <c r="VJU745" s="487"/>
      <c r="VJV745" s="487"/>
      <c r="VJW745" s="487"/>
      <c r="VJX745" s="487"/>
      <c r="VJY745" s="487"/>
      <c r="VJZ745" s="487"/>
      <c r="VKA745" s="487"/>
      <c r="VKB745" s="487"/>
      <c r="VKC745" s="487"/>
      <c r="VKD745" s="487"/>
      <c r="VKE745" s="487"/>
      <c r="VKF745" s="487"/>
      <c r="VKG745" s="487"/>
      <c r="VKH745" s="487"/>
      <c r="VKI745" s="487"/>
      <c r="VKJ745" s="487"/>
      <c r="VKK745" s="487"/>
      <c r="VKL745" s="487"/>
      <c r="VKM745" s="487"/>
      <c r="VKN745" s="487"/>
      <c r="VKO745" s="487"/>
      <c r="VKP745" s="487"/>
      <c r="VKQ745" s="487"/>
      <c r="VKR745" s="487"/>
      <c r="VKS745" s="487"/>
      <c r="VKT745" s="487"/>
      <c r="VKU745" s="487"/>
      <c r="VKV745" s="487"/>
      <c r="VKW745" s="487"/>
      <c r="VKX745" s="487"/>
      <c r="VKY745" s="487"/>
      <c r="VKZ745" s="487"/>
      <c r="VLA745" s="487"/>
      <c r="VLB745" s="487"/>
      <c r="VLC745" s="487"/>
      <c r="VLD745" s="487"/>
      <c r="VLE745" s="487"/>
      <c r="VLF745" s="487"/>
      <c r="VLG745" s="487"/>
      <c r="VLH745" s="487"/>
      <c r="VLI745" s="487"/>
      <c r="VLJ745" s="487"/>
      <c r="VLK745" s="487"/>
      <c r="VLL745" s="487"/>
      <c r="VLM745" s="487"/>
      <c r="VLN745" s="487"/>
      <c r="VLO745" s="487"/>
      <c r="VLP745" s="487"/>
      <c r="VLQ745" s="487"/>
      <c r="VLR745" s="487"/>
      <c r="VLS745" s="487"/>
      <c r="VLT745" s="487"/>
      <c r="VLU745" s="487"/>
      <c r="VLV745" s="487"/>
      <c r="VLW745" s="487"/>
      <c r="VLX745" s="487"/>
      <c r="VLY745" s="487"/>
      <c r="VLZ745" s="487"/>
      <c r="VMA745" s="487"/>
      <c r="VMB745" s="487"/>
      <c r="VMC745" s="487"/>
      <c r="VMD745" s="487"/>
      <c r="VME745" s="487"/>
      <c r="VMF745" s="487"/>
      <c r="VMG745" s="487"/>
      <c r="VMH745" s="487"/>
      <c r="VMI745" s="487"/>
      <c r="VMJ745" s="487"/>
      <c r="VMK745" s="487"/>
      <c r="VML745" s="487"/>
      <c r="VMM745" s="487"/>
      <c r="VMN745" s="487"/>
      <c r="VMO745" s="487"/>
      <c r="VMP745" s="487"/>
      <c r="VMQ745" s="487"/>
      <c r="VMR745" s="487"/>
      <c r="VMS745" s="487"/>
      <c r="VMT745" s="487"/>
      <c r="VMU745" s="487"/>
      <c r="VMV745" s="487"/>
      <c r="VMW745" s="487"/>
      <c r="VMX745" s="487"/>
      <c r="VMY745" s="487"/>
      <c r="VMZ745" s="487"/>
      <c r="VNA745" s="487"/>
      <c r="VNB745" s="487"/>
      <c r="VNC745" s="487"/>
      <c r="VND745" s="487"/>
      <c r="VNE745" s="487"/>
      <c r="VNF745" s="487"/>
      <c r="VNG745" s="487"/>
      <c r="VNH745" s="487"/>
      <c r="VNI745" s="487"/>
      <c r="VNJ745" s="487"/>
      <c r="VNK745" s="487"/>
      <c r="VNL745" s="487"/>
      <c r="VNM745" s="487"/>
      <c r="VNN745" s="487"/>
      <c r="VNO745" s="487"/>
      <c r="VNP745" s="487"/>
      <c r="VNQ745" s="487"/>
      <c r="VNR745" s="487"/>
      <c r="VNS745" s="487"/>
      <c r="VNT745" s="487"/>
      <c r="VNU745" s="487"/>
      <c r="VNV745" s="487"/>
      <c r="VNW745" s="487"/>
      <c r="VNX745" s="487"/>
      <c r="VNY745" s="487"/>
      <c r="VNZ745" s="487"/>
      <c r="VOA745" s="487"/>
      <c r="VOB745" s="487"/>
      <c r="VOC745" s="487"/>
      <c r="VOD745" s="487"/>
      <c r="VOE745" s="487"/>
      <c r="VOF745" s="487"/>
      <c r="VOG745" s="487"/>
      <c r="VOH745" s="487"/>
      <c r="VOI745" s="487"/>
      <c r="VOJ745" s="487"/>
      <c r="VOK745" s="487"/>
      <c r="VOL745" s="487"/>
      <c r="VOM745" s="487"/>
      <c r="VON745" s="487"/>
      <c r="VOO745" s="487"/>
      <c r="VOP745" s="487"/>
      <c r="VOQ745" s="487"/>
      <c r="VOR745" s="487"/>
      <c r="VOS745" s="487"/>
      <c r="VOT745" s="487"/>
      <c r="VOU745" s="487"/>
      <c r="VOV745" s="487"/>
      <c r="VOW745" s="487"/>
      <c r="VOX745" s="487"/>
      <c r="VOY745" s="487"/>
      <c r="VOZ745" s="487"/>
      <c r="VPA745" s="487"/>
      <c r="VPB745" s="487"/>
      <c r="VPC745" s="487"/>
      <c r="VPD745" s="487"/>
      <c r="VPE745" s="487"/>
      <c r="VPF745" s="487"/>
      <c r="VPG745" s="487"/>
      <c r="VPH745" s="487"/>
      <c r="VPI745" s="487"/>
      <c r="VPJ745" s="487"/>
      <c r="VPK745" s="487"/>
      <c r="VPL745" s="487"/>
      <c r="VPM745" s="487"/>
      <c r="VPN745" s="487"/>
      <c r="VPO745" s="487"/>
      <c r="VPP745" s="487"/>
      <c r="VPQ745" s="487"/>
      <c r="VPR745" s="487"/>
      <c r="VPS745" s="487"/>
      <c r="VPT745" s="487"/>
      <c r="VPU745" s="487"/>
      <c r="VPV745" s="487"/>
      <c r="VPW745" s="487"/>
      <c r="VPX745" s="487"/>
      <c r="VPY745" s="487"/>
      <c r="VPZ745" s="487"/>
      <c r="VQA745" s="487"/>
      <c r="VQB745" s="487"/>
      <c r="VQC745" s="487"/>
      <c r="VQD745" s="487"/>
      <c r="VQE745" s="487"/>
      <c r="VQF745" s="487"/>
      <c r="VQG745" s="487"/>
      <c r="VQH745" s="487"/>
      <c r="VQI745" s="487"/>
      <c r="VQJ745" s="487"/>
      <c r="VQK745" s="487"/>
      <c r="VQL745" s="487"/>
      <c r="VQM745" s="487"/>
      <c r="VQN745" s="487"/>
      <c r="VQO745" s="487"/>
      <c r="VQP745" s="487"/>
      <c r="VQQ745" s="487"/>
      <c r="VQR745" s="487"/>
      <c r="VQS745" s="487"/>
      <c r="VQT745" s="487"/>
      <c r="VQU745" s="487"/>
      <c r="VQV745" s="487"/>
      <c r="VQW745" s="487"/>
      <c r="VQX745" s="487"/>
      <c r="VQY745" s="487"/>
      <c r="VQZ745" s="487"/>
      <c r="VRA745" s="487"/>
      <c r="VRB745" s="487"/>
      <c r="VRC745" s="487"/>
      <c r="VRD745" s="487"/>
      <c r="VRE745" s="487"/>
      <c r="VRF745" s="487"/>
      <c r="VRG745" s="487"/>
      <c r="VRH745" s="487"/>
      <c r="VRI745" s="487"/>
      <c r="VRJ745" s="487"/>
      <c r="VRK745" s="487"/>
      <c r="VRL745" s="487"/>
      <c r="VRM745" s="487"/>
      <c r="VRN745" s="487"/>
      <c r="VRO745" s="487"/>
      <c r="VRP745" s="487"/>
      <c r="VRQ745" s="487"/>
      <c r="VRR745" s="487"/>
      <c r="VRS745" s="487"/>
      <c r="VRT745" s="487"/>
      <c r="VRU745" s="487"/>
      <c r="VRV745" s="487"/>
      <c r="VRW745" s="487"/>
      <c r="VRX745" s="487"/>
      <c r="VRY745" s="487"/>
      <c r="VRZ745" s="487"/>
      <c r="VSA745" s="487"/>
      <c r="VSB745" s="487"/>
      <c r="VSC745" s="487"/>
      <c r="VSD745" s="487"/>
      <c r="VSE745" s="487"/>
      <c r="VSF745" s="487"/>
      <c r="VSG745" s="487"/>
      <c r="VSH745" s="487"/>
      <c r="VSI745" s="487"/>
      <c r="VSJ745" s="487"/>
      <c r="VSK745" s="487"/>
      <c r="VSL745" s="487"/>
      <c r="VSM745" s="487"/>
      <c r="VSN745" s="487"/>
      <c r="VSO745" s="487"/>
      <c r="VSP745" s="487"/>
      <c r="VSQ745" s="487"/>
      <c r="VSR745" s="487"/>
      <c r="VSS745" s="487"/>
      <c r="VST745" s="487"/>
      <c r="VSU745" s="487"/>
      <c r="VSV745" s="487"/>
      <c r="VSW745" s="487"/>
      <c r="VSX745" s="487"/>
      <c r="VSY745" s="487"/>
      <c r="VSZ745" s="487"/>
      <c r="VTA745" s="487"/>
      <c r="VTB745" s="487"/>
      <c r="VTC745" s="487"/>
      <c r="VTD745" s="487"/>
      <c r="VTE745" s="487"/>
      <c r="VTF745" s="487"/>
      <c r="VTG745" s="487"/>
      <c r="VTH745" s="487"/>
      <c r="VTI745" s="487"/>
      <c r="VTJ745" s="487"/>
      <c r="VTK745" s="487"/>
      <c r="VTL745" s="487"/>
      <c r="VTM745" s="487"/>
      <c r="VTN745" s="487"/>
      <c r="VTO745" s="487"/>
      <c r="VTP745" s="487"/>
      <c r="VTQ745" s="487"/>
      <c r="VTR745" s="487"/>
      <c r="VTS745" s="487"/>
      <c r="VTT745" s="487"/>
      <c r="VTU745" s="487"/>
      <c r="VTV745" s="487"/>
      <c r="VTW745" s="487"/>
      <c r="VTX745" s="487"/>
      <c r="VTY745" s="487"/>
      <c r="VTZ745" s="487"/>
      <c r="VUA745" s="487"/>
      <c r="VUB745" s="487"/>
      <c r="VUC745" s="487"/>
      <c r="VUD745" s="487"/>
      <c r="VUE745" s="487"/>
      <c r="VUF745" s="487"/>
      <c r="VUG745" s="487"/>
      <c r="VUH745" s="487"/>
      <c r="VUI745" s="487"/>
      <c r="VUJ745" s="487"/>
      <c r="VUK745" s="487"/>
      <c r="VUL745" s="487"/>
      <c r="VUM745" s="487"/>
      <c r="VUN745" s="487"/>
      <c r="VUO745" s="487"/>
      <c r="VUP745" s="487"/>
      <c r="VUQ745" s="487"/>
      <c r="VUR745" s="487"/>
      <c r="VUS745" s="487"/>
      <c r="VUT745" s="487"/>
      <c r="VUU745" s="487"/>
      <c r="VUV745" s="487"/>
      <c r="VUW745" s="487"/>
      <c r="VUX745" s="487"/>
      <c r="VUY745" s="487"/>
      <c r="VUZ745" s="487"/>
      <c r="VVA745" s="487"/>
      <c r="VVB745" s="487"/>
      <c r="VVC745" s="487"/>
      <c r="VVD745" s="487"/>
      <c r="VVE745" s="487"/>
      <c r="VVF745" s="487"/>
      <c r="VVG745" s="487"/>
      <c r="VVH745" s="487"/>
      <c r="VVI745" s="487"/>
      <c r="VVJ745" s="487"/>
      <c r="VVK745" s="487"/>
      <c r="VVL745" s="487"/>
      <c r="VVM745" s="487"/>
      <c r="VVN745" s="487"/>
      <c r="VVO745" s="487"/>
      <c r="VVP745" s="487"/>
      <c r="VVQ745" s="487"/>
      <c r="VVR745" s="487"/>
      <c r="VVS745" s="487"/>
      <c r="VVT745" s="487"/>
      <c r="VVU745" s="487"/>
      <c r="VVV745" s="487"/>
      <c r="VVW745" s="487"/>
      <c r="VVX745" s="487"/>
      <c r="VVY745" s="487"/>
      <c r="VVZ745" s="487"/>
      <c r="VWA745" s="487"/>
      <c r="VWB745" s="487"/>
      <c r="VWC745" s="487"/>
      <c r="VWD745" s="487"/>
      <c r="VWE745" s="487"/>
      <c r="VWF745" s="487"/>
      <c r="VWG745" s="487"/>
      <c r="VWH745" s="487"/>
      <c r="VWI745" s="487"/>
      <c r="VWJ745" s="487"/>
      <c r="VWK745" s="487"/>
      <c r="VWL745" s="487"/>
      <c r="VWM745" s="487"/>
      <c r="VWN745" s="487"/>
      <c r="VWO745" s="487"/>
      <c r="VWP745" s="487"/>
      <c r="VWQ745" s="487"/>
      <c r="VWR745" s="487"/>
      <c r="VWS745" s="487"/>
      <c r="VWT745" s="487"/>
      <c r="VWU745" s="487"/>
      <c r="VWV745" s="487"/>
      <c r="VWW745" s="487"/>
      <c r="VWX745" s="487"/>
      <c r="VWY745" s="487"/>
      <c r="VWZ745" s="487"/>
      <c r="VXA745" s="487"/>
      <c r="VXB745" s="487"/>
      <c r="VXC745" s="487"/>
      <c r="VXD745" s="487"/>
      <c r="VXE745" s="487"/>
      <c r="VXF745" s="487"/>
      <c r="VXG745" s="487"/>
      <c r="VXH745" s="487"/>
      <c r="VXI745" s="487"/>
      <c r="VXJ745" s="487"/>
      <c r="VXK745" s="487"/>
      <c r="VXL745" s="487"/>
      <c r="VXM745" s="487"/>
      <c r="VXN745" s="487"/>
      <c r="VXO745" s="487"/>
      <c r="VXP745" s="487"/>
      <c r="VXQ745" s="487"/>
      <c r="VXR745" s="487"/>
      <c r="VXS745" s="487"/>
      <c r="VXT745" s="487"/>
      <c r="VXU745" s="487"/>
      <c r="VXV745" s="487"/>
      <c r="VXW745" s="487"/>
      <c r="VXX745" s="487"/>
      <c r="VXY745" s="487"/>
      <c r="VXZ745" s="487"/>
      <c r="VYA745" s="487"/>
      <c r="VYB745" s="487"/>
      <c r="VYC745" s="487"/>
      <c r="VYD745" s="487"/>
      <c r="VYE745" s="487"/>
      <c r="VYF745" s="487"/>
      <c r="VYG745" s="487"/>
      <c r="VYH745" s="487"/>
      <c r="VYI745" s="487"/>
      <c r="VYJ745" s="487"/>
      <c r="VYK745" s="487"/>
      <c r="VYL745" s="487"/>
      <c r="VYM745" s="487"/>
      <c r="VYN745" s="487"/>
      <c r="VYO745" s="487"/>
      <c r="VYP745" s="487"/>
      <c r="VYQ745" s="487"/>
      <c r="VYR745" s="487"/>
      <c r="VYS745" s="487"/>
      <c r="VYT745" s="487"/>
      <c r="VYU745" s="487"/>
      <c r="VYV745" s="487"/>
      <c r="VYW745" s="487"/>
      <c r="VYX745" s="487"/>
      <c r="VYY745" s="487"/>
      <c r="VYZ745" s="487"/>
      <c r="VZA745" s="487"/>
      <c r="VZB745" s="487"/>
      <c r="VZC745" s="487"/>
      <c r="VZD745" s="487"/>
      <c r="VZE745" s="487"/>
      <c r="VZF745" s="487"/>
      <c r="VZG745" s="487"/>
      <c r="VZH745" s="487"/>
      <c r="VZI745" s="487"/>
      <c r="VZJ745" s="487"/>
      <c r="VZK745" s="487"/>
      <c r="VZL745" s="487"/>
      <c r="VZM745" s="487"/>
      <c r="VZN745" s="487"/>
      <c r="VZO745" s="487"/>
      <c r="VZP745" s="487"/>
      <c r="VZQ745" s="487"/>
      <c r="VZR745" s="487"/>
      <c r="VZS745" s="487"/>
      <c r="VZT745" s="487"/>
      <c r="VZU745" s="487"/>
      <c r="VZV745" s="487"/>
      <c r="VZW745" s="487"/>
      <c r="VZX745" s="487"/>
      <c r="VZY745" s="487"/>
      <c r="VZZ745" s="487"/>
      <c r="WAA745" s="487"/>
      <c r="WAB745" s="487"/>
      <c r="WAC745" s="487"/>
      <c r="WAD745" s="487"/>
      <c r="WAE745" s="487"/>
      <c r="WAF745" s="487"/>
      <c r="WAG745" s="487"/>
      <c r="WAH745" s="487"/>
      <c r="WAI745" s="487"/>
      <c r="WAJ745" s="487"/>
      <c r="WAK745" s="487"/>
      <c r="WAL745" s="487"/>
      <c r="WAM745" s="487"/>
      <c r="WAN745" s="487"/>
      <c r="WAO745" s="487"/>
      <c r="WAP745" s="487"/>
      <c r="WAQ745" s="487"/>
      <c r="WAR745" s="487"/>
      <c r="WAS745" s="487"/>
      <c r="WAT745" s="487"/>
      <c r="WAU745" s="487"/>
      <c r="WAV745" s="487"/>
      <c r="WAW745" s="487"/>
      <c r="WAX745" s="487"/>
      <c r="WAY745" s="487"/>
      <c r="WAZ745" s="487"/>
      <c r="WBA745" s="487"/>
      <c r="WBB745" s="487"/>
      <c r="WBC745" s="487"/>
      <c r="WBD745" s="487"/>
      <c r="WBE745" s="487"/>
      <c r="WBF745" s="487"/>
      <c r="WBG745" s="487"/>
      <c r="WBH745" s="487"/>
      <c r="WBI745" s="487"/>
      <c r="WBJ745" s="487"/>
      <c r="WBK745" s="487"/>
      <c r="WBL745" s="487"/>
      <c r="WBM745" s="487"/>
      <c r="WBN745" s="487"/>
      <c r="WBO745" s="487"/>
      <c r="WBP745" s="487"/>
      <c r="WBQ745" s="487"/>
      <c r="WBR745" s="487"/>
      <c r="WBS745" s="487"/>
      <c r="WBT745" s="487"/>
      <c r="WBU745" s="487"/>
      <c r="WBV745" s="487"/>
      <c r="WBW745" s="487"/>
      <c r="WBX745" s="487"/>
      <c r="WBY745" s="487"/>
      <c r="WBZ745" s="487"/>
      <c r="WCA745" s="487"/>
      <c r="WCB745" s="487"/>
      <c r="WCC745" s="487"/>
      <c r="WCD745" s="487"/>
      <c r="WCE745" s="487"/>
      <c r="WCF745" s="487"/>
      <c r="WCG745" s="487"/>
      <c r="WCH745" s="487"/>
      <c r="WCI745" s="487"/>
      <c r="WCJ745" s="487"/>
      <c r="WCK745" s="487"/>
      <c r="WCL745" s="487"/>
      <c r="WCM745" s="487"/>
      <c r="WCN745" s="487"/>
      <c r="WCO745" s="487"/>
      <c r="WCP745" s="487"/>
      <c r="WCQ745" s="487"/>
      <c r="WCR745" s="487"/>
      <c r="WCS745" s="487"/>
      <c r="WCT745" s="487"/>
      <c r="WCU745" s="487"/>
      <c r="WCV745" s="487"/>
      <c r="WCW745" s="487"/>
      <c r="WCX745" s="487"/>
      <c r="WCY745" s="487"/>
      <c r="WCZ745" s="487"/>
      <c r="WDA745" s="487"/>
      <c r="WDB745" s="487"/>
      <c r="WDC745" s="487"/>
      <c r="WDD745" s="487"/>
      <c r="WDE745" s="487"/>
      <c r="WDF745" s="487"/>
      <c r="WDG745" s="487"/>
      <c r="WDH745" s="487"/>
      <c r="WDI745" s="487"/>
      <c r="WDJ745" s="487"/>
      <c r="WDK745" s="487"/>
      <c r="WDL745" s="487"/>
      <c r="WDM745" s="487"/>
      <c r="WDN745" s="487"/>
      <c r="WDO745" s="487"/>
      <c r="WDP745" s="487"/>
      <c r="WDQ745" s="487"/>
      <c r="WDR745" s="487"/>
      <c r="WDS745" s="487"/>
      <c r="WDT745" s="487"/>
      <c r="WDU745" s="487"/>
      <c r="WDV745" s="487"/>
      <c r="WDW745" s="487"/>
      <c r="WDX745" s="487"/>
      <c r="WDY745" s="487"/>
      <c r="WDZ745" s="487"/>
      <c r="WEA745" s="487"/>
      <c r="WEB745" s="487"/>
      <c r="WEC745" s="487"/>
      <c r="WED745" s="487"/>
      <c r="WEE745" s="487"/>
      <c r="WEF745" s="487"/>
      <c r="WEG745" s="487"/>
      <c r="WEH745" s="487"/>
      <c r="WEI745" s="487"/>
      <c r="WEJ745" s="487"/>
      <c r="WEK745" s="487"/>
      <c r="WEL745" s="487"/>
      <c r="WEM745" s="487"/>
      <c r="WEN745" s="487"/>
      <c r="WEO745" s="487"/>
      <c r="WEP745" s="487"/>
      <c r="WEQ745" s="487"/>
      <c r="WER745" s="487"/>
      <c r="WES745" s="487"/>
      <c r="WET745" s="487"/>
      <c r="WEU745" s="487"/>
      <c r="WEV745" s="487"/>
      <c r="WEW745" s="487"/>
      <c r="WEX745" s="487"/>
      <c r="WEY745" s="487"/>
      <c r="WEZ745" s="487"/>
      <c r="WFA745" s="487"/>
      <c r="WFB745" s="487"/>
      <c r="WFC745" s="487"/>
      <c r="WFD745" s="487"/>
      <c r="WFE745" s="487"/>
      <c r="WFF745" s="487"/>
      <c r="WFG745" s="487"/>
      <c r="WFH745" s="487"/>
      <c r="WFI745" s="487"/>
      <c r="WFJ745" s="487"/>
      <c r="WFK745" s="487"/>
      <c r="WFL745" s="487"/>
      <c r="WFM745" s="487"/>
      <c r="WFN745" s="487"/>
      <c r="WFO745" s="487"/>
      <c r="WFP745" s="487"/>
      <c r="WFQ745" s="487"/>
      <c r="WFR745" s="487"/>
      <c r="WFS745" s="487"/>
      <c r="WFT745" s="487"/>
      <c r="WFU745" s="487"/>
      <c r="WFV745" s="487"/>
      <c r="WFW745" s="487"/>
      <c r="WFX745" s="487"/>
      <c r="WFY745" s="487"/>
      <c r="WFZ745" s="487"/>
      <c r="WGA745" s="487"/>
      <c r="WGB745" s="487"/>
      <c r="WGC745" s="487"/>
      <c r="WGD745" s="487"/>
      <c r="WGE745" s="487"/>
      <c r="WGF745" s="487"/>
      <c r="WGG745" s="487"/>
      <c r="WGH745" s="487"/>
      <c r="WGI745" s="487"/>
      <c r="WGJ745" s="487"/>
      <c r="WGK745" s="487"/>
      <c r="WGL745" s="487"/>
      <c r="WGM745" s="487"/>
      <c r="WGN745" s="487"/>
      <c r="WGO745" s="487"/>
      <c r="WGP745" s="487"/>
      <c r="WGQ745" s="487"/>
      <c r="WGR745" s="487"/>
      <c r="WGS745" s="487"/>
      <c r="WGT745" s="487"/>
      <c r="WGU745" s="487"/>
      <c r="WGV745" s="487"/>
      <c r="WGW745" s="487"/>
      <c r="WGX745" s="487"/>
      <c r="WGY745" s="487"/>
      <c r="WGZ745" s="487"/>
      <c r="WHA745" s="487"/>
      <c r="WHB745" s="487"/>
      <c r="WHC745" s="487"/>
      <c r="WHD745" s="487"/>
      <c r="WHE745" s="487"/>
      <c r="WHF745" s="487"/>
      <c r="WHG745" s="487"/>
      <c r="WHH745" s="487"/>
      <c r="WHI745" s="487"/>
      <c r="WHJ745" s="487"/>
      <c r="WHK745" s="487"/>
      <c r="WHL745" s="487"/>
      <c r="WHM745" s="487"/>
      <c r="WHN745" s="487"/>
      <c r="WHO745" s="487"/>
      <c r="WHP745" s="487"/>
      <c r="WHQ745" s="487"/>
      <c r="WHR745" s="487"/>
      <c r="WHS745" s="487"/>
      <c r="WHT745" s="487"/>
      <c r="WHU745" s="487"/>
      <c r="WHV745" s="487"/>
      <c r="WHW745" s="487"/>
      <c r="WHX745" s="487"/>
      <c r="WHY745" s="487"/>
      <c r="WHZ745" s="487"/>
      <c r="WIA745" s="487"/>
      <c r="WIB745" s="487"/>
      <c r="WIC745" s="487"/>
      <c r="WID745" s="487"/>
      <c r="WIE745" s="487"/>
      <c r="WIF745" s="487"/>
      <c r="WIG745" s="487"/>
      <c r="WIH745" s="487"/>
      <c r="WII745" s="487"/>
      <c r="WIJ745" s="487"/>
      <c r="WIK745" s="487"/>
      <c r="WIL745" s="487"/>
      <c r="WIM745" s="487"/>
      <c r="WIN745" s="487"/>
      <c r="WIO745" s="487"/>
      <c r="WIP745" s="487"/>
      <c r="WIQ745" s="487"/>
      <c r="WIR745" s="487"/>
      <c r="WIS745" s="487"/>
      <c r="WIT745" s="487"/>
      <c r="WIU745" s="487"/>
      <c r="WIV745" s="487"/>
      <c r="WIW745" s="487"/>
      <c r="WIX745" s="487"/>
      <c r="WIY745" s="487"/>
      <c r="WIZ745" s="487"/>
      <c r="WJA745" s="487"/>
      <c r="WJB745" s="487"/>
      <c r="WJC745" s="487"/>
      <c r="WJD745" s="487"/>
      <c r="WJE745" s="487"/>
      <c r="WJF745" s="487"/>
      <c r="WJG745" s="487"/>
      <c r="WJH745" s="487"/>
      <c r="WJI745" s="487"/>
      <c r="WJJ745" s="487"/>
      <c r="WJK745" s="487"/>
      <c r="WJL745" s="487"/>
      <c r="WJM745" s="487"/>
      <c r="WJN745" s="487"/>
      <c r="WJO745" s="487"/>
      <c r="WJP745" s="487"/>
      <c r="WJQ745" s="487"/>
      <c r="WJR745" s="487"/>
      <c r="WJS745" s="487"/>
      <c r="WJT745" s="487"/>
      <c r="WJU745" s="487"/>
      <c r="WJV745" s="487"/>
      <c r="WJW745" s="487"/>
      <c r="WJX745" s="487"/>
      <c r="WJY745" s="487"/>
      <c r="WJZ745" s="487"/>
      <c r="WKA745" s="487"/>
      <c r="WKB745" s="487"/>
      <c r="WKC745" s="487"/>
      <c r="WKD745" s="487"/>
      <c r="WKE745" s="487"/>
      <c r="WKF745" s="487"/>
      <c r="WKG745" s="487"/>
      <c r="WKH745" s="487"/>
      <c r="WKI745" s="487"/>
      <c r="WKJ745" s="487"/>
      <c r="WKK745" s="487"/>
      <c r="WKL745" s="487"/>
      <c r="WKM745" s="487"/>
      <c r="WKN745" s="487"/>
      <c r="WKO745" s="487"/>
      <c r="WKP745" s="487"/>
      <c r="WKQ745" s="487"/>
      <c r="WKR745" s="487"/>
      <c r="WKS745" s="487"/>
      <c r="WKT745" s="487"/>
      <c r="WKU745" s="487"/>
      <c r="WKV745" s="487"/>
      <c r="WKW745" s="487"/>
      <c r="WKX745" s="487"/>
      <c r="WKY745" s="487"/>
      <c r="WKZ745" s="487"/>
      <c r="WLA745" s="487"/>
      <c r="WLB745" s="487"/>
      <c r="WLC745" s="487"/>
      <c r="WLD745" s="487"/>
      <c r="WLE745" s="487"/>
      <c r="WLF745" s="487"/>
      <c r="WLG745" s="487"/>
      <c r="WLH745" s="487"/>
      <c r="WLI745" s="487"/>
      <c r="WLJ745" s="487"/>
      <c r="WLK745" s="487"/>
      <c r="WLL745" s="487"/>
      <c r="WLM745" s="487"/>
      <c r="WLN745" s="487"/>
      <c r="WLO745" s="487"/>
      <c r="WLP745" s="487"/>
      <c r="WLQ745" s="487"/>
      <c r="WLR745" s="487"/>
      <c r="WLS745" s="487"/>
      <c r="WLT745" s="487"/>
      <c r="WLU745" s="487"/>
      <c r="WLV745" s="487"/>
      <c r="WLW745" s="487"/>
      <c r="WLX745" s="487"/>
      <c r="WLY745" s="487"/>
      <c r="WLZ745" s="487"/>
      <c r="WMA745" s="487"/>
      <c r="WMB745" s="487"/>
      <c r="WMC745" s="487"/>
      <c r="WMD745" s="487"/>
      <c r="WME745" s="487"/>
      <c r="WMF745" s="487"/>
      <c r="WMG745" s="487"/>
      <c r="WMH745" s="487"/>
      <c r="WMI745" s="487"/>
      <c r="WMJ745" s="487"/>
      <c r="WMK745" s="487"/>
      <c r="WML745" s="487"/>
      <c r="WMM745" s="487"/>
      <c r="WMN745" s="487"/>
      <c r="WMO745" s="487"/>
      <c r="WMP745" s="487"/>
      <c r="WMQ745" s="487"/>
      <c r="WMR745" s="487"/>
      <c r="WMS745" s="487"/>
      <c r="WMT745" s="487"/>
      <c r="WMU745" s="487"/>
      <c r="WMV745" s="487"/>
      <c r="WMW745" s="487"/>
      <c r="WMX745" s="487"/>
      <c r="WMY745" s="487"/>
      <c r="WMZ745" s="487"/>
      <c r="WNA745" s="487"/>
      <c r="WNB745" s="487"/>
      <c r="WNC745" s="487"/>
      <c r="WND745" s="487"/>
      <c r="WNE745" s="487"/>
      <c r="WNF745" s="487"/>
      <c r="WNG745" s="487"/>
      <c r="WNH745" s="487"/>
      <c r="WNI745" s="487"/>
      <c r="WNJ745" s="487"/>
      <c r="WNK745" s="487"/>
      <c r="WNL745" s="487"/>
      <c r="WNM745" s="487"/>
      <c r="WNN745" s="487"/>
      <c r="WNO745" s="487"/>
      <c r="WNP745" s="487"/>
      <c r="WNQ745" s="487"/>
      <c r="WNR745" s="487"/>
      <c r="WNS745" s="487"/>
      <c r="WNT745" s="487"/>
      <c r="WNU745" s="487"/>
      <c r="WNV745" s="487"/>
      <c r="WNW745" s="487"/>
      <c r="WNX745" s="487"/>
      <c r="WNY745" s="487"/>
      <c r="WNZ745" s="487"/>
      <c r="WOA745" s="487"/>
      <c r="WOB745" s="487"/>
      <c r="WOC745" s="487"/>
      <c r="WOD745" s="487"/>
      <c r="WOE745" s="487"/>
      <c r="WOF745" s="487"/>
      <c r="WOG745" s="487"/>
      <c r="WOH745" s="487"/>
      <c r="WOI745" s="487"/>
      <c r="WOJ745" s="487"/>
      <c r="WOK745" s="487"/>
      <c r="WOL745" s="487"/>
      <c r="WOM745" s="487"/>
      <c r="WON745" s="487"/>
      <c r="WOO745" s="487"/>
      <c r="WOP745" s="487"/>
      <c r="WOQ745" s="487"/>
      <c r="WOR745" s="487"/>
      <c r="WOS745" s="487"/>
      <c r="WOT745" s="487"/>
      <c r="WOU745" s="487"/>
      <c r="WOV745" s="487"/>
      <c r="WOW745" s="487"/>
      <c r="WOX745" s="487"/>
      <c r="WOY745" s="487"/>
      <c r="WOZ745" s="487"/>
      <c r="WPA745" s="487"/>
      <c r="WPB745" s="487"/>
      <c r="WPC745" s="487"/>
      <c r="WPD745" s="487"/>
      <c r="WPE745" s="487"/>
      <c r="WPF745" s="487"/>
      <c r="WPG745" s="487"/>
      <c r="WPH745" s="487"/>
      <c r="WPI745" s="487"/>
      <c r="WPJ745" s="487"/>
      <c r="WPK745" s="487"/>
      <c r="WPL745" s="487"/>
      <c r="WPM745" s="487"/>
      <c r="WPN745" s="487"/>
      <c r="WPO745" s="487"/>
      <c r="WPP745" s="487"/>
      <c r="WPQ745" s="487"/>
      <c r="WPR745" s="487"/>
      <c r="WPS745" s="487"/>
      <c r="WPT745" s="487"/>
      <c r="WPU745" s="487"/>
      <c r="WPV745" s="487"/>
      <c r="WPW745" s="487"/>
      <c r="WPX745" s="487"/>
      <c r="WPY745" s="487"/>
      <c r="WPZ745" s="487"/>
      <c r="WQA745" s="487"/>
      <c r="WQB745" s="487"/>
      <c r="WQC745" s="487"/>
      <c r="WQD745" s="487"/>
      <c r="WQE745" s="487"/>
      <c r="WQF745" s="487"/>
      <c r="WQG745" s="487"/>
      <c r="WQH745" s="487"/>
      <c r="WQI745" s="487"/>
      <c r="WQJ745" s="487"/>
      <c r="WQK745" s="487"/>
      <c r="WQL745" s="487"/>
      <c r="WQM745" s="487"/>
      <c r="WQN745" s="487"/>
      <c r="WQO745" s="487"/>
      <c r="WQP745" s="487"/>
      <c r="WQQ745" s="487"/>
      <c r="WQR745" s="487"/>
      <c r="WQS745" s="487"/>
      <c r="WQT745" s="487"/>
      <c r="WQU745" s="487"/>
      <c r="WQV745" s="487"/>
      <c r="WQW745" s="487"/>
      <c r="WQX745" s="487"/>
      <c r="WQY745" s="487"/>
      <c r="WQZ745" s="487"/>
      <c r="WRA745" s="487"/>
      <c r="WRB745" s="487"/>
      <c r="WRC745" s="487"/>
      <c r="WRD745" s="487"/>
      <c r="WRE745" s="487"/>
      <c r="WRF745" s="487"/>
      <c r="WRG745" s="487"/>
      <c r="WRH745" s="487"/>
      <c r="WRI745" s="487"/>
      <c r="WRJ745" s="487"/>
      <c r="WRK745" s="487"/>
      <c r="WRL745" s="487"/>
      <c r="WRM745" s="487"/>
      <c r="WRN745" s="487"/>
      <c r="WRO745" s="487"/>
      <c r="WRP745" s="487"/>
      <c r="WRQ745" s="487"/>
      <c r="WRR745" s="487"/>
      <c r="WRS745" s="487"/>
      <c r="WRT745" s="487"/>
      <c r="WRU745" s="487"/>
      <c r="WRV745" s="487"/>
      <c r="WRW745" s="487"/>
      <c r="WRX745" s="487"/>
      <c r="WRY745" s="487"/>
      <c r="WRZ745" s="487"/>
      <c r="WSA745" s="487"/>
      <c r="WSB745" s="487"/>
      <c r="WSC745" s="487"/>
      <c r="WSD745" s="487"/>
      <c r="WSE745" s="487"/>
      <c r="WSF745" s="487"/>
      <c r="WSG745" s="487"/>
      <c r="WSH745" s="487"/>
      <c r="WSI745" s="487"/>
      <c r="WSJ745" s="487"/>
      <c r="WSK745" s="487"/>
      <c r="WSL745" s="487"/>
      <c r="WSM745" s="487"/>
      <c r="WSN745" s="487"/>
      <c r="WSO745" s="487"/>
      <c r="WSP745" s="487"/>
      <c r="WSQ745" s="487"/>
      <c r="WSR745" s="487"/>
      <c r="WSS745" s="487"/>
      <c r="WST745" s="487"/>
      <c r="WSU745" s="487"/>
      <c r="WSV745" s="487"/>
      <c r="WSW745" s="487"/>
      <c r="WSX745" s="487"/>
      <c r="WSY745" s="487"/>
      <c r="WSZ745" s="487"/>
      <c r="WTA745" s="487"/>
      <c r="WTB745" s="487"/>
      <c r="WTC745" s="487"/>
      <c r="WTD745" s="487"/>
      <c r="WTE745" s="487"/>
      <c r="WTF745" s="487"/>
      <c r="WTG745" s="487"/>
      <c r="WTH745" s="487"/>
      <c r="WTI745" s="487"/>
      <c r="WTJ745" s="487"/>
      <c r="WTK745" s="487"/>
      <c r="WTL745" s="487"/>
      <c r="WTM745" s="487"/>
      <c r="WTN745" s="487"/>
      <c r="WTO745" s="487"/>
      <c r="WTP745" s="487"/>
      <c r="WTQ745" s="487"/>
      <c r="WTR745" s="487"/>
      <c r="WTS745" s="487"/>
      <c r="WTT745" s="487"/>
      <c r="WTU745" s="487"/>
      <c r="WTV745" s="487"/>
      <c r="WTW745" s="487"/>
      <c r="WTX745" s="487"/>
      <c r="WTY745" s="487"/>
      <c r="WTZ745" s="487"/>
      <c r="WUA745" s="487"/>
      <c r="WUB745" s="487"/>
      <c r="WUC745" s="487"/>
      <c r="WUD745" s="487"/>
      <c r="WUE745" s="487"/>
      <c r="WUF745" s="487"/>
      <c r="WUG745" s="487"/>
      <c r="WUH745" s="487"/>
      <c r="WUI745" s="487"/>
      <c r="WUJ745" s="487"/>
      <c r="WUK745" s="487"/>
      <c r="WUL745" s="487"/>
      <c r="WUM745" s="487"/>
      <c r="WUN745" s="487"/>
      <c r="WUO745" s="487"/>
      <c r="WUP745" s="487"/>
      <c r="WUQ745" s="487"/>
      <c r="WUR745" s="487"/>
      <c r="WUS745" s="487"/>
      <c r="WUT745" s="487"/>
      <c r="WUU745" s="487"/>
      <c r="WUV745" s="487"/>
      <c r="WUW745" s="487"/>
      <c r="WUX745" s="487"/>
      <c r="WUY745" s="487"/>
      <c r="WUZ745" s="487"/>
      <c r="WVA745" s="487"/>
      <c r="WVB745" s="487"/>
      <c r="WVC745" s="487"/>
      <c r="WVD745" s="487"/>
      <c r="WVE745" s="487"/>
      <c r="WVF745" s="487"/>
      <c r="WVG745" s="487"/>
      <c r="WVH745" s="487"/>
      <c r="WVI745" s="487"/>
      <c r="WVJ745" s="487"/>
      <c r="WVK745" s="487"/>
      <c r="WVL745" s="487"/>
      <c r="WVM745" s="487"/>
      <c r="WVN745" s="487"/>
      <c r="WVO745" s="487"/>
      <c r="WVP745" s="487"/>
      <c r="WVQ745" s="487"/>
      <c r="WVR745" s="487"/>
      <c r="WVS745" s="487"/>
      <c r="WVT745" s="487"/>
      <c r="WVU745" s="487"/>
      <c r="WVV745" s="487"/>
      <c r="WVW745" s="487"/>
      <c r="WVX745" s="487"/>
      <c r="WVY745" s="487"/>
      <c r="WVZ745" s="487"/>
      <c r="WWA745" s="487"/>
      <c r="WWB745" s="487"/>
      <c r="WWC745" s="487"/>
      <c r="WWD745" s="487"/>
      <c r="WWE745" s="487"/>
      <c r="WWF745" s="487"/>
      <c r="WWG745" s="487"/>
      <c r="WWH745" s="487"/>
      <c r="WWI745" s="487"/>
      <c r="WWJ745" s="487"/>
      <c r="WWK745" s="487"/>
      <c r="WWL745" s="487"/>
      <c r="WWM745" s="487"/>
      <c r="WWN745" s="487"/>
      <c r="WWO745" s="487"/>
      <c r="WWP745" s="487"/>
      <c r="WWQ745" s="487"/>
      <c r="WWR745" s="487"/>
      <c r="WWS745" s="487"/>
      <c r="WWT745" s="487"/>
      <c r="WWU745" s="487"/>
      <c r="WWV745" s="487"/>
      <c r="WWW745" s="487"/>
      <c r="WWX745" s="487"/>
      <c r="WWY745" s="487"/>
      <c r="WWZ745" s="487"/>
      <c r="WXA745" s="487"/>
      <c r="WXB745" s="487"/>
      <c r="WXC745" s="487"/>
      <c r="WXD745" s="487"/>
      <c r="WXE745" s="487"/>
      <c r="WXF745" s="487"/>
      <c r="WXG745" s="487"/>
      <c r="WXH745" s="487"/>
      <c r="WXI745" s="487"/>
      <c r="WXJ745" s="487"/>
      <c r="WXK745" s="487"/>
      <c r="WXL745" s="487"/>
      <c r="WXM745" s="487"/>
      <c r="WXN745" s="487"/>
      <c r="WXO745" s="487"/>
      <c r="WXP745" s="487"/>
      <c r="WXQ745" s="487"/>
      <c r="WXR745" s="487"/>
      <c r="WXS745" s="487"/>
      <c r="WXT745" s="487"/>
      <c r="WXU745" s="487"/>
      <c r="WXV745" s="487"/>
      <c r="WXW745" s="487"/>
      <c r="WXX745" s="487"/>
      <c r="WXY745" s="487"/>
      <c r="WXZ745" s="487"/>
      <c r="WYA745" s="487"/>
      <c r="WYB745" s="487"/>
      <c r="WYC745" s="487"/>
      <c r="WYD745" s="487"/>
      <c r="WYE745" s="487"/>
      <c r="WYF745" s="487"/>
      <c r="WYG745" s="487"/>
      <c r="WYH745" s="487"/>
      <c r="WYI745" s="487"/>
      <c r="WYJ745" s="487"/>
      <c r="WYK745" s="487"/>
      <c r="WYL745" s="487"/>
      <c r="WYM745" s="487"/>
      <c r="WYN745" s="487"/>
      <c r="WYO745" s="487"/>
      <c r="WYP745" s="487"/>
      <c r="WYQ745" s="487"/>
      <c r="WYR745" s="487"/>
      <c r="WYS745" s="487"/>
      <c r="WYT745" s="487"/>
      <c r="WYU745" s="487"/>
      <c r="WYV745" s="487"/>
      <c r="WYW745" s="487"/>
      <c r="WYX745" s="487"/>
      <c r="WYY745" s="487"/>
      <c r="WYZ745" s="487"/>
      <c r="WZA745" s="487"/>
      <c r="WZB745" s="487"/>
      <c r="WZC745" s="487"/>
      <c r="WZD745" s="487"/>
      <c r="WZE745" s="487"/>
      <c r="WZF745" s="487"/>
      <c r="WZG745" s="487"/>
      <c r="WZH745" s="487"/>
      <c r="WZI745" s="487"/>
      <c r="WZJ745" s="487"/>
      <c r="WZK745" s="487"/>
      <c r="WZL745" s="487"/>
      <c r="WZM745" s="487"/>
      <c r="WZN745" s="487"/>
      <c r="WZO745" s="487"/>
      <c r="WZP745" s="487"/>
      <c r="WZQ745" s="487"/>
      <c r="WZR745" s="487"/>
      <c r="WZS745" s="487"/>
      <c r="WZT745" s="487"/>
      <c r="WZU745" s="487"/>
      <c r="WZV745" s="487"/>
      <c r="WZW745" s="487"/>
      <c r="WZX745" s="487"/>
      <c r="WZY745" s="487"/>
      <c r="WZZ745" s="487"/>
      <c r="XAA745" s="487"/>
      <c r="XAB745" s="487"/>
      <c r="XAC745" s="487"/>
      <c r="XAD745" s="487"/>
      <c r="XAE745" s="487"/>
      <c r="XAF745" s="487"/>
      <c r="XAG745" s="487"/>
      <c r="XAH745" s="487"/>
      <c r="XAI745" s="487"/>
      <c r="XAJ745" s="487"/>
      <c r="XAK745" s="487"/>
      <c r="XAL745" s="487"/>
      <c r="XAM745" s="487"/>
      <c r="XAN745" s="487"/>
      <c r="XAO745" s="487"/>
      <c r="XAP745" s="487"/>
      <c r="XAQ745" s="487"/>
      <c r="XAR745" s="487"/>
      <c r="XAS745" s="487"/>
      <c r="XAT745" s="487"/>
      <c r="XAU745" s="487"/>
      <c r="XAV745" s="487"/>
      <c r="XAW745" s="487"/>
      <c r="XAX745" s="487"/>
      <c r="XAY745" s="487"/>
      <c r="XAZ745" s="487"/>
      <c r="XBA745" s="487"/>
      <c r="XBB745" s="487"/>
      <c r="XBC745" s="487"/>
      <c r="XBD745" s="487"/>
      <c r="XBE745" s="487"/>
      <c r="XBF745" s="487"/>
      <c r="XBG745" s="487"/>
      <c r="XBH745" s="487"/>
      <c r="XBI745" s="487"/>
      <c r="XBJ745" s="487"/>
      <c r="XBK745" s="487"/>
      <c r="XBL745" s="487"/>
      <c r="XBM745" s="487"/>
      <c r="XBN745" s="487"/>
      <c r="XBO745" s="487"/>
      <c r="XBP745" s="487"/>
      <c r="XBQ745" s="487"/>
      <c r="XBR745" s="487"/>
      <c r="XBS745" s="487"/>
      <c r="XBT745" s="487"/>
      <c r="XBU745" s="487"/>
      <c r="XBV745" s="487"/>
      <c r="XBW745" s="487"/>
      <c r="XBX745" s="487"/>
      <c r="XBY745" s="487"/>
      <c r="XBZ745" s="487"/>
      <c r="XCA745" s="487"/>
      <c r="XCB745" s="487"/>
      <c r="XCC745" s="487"/>
      <c r="XCD745" s="487"/>
      <c r="XCE745" s="487"/>
      <c r="XCF745" s="487"/>
      <c r="XCG745" s="487"/>
      <c r="XCH745" s="487"/>
      <c r="XCI745" s="487"/>
      <c r="XCJ745" s="487"/>
      <c r="XCK745" s="487"/>
      <c r="XCL745" s="487"/>
      <c r="XCM745" s="487"/>
      <c r="XCN745" s="487"/>
      <c r="XCO745" s="487"/>
      <c r="XCP745" s="487"/>
      <c r="XCQ745" s="487"/>
      <c r="XCR745" s="487"/>
      <c r="XCS745" s="487"/>
      <c r="XCT745" s="487"/>
      <c r="XCU745" s="487"/>
      <c r="XCV745" s="487"/>
      <c r="XCW745" s="487"/>
      <c r="XCX745" s="487"/>
      <c r="XCY745" s="487"/>
      <c r="XCZ745" s="487"/>
      <c r="XDA745" s="487"/>
      <c r="XDB745" s="487"/>
      <c r="XDC745" s="487"/>
      <c r="XDD745" s="487"/>
      <c r="XDE745" s="487"/>
      <c r="XDF745" s="487"/>
      <c r="XDG745" s="487"/>
      <c r="XDH745" s="487"/>
      <c r="XDI745" s="487"/>
      <c r="XDJ745" s="487"/>
      <c r="XDK745" s="487"/>
      <c r="XDL745" s="487"/>
      <c r="XDM745" s="487"/>
      <c r="XDN745" s="487"/>
      <c r="XDO745" s="487"/>
      <c r="XDP745" s="487"/>
      <c r="XDQ745" s="487"/>
      <c r="XDR745" s="487"/>
      <c r="XDS745" s="487"/>
      <c r="XDT745" s="487"/>
      <c r="XDU745" s="487"/>
      <c r="XDV745" s="487"/>
      <c r="XDW745" s="487"/>
      <c r="XDX745" s="487"/>
      <c r="XDY745" s="487"/>
      <c r="XDZ745" s="487"/>
      <c r="XEA745" s="487"/>
      <c r="XEB745" s="487"/>
      <c r="XEC745" s="487"/>
      <c r="XED745" s="487"/>
      <c r="XEE745" s="487"/>
      <c r="XEF745" s="487"/>
      <c r="XEG745" s="487"/>
      <c r="XEH745" s="487"/>
      <c r="XEI745" s="487"/>
      <c r="XEJ745" s="487"/>
      <c r="XEK745" s="487"/>
      <c r="XEL745" s="487"/>
      <c r="XEM745" s="487"/>
      <c r="XEN745" s="487"/>
      <c r="XEO745" s="487"/>
      <c r="XEP745" s="487"/>
      <c r="XEQ745" s="487"/>
      <c r="XER745" s="487"/>
      <c r="XES745" s="487"/>
      <c r="XET745" s="487"/>
      <c r="XEU745" s="487"/>
      <c r="XEV745" s="487"/>
      <c r="XEW745" s="487"/>
      <c r="XEX745" s="487"/>
      <c r="XEY745" s="487"/>
      <c r="XEZ745" s="487"/>
      <c r="XFA745" s="487"/>
      <c r="XFB745" s="487"/>
      <c r="XFC745" s="487"/>
    </row>
    <row r="746" spans="1:16383" ht="12.95" customHeight="1">
      <c r="A746" s="50" t="s">
        <v>585</v>
      </c>
      <c r="B746" s="91"/>
      <c r="C746" s="92" t="s">
        <v>425</v>
      </c>
      <c r="D746" s="91"/>
      <c r="E746" s="91"/>
      <c r="F746" s="91"/>
      <c r="G746" s="19"/>
      <c r="H746" s="19"/>
      <c r="I746" s="19"/>
      <c r="J746" s="19"/>
      <c r="K746" s="19"/>
      <c r="L746" s="91"/>
      <c r="M746" s="91"/>
      <c r="N746" s="91"/>
      <c r="O746" s="91"/>
      <c r="P746" s="91"/>
      <c r="Q746" s="19"/>
      <c r="R746" s="19"/>
      <c r="S746" s="19"/>
      <c r="T746" s="19"/>
      <c r="U746" s="19"/>
      <c r="AT746" s="88"/>
      <c r="AU746" s="88"/>
      <c r="AV746" s="88"/>
      <c r="AW746" s="88"/>
      <c r="AX746" s="88"/>
      <c r="AY746" s="8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6383" s="58" customFormat="1" ht="12.95" customHeight="1">
      <c r="B747" s="1689"/>
      <c r="C747" s="253" t="s">
        <v>177</v>
      </c>
      <c r="D747" s="1689"/>
      <c r="E747" s="1689"/>
      <c r="F747" s="1689"/>
      <c r="G747" s="1421"/>
      <c r="H747" s="1421"/>
      <c r="I747" s="1421"/>
      <c r="J747" s="1421"/>
      <c r="K747" s="1421"/>
      <c r="L747" s="1689"/>
      <c r="M747" s="1689"/>
      <c r="N747" s="1689"/>
      <c r="O747" s="1689"/>
      <c r="P747" s="1689"/>
      <c r="Q747" s="1421"/>
      <c r="R747" s="1421"/>
      <c r="S747" s="1421"/>
      <c r="T747" s="1421"/>
      <c r="U747" s="1421"/>
      <c r="V747" s="238"/>
      <c r="W747" s="238"/>
      <c r="X747" s="238"/>
      <c r="Y747" s="238"/>
      <c r="Z747" s="238"/>
      <c r="AA747" s="238"/>
      <c r="AB747" s="238"/>
      <c r="AC747" s="238"/>
      <c r="AD747" s="238"/>
      <c r="AE747" s="238"/>
      <c r="AF747" s="238"/>
      <c r="AG747" s="238"/>
      <c r="AH747" s="238"/>
      <c r="AI747" s="238"/>
      <c r="AJ747" s="238"/>
      <c r="AK747" s="238"/>
      <c r="AM747" s="238"/>
      <c r="AN747" s="238"/>
      <c r="AO747" s="238"/>
      <c r="AP747" s="238"/>
      <c r="AQ747" s="238"/>
      <c r="AR747" s="238"/>
      <c r="AS747" s="238"/>
      <c r="AT747" s="88"/>
      <c r="AU747" s="88"/>
      <c r="AV747" s="88"/>
      <c r="AW747" s="88"/>
      <c r="AX747" s="88"/>
      <c r="AY747" s="88"/>
      <c r="CR747" s="177"/>
    </row>
    <row r="748" spans="1:16383" s="58" customFormat="1" ht="12.95" customHeight="1">
      <c r="B748" s="1689"/>
      <c r="C748" s="2216" t="s">
        <v>2502</v>
      </c>
      <c r="D748" s="2216"/>
      <c r="E748" s="2216"/>
      <c r="F748" s="2216"/>
      <c r="G748" s="2216"/>
      <c r="H748" s="2216"/>
      <c r="I748" s="2216"/>
      <c r="J748" s="2216"/>
      <c r="K748" s="2216"/>
      <c r="L748" s="2216"/>
      <c r="M748" s="2216"/>
      <c r="N748" s="2216"/>
      <c r="O748" s="2216"/>
      <c r="P748" s="2216"/>
      <c r="Q748" s="2216"/>
      <c r="R748" s="2216"/>
      <c r="S748" s="2216"/>
      <c r="T748" s="2216"/>
      <c r="U748" s="2216"/>
      <c r="V748" s="2216"/>
      <c r="W748" s="2216"/>
      <c r="X748" s="2216"/>
      <c r="Y748" s="2216"/>
      <c r="Z748" s="2216"/>
      <c r="AA748" s="2216"/>
      <c r="AB748" s="2216"/>
      <c r="AC748" s="2216"/>
      <c r="AD748" s="2216"/>
      <c r="AE748" s="2216"/>
      <c r="AF748" s="2216"/>
      <c r="AG748" s="2216"/>
      <c r="AH748" s="2216"/>
      <c r="AI748" s="2216"/>
      <c r="AJ748" s="2216"/>
      <c r="AK748" s="2216"/>
      <c r="AL748" s="2216"/>
      <c r="AM748" s="2216"/>
      <c r="AN748" s="2216"/>
      <c r="AO748" s="2216"/>
      <c r="AP748" s="2216"/>
      <c r="AQ748" s="2216"/>
      <c r="AR748" s="2216"/>
      <c r="AS748" s="238"/>
      <c r="AT748" s="88"/>
      <c r="AU748" s="88"/>
      <c r="AV748" s="88"/>
      <c r="AW748" s="88"/>
      <c r="AX748" s="88"/>
      <c r="AY748" s="88"/>
      <c r="CR748" s="177"/>
    </row>
    <row r="749" spans="1:16383" s="58" customFormat="1" ht="12.95" customHeight="1">
      <c r="A749" s="238"/>
      <c r="B749" s="1689"/>
      <c r="C749" s="2216"/>
      <c r="D749" s="2216"/>
      <c r="E749" s="2216"/>
      <c r="F749" s="2216"/>
      <c r="G749" s="2216"/>
      <c r="H749" s="2216"/>
      <c r="I749" s="2216"/>
      <c r="J749" s="2216"/>
      <c r="K749" s="2216"/>
      <c r="L749" s="2216"/>
      <c r="M749" s="2216"/>
      <c r="N749" s="2216"/>
      <c r="O749" s="2216"/>
      <c r="P749" s="2216"/>
      <c r="Q749" s="2216"/>
      <c r="R749" s="2216"/>
      <c r="S749" s="2216"/>
      <c r="T749" s="2216"/>
      <c r="U749" s="2216"/>
      <c r="V749" s="2216"/>
      <c r="W749" s="2216"/>
      <c r="X749" s="2216"/>
      <c r="Y749" s="2216"/>
      <c r="Z749" s="2216"/>
      <c r="AA749" s="2216"/>
      <c r="AB749" s="2216"/>
      <c r="AC749" s="2216"/>
      <c r="AD749" s="2216"/>
      <c r="AE749" s="2216"/>
      <c r="AF749" s="2216"/>
      <c r="AG749" s="2216"/>
      <c r="AH749" s="2216"/>
      <c r="AI749" s="2216"/>
      <c r="AJ749" s="2216"/>
      <c r="AK749" s="2216"/>
      <c r="AL749" s="2216"/>
      <c r="AM749" s="2216"/>
      <c r="AN749" s="2216"/>
      <c r="AO749" s="2216"/>
      <c r="AP749" s="2216"/>
      <c r="AQ749" s="2216"/>
      <c r="AR749" s="2216"/>
      <c r="AS749" s="238"/>
      <c r="AT749" s="88"/>
      <c r="AU749" s="88"/>
      <c r="AV749" s="88"/>
      <c r="AW749" s="88"/>
      <c r="AX749" s="88"/>
      <c r="AY749" s="88"/>
      <c r="CR749" s="177"/>
    </row>
    <row r="750" spans="1:16383" s="58" customFormat="1" ht="12.95" customHeight="1">
      <c r="B750" s="1689"/>
      <c r="C750" s="2216"/>
      <c r="D750" s="2216"/>
      <c r="E750" s="2216"/>
      <c r="F750" s="2216"/>
      <c r="G750" s="2216"/>
      <c r="H750" s="2216"/>
      <c r="I750" s="2216"/>
      <c r="J750" s="2216"/>
      <c r="K750" s="2216"/>
      <c r="L750" s="2216"/>
      <c r="M750" s="2216"/>
      <c r="N750" s="2216"/>
      <c r="O750" s="2216"/>
      <c r="P750" s="2216"/>
      <c r="Q750" s="2216"/>
      <c r="R750" s="2216"/>
      <c r="S750" s="2216"/>
      <c r="T750" s="2216"/>
      <c r="U750" s="2216"/>
      <c r="V750" s="2216"/>
      <c r="W750" s="2216"/>
      <c r="X750" s="2216"/>
      <c r="Y750" s="2216"/>
      <c r="Z750" s="2216"/>
      <c r="AA750" s="2216"/>
      <c r="AB750" s="2216"/>
      <c r="AC750" s="2216"/>
      <c r="AD750" s="2216"/>
      <c r="AE750" s="2216"/>
      <c r="AF750" s="2216"/>
      <c r="AG750" s="2216"/>
      <c r="AH750" s="2216"/>
      <c r="AI750" s="2216"/>
      <c r="AJ750" s="2216"/>
      <c r="AK750" s="2216"/>
      <c r="AL750" s="2216"/>
      <c r="AM750" s="2216"/>
      <c r="AN750" s="2216"/>
      <c r="AO750" s="2216"/>
      <c r="AP750" s="2216"/>
      <c r="AQ750" s="2216"/>
      <c r="AR750" s="2216"/>
      <c r="AS750" s="238"/>
      <c r="AT750" s="88"/>
      <c r="AU750" s="88"/>
      <c r="AV750" s="88"/>
      <c r="AW750" s="88"/>
      <c r="AX750" s="88"/>
      <c r="AY750" s="88"/>
      <c r="CR750" s="177"/>
    </row>
    <row r="751" spans="1:16383" s="58" customFormat="1" ht="12.95" customHeight="1">
      <c r="B751" s="1689"/>
      <c r="C751" s="2216" t="s">
        <v>2503</v>
      </c>
      <c r="D751" s="2216"/>
      <c r="E751" s="2216"/>
      <c r="F751" s="2216"/>
      <c r="G751" s="2216"/>
      <c r="H751" s="2216"/>
      <c r="I751" s="2216"/>
      <c r="J751" s="2216"/>
      <c r="K751" s="2216"/>
      <c r="L751" s="2216"/>
      <c r="M751" s="2216"/>
      <c r="N751" s="2216"/>
      <c r="O751" s="2216"/>
      <c r="P751" s="2216"/>
      <c r="Q751" s="2216"/>
      <c r="R751" s="2216"/>
      <c r="S751" s="2216"/>
      <c r="T751" s="2216"/>
      <c r="U751" s="2216"/>
      <c r="V751" s="2216"/>
      <c r="W751" s="2216"/>
      <c r="X751" s="2216"/>
      <c r="Y751" s="2216"/>
      <c r="Z751" s="2216"/>
      <c r="AA751" s="2216"/>
      <c r="AB751" s="2216"/>
      <c r="AC751" s="2216"/>
      <c r="AD751" s="2216"/>
      <c r="AE751" s="2216"/>
      <c r="AF751" s="2216"/>
      <c r="AG751" s="2216"/>
      <c r="AH751" s="2216"/>
      <c r="AI751" s="2216"/>
      <c r="AJ751" s="2216"/>
      <c r="AK751" s="2216"/>
      <c r="AL751" s="2216"/>
      <c r="AM751" s="2216"/>
      <c r="AN751" s="2216"/>
      <c r="AO751" s="2216"/>
      <c r="AP751" s="2216"/>
      <c r="AQ751" s="2216"/>
      <c r="AR751" s="2216"/>
      <c r="AS751" s="238"/>
      <c r="AT751" s="88"/>
      <c r="AU751" s="88"/>
      <c r="AV751" s="88"/>
      <c r="AW751" s="88"/>
      <c r="AX751" s="88"/>
      <c r="AY751" s="88"/>
      <c r="CR751" s="177"/>
    </row>
    <row r="752" spans="1:16383" s="58" customFormat="1" ht="12.95" customHeight="1">
      <c r="B752" s="1689"/>
      <c r="C752" s="2216"/>
      <c r="D752" s="2216"/>
      <c r="E752" s="2216"/>
      <c r="F752" s="2216"/>
      <c r="G752" s="2216"/>
      <c r="H752" s="2216"/>
      <c r="I752" s="2216"/>
      <c r="J752" s="2216"/>
      <c r="K752" s="2216"/>
      <c r="L752" s="2216"/>
      <c r="M752" s="2216"/>
      <c r="N752" s="2216"/>
      <c r="O752" s="2216"/>
      <c r="P752" s="2216"/>
      <c r="Q752" s="2216"/>
      <c r="R752" s="2216"/>
      <c r="S752" s="2216"/>
      <c r="T752" s="2216"/>
      <c r="U752" s="2216"/>
      <c r="V752" s="2216"/>
      <c r="W752" s="2216"/>
      <c r="X752" s="2216"/>
      <c r="Y752" s="2216"/>
      <c r="Z752" s="2216"/>
      <c r="AA752" s="2216"/>
      <c r="AB752" s="2216"/>
      <c r="AC752" s="2216"/>
      <c r="AD752" s="2216"/>
      <c r="AE752" s="2216"/>
      <c r="AF752" s="2216"/>
      <c r="AG752" s="2216"/>
      <c r="AH752" s="2216"/>
      <c r="AI752" s="2216"/>
      <c r="AJ752" s="2216"/>
      <c r="AK752" s="2216"/>
      <c r="AL752" s="2216"/>
      <c r="AM752" s="2216"/>
      <c r="AN752" s="2216"/>
      <c r="AO752" s="2216"/>
      <c r="AP752" s="2216"/>
      <c r="AQ752" s="2216"/>
      <c r="AR752" s="2216"/>
      <c r="AS752" s="238"/>
      <c r="AT752" s="88"/>
      <c r="AU752" s="88"/>
      <c r="AV752" s="88"/>
      <c r="AW752" s="88"/>
      <c r="AX752" s="88"/>
      <c r="AY752" s="88"/>
      <c r="CR752" s="177"/>
    </row>
    <row r="753" spans="1:110" s="58" customFormat="1" ht="12.95" customHeight="1">
      <c r="B753" s="1689"/>
      <c r="C753" s="2216"/>
      <c r="D753" s="2216"/>
      <c r="E753" s="2216"/>
      <c r="F753" s="2216"/>
      <c r="G753" s="2216"/>
      <c r="H753" s="2216"/>
      <c r="I753" s="2216"/>
      <c r="J753" s="2216"/>
      <c r="K753" s="2216"/>
      <c r="L753" s="2216"/>
      <c r="M753" s="2216"/>
      <c r="N753" s="2216"/>
      <c r="O753" s="2216"/>
      <c r="P753" s="2216"/>
      <c r="Q753" s="2216"/>
      <c r="R753" s="2216"/>
      <c r="S753" s="2216"/>
      <c r="T753" s="2216"/>
      <c r="U753" s="2216"/>
      <c r="V753" s="2216"/>
      <c r="W753" s="2216"/>
      <c r="X753" s="2216"/>
      <c r="Y753" s="2216"/>
      <c r="Z753" s="2216"/>
      <c r="AA753" s="2216"/>
      <c r="AB753" s="2216"/>
      <c r="AC753" s="2216"/>
      <c r="AD753" s="2216"/>
      <c r="AE753" s="2216"/>
      <c r="AF753" s="2216"/>
      <c r="AG753" s="2216"/>
      <c r="AH753" s="2216"/>
      <c r="AI753" s="2216"/>
      <c r="AJ753" s="2216"/>
      <c r="AK753" s="2216"/>
      <c r="AL753" s="2216"/>
      <c r="AM753" s="2216"/>
      <c r="AN753" s="2216"/>
      <c r="AO753" s="2216"/>
      <c r="AP753" s="2216"/>
      <c r="AQ753" s="2216"/>
      <c r="AR753" s="2216"/>
      <c r="AS753" s="238"/>
      <c r="AT753" s="88"/>
      <c r="AU753" s="88"/>
      <c r="AV753" s="88"/>
      <c r="AW753" s="88"/>
      <c r="AX753" s="88"/>
      <c r="AY753" s="88"/>
      <c r="CR753" s="177"/>
    </row>
    <row r="754" spans="1:110" ht="12.95" customHeight="1">
      <c r="J754" s="2204" t="s">
        <v>390</v>
      </c>
      <c r="K754" s="2205"/>
      <c r="L754" s="2205"/>
      <c r="M754" s="2205"/>
      <c r="N754" s="2206"/>
      <c r="O754" s="2419" t="s">
        <v>286</v>
      </c>
      <c r="P754" s="2419"/>
      <c r="Q754" s="2419"/>
      <c r="R754" s="2419"/>
      <c r="S754" s="2419"/>
      <c r="T754" s="2218" t="s">
        <v>1932</v>
      </c>
      <c r="U754" s="2219"/>
      <c r="V754" s="2219"/>
      <c r="W754" s="2220"/>
      <c r="X754" s="2204" t="s">
        <v>456</v>
      </c>
      <c r="Y754" s="2205"/>
      <c r="Z754" s="2205"/>
      <c r="AA754" s="2205"/>
      <c r="AB754" s="2206"/>
      <c r="AC754" s="2204" t="s">
        <v>287</v>
      </c>
      <c r="AD754" s="2205"/>
      <c r="AE754" s="2205"/>
      <c r="AF754" s="2205"/>
      <c r="AG754" s="2206"/>
      <c r="AH754" s="1590"/>
      <c r="AI754" s="1653"/>
      <c r="AJ754" s="1653"/>
      <c r="AK754" s="1653"/>
      <c r="AL754" s="1653"/>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10" ht="12.95" customHeight="1">
      <c r="J755" s="2207"/>
      <c r="K755" s="2208"/>
      <c r="L755" s="2208"/>
      <c r="M755" s="2208"/>
      <c r="N755" s="2209"/>
      <c r="O755" s="2419"/>
      <c r="P755" s="2419"/>
      <c r="Q755" s="2419"/>
      <c r="R755" s="2419"/>
      <c r="S755" s="2419"/>
      <c r="T755" s="2221"/>
      <c r="U755" s="2222"/>
      <c r="V755" s="2222"/>
      <c r="W755" s="2223"/>
      <c r="X755" s="2207"/>
      <c r="Y755" s="2208"/>
      <c r="Z755" s="2208"/>
      <c r="AA755" s="2208"/>
      <c r="AB755" s="2209"/>
      <c r="AC755" s="2207"/>
      <c r="AD755" s="2208"/>
      <c r="AE755" s="2208"/>
      <c r="AF755" s="2208"/>
      <c r="AG755" s="2209"/>
      <c r="AH755" s="1653"/>
      <c r="AI755" s="1653"/>
      <c r="AJ755" s="1653"/>
      <c r="AK755" s="1653"/>
      <c r="AL755" s="1653"/>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10" ht="12.95" customHeight="1">
      <c r="J756" s="2207"/>
      <c r="K756" s="2208"/>
      <c r="L756" s="2208"/>
      <c r="M756" s="2208"/>
      <c r="N756" s="2209"/>
      <c r="O756" s="2419"/>
      <c r="P756" s="2419"/>
      <c r="Q756" s="2419"/>
      <c r="R756" s="2419"/>
      <c r="S756" s="2419"/>
      <c r="T756" s="2221"/>
      <c r="U756" s="2222"/>
      <c r="V756" s="2222"/>
      <c r="W756" s="2223"/>
      <c r="X756" s="2207"/>
      <c r="Y756" s="2208"/>
      <c r="Z756" s="2208"/>
      <c r="AA756" s="2208"/>
      <c r="AB756" s="2209"/>
      <c r="AC756" s="2207"/>
      <c r="AD756" s="2208"/>
      <c r="AE756" s="2208"/>
      <c r="AF756" s="2208"/>
      <c r="AG756" s="2209"/>
      <c r="AH756" s="1653"/>
      <c r="AI756" s="39"/>
      <c r="AJ756" s="39"/>
      <c r="AK756" s="1653"/>
      <c r="AL756" s="1653"/>
      <c r="AT756" s="88"/>
      <c r="AU756" s="88"/>
      <c r="AV756" s="88"/>
      <c r="AW756" s="88"/>
      <c r="AX756" s="88"/>
      <c r="AY756" s="8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10" ht="12.95" customHeight="1">
      <c r="J757" s="2210"/>
      <c r="K757" s="2211"/>
      <c r="L757" s="2211"/>
      <c r="M757" s="2211"/>
      <c r="N757" s="2212"/>
      <c r="O757" s="2419"/>
      <c r="P757" s="2419"/>
      <c r="Q757" s="2419"/>
      <c r="R757" s="2419"/>
      <c r="S757" s="2419"/>
      <c r="T757" s="2224"/>
      <c r="U757" s="2225"/>
      <c r="V757" s="2225"/>
      <c r="W757" s="2226"/>
      <c r="X757" s="2210"/>
      <c r="Y757" s="2211"/>
      <c r="Z757" s="2211"/>
      <c r="AA757" s="2211"/>
      <c r="AB757" s="2212"/>
      <c r="AC757" s="2210"/>
      <c r="AD757" s="2211"/>
      <c r="AE757" s="2211"/>
      <c r="AF757" s="2211"/>
      <c r="AG757" s="2212"/>
      <c r="AH757" s="1653"/>
      <c r="AI757" s="1653"/>
      <c r="AJ757" s="1653"/>
      <c r="AK757" s="1653"/>
      <c r="AL757" s="165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10" ht="12.95" customHeight="1">
      <c r="J758" s="2144" t="s">
        <v>326</v>
      </c>
      <c r="K758" s="2145"/>
      <c r="L758" s="2145"/>
      <c r="M758" s="2145"/>
      <c r="N758" s="2156"/>
      <c r="O758" s="2094">
        <v>2</v>
      </c>
      <c r="P758" s="2094"/>
      <c r="Q758" s="2094"/>
      <c r="R758" s="2094"/>
      <c r="S758" s="2094"/>
      <c r="T758" s="2198">
        <v>1033</v>
      </c>
      <c r="U758" s="2199"/>
      <c r="V758" s="2199"/>
      <c r="W758" s="2200"/>
      <c r="X758" s="2195"/>
      <c r="Y758" s="2196"/>
      <c r="Z758" s="2196"/>
      <c r="AA758" s="2196"/>
      <c r="AB758" s="2197"/>
      <c r="AC758" s="2213">
        <f>X758*O758</f>
        <v>0</v>
      </c>
      <c r="AD758" s="2214"/>
      <c r="AE758" s="2214"/>
      <c r="AF758" s="2214"/>
      <c r="AG758" s="2215"/>
      <c r="AH758" s="1654"/>
      <c r="AI758" s="1653"/>
      <c r="AJ758" s="1653"/>
      <c r="AK758" s="1654"/>
      <c r="AL758" s="1654"/>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10" ht="12.95" customHeight="1">
      <c r="J759" s="2144"/>
      <c r="K759" s="2145"/>
      <c r="L759" s="2145"/>
      <c r="M759" s="2145"/>
      <c r="N759" s="2156"/>
      <c r="O759" s="2094"/>
      <c r="P759" s="2094"/>
      <c r="Q759" s="2094"/>
      <c r="R759" s="2094"/>
      <c r="S759" s="2094"/>
      <c r="T759" s="2198"/>
      <c r="U759" s="2199"/>
      <c r="V759" s="2199"/>
      <c r="W759" s="2200"/>
      <c r="X759" s="2195"/>
      <c r="Y759" s="2196"/>
      <c r="Z759" s="2196"/>
      <c r="AA759" s="2196"/>
      <c r="AB759" s="2197"/>
      <c r="AC759" s="2213">
        <f>X759*O759</f>
        <v>0</v>
      </c>
      <c r="AD759" s="2214"/>
      <c r="AE759" s="2214"/>
      <c r="AF759" s="2214"/>
      <c r="AG759" s="2215"/>
      <c r="AH759" s="1654"/>
      <c r="AI759" s="1654"/>
      <c r="AJ759" s="1654"/>
      <c r="AK759" s="1654"/>
      <c r="AL759" s="1654"/>
      <c r="AT759" s="88"/>
      <c r="AU759" s="88"/>
      <c r="AV759" s="88"/>
      <c r="AW759" s="88"/>
      <c r="AX759" s="88"/>
      <c r="AY759" s="8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E759" s="58"/>
      <c r="CF759" s="58"/>
      <c r="CG759" s="58"/>
      <c r="CH759" s="58"/>
      <c r="CI759" s="58"/>
      <c r="CJ759" s="58"/>
      <c r="CK759" s="58"/>
      <c r="CL759" s="58"/>
      <c r="CM759" s="58"/>
      <c r="CN759" s="58"/>
      <c r="CO759" s="58"/>
      <c r="CP759" s="58"/>
      <c r="CQ759" s="58"/>
      <c r="CR759" s="177"/>
      <c r="CS759" s="58"/>
      <c r="CT759" s="58"/>
      <c r="CU759" s="58"/>
      <c r="CV759" s="58"/>
      <c r="CW759" s="58"/>
      <c r="CX759" s="58"/>
      <c r="CY759" s="58"/>
      <c r="CZ759" s="58"/>
      <c r="DA759" s="58"/>
      <c r="DB759" s="58"/>
      <c r="DC759" s="58"/>
      <c r="DD759" s="58"/>
      <c r="DE759" s="58"/>
      <c r="DF759" s="58"/>
    </row>
    <row r="760" spans="1:110" ht="12.95" customHeight="1">
      <c r="J760" s="2144"/>
      <c r="K760" s="2145"/>
      <c r="L760" s="2145"/>
      <c r="M760" s="2145"/>
      <c r="N760" s="2156"/>
      <c r="O760" s="2094"/>
      <c r="P760" s="2094"/>
      <c r="Q760" s="2094"/>
      <c r="R760" s="2094"/>
      <c r="S760" s="2094"/>
      <c r="T760" s="2198"/>
      <c r="U760" s="2199"/>
      <c r="V760" s="2199"/>
      <c r="W760" s="2200"/>
      <c r="X760" s="2195"/>
      <c r="Y760" s="2196"/>
      <c r="Z760" s="2196"/>
      <c r="AA760" s="2196"/>
      <c r="AB760" s="2197"/>
      <c r="AC760" s="2213">
        <f>X760*O760</f>
        <v>0</v>
      </c>
      <c r="AD760" s="2214"/>
      <c r="AE760" s="2214"/>
      <c r="AF760" s="2214"/>
      <c r="AG760" s="2215"/>
      <c r="AH760" s="1654"/>
      <c r="AI760" s="1654"/>
      <c r="AJ760" s="1654"/>
      <c r="AK760" s="1654"/>
      <c r="AL760" s="1654"/>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10" ht="12.95" customHeight="1">
      <c r="J761" s="2144"/>
      <c r="K761" s="2145"/>
      <c r="L761" s="2145"/>
      <c r="M761" s="2145"/>
      <c r="N761" s="2156"/>
      <c r="O761" s="2094"/>
      <c r="P761" s="2094"/>
      <c r="Q761" s="2094"/>
      <c r="R761" s="2094"/>
      <c r="S761" s="2094"/>
      <c r="T761" s="2198"/>
      <c r="U761" s="2199"/>
      <c r="V761" s="2199"/>
      <c r="W761" s="2200"/>
      <c r="X761" s="2195"/>
      <c r="Y761" s="2196"/>
      <c r="Z761" s="2196"/>
      <c r="AA761" s="2196"/>
      <c r="AB761" s="2197"/>
      <c r="AC761" s="2213">
        <f>X761*O761</f>
        <v>0</v>
      </c>
      <c r="AD761" s="2214"/>
      <c r="AE761" s="2214"/>
      <c r="AF761" s="2214"/>
      <c r="AG761" s="2215"/>
      <c r="AH761" s="1654"/>
      <c r="AI761" s="1654"/>
      <c r="AJ761" s="1654"/>
      <c r="AK761" s="1654"/>
      <c r="AL761" s="1654"/>
      <c r="AT761" s="88"/>
      <c r="AU761" s="88"/>
      <c r="AV761" s="88"/>
      <c r="AW761" s="88"/>
      <c r="AX761" s="88"/>
      <c r="AY761" s="8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10" ht="12.95" customHeight="1">
      <c r="J762" s="2305" t="s">
        <v>126</v>
      </c>
      <c r="K762" s="2306"/>
      <c r="L762" s="2306"/>
      <c r="M762" s="2306"/>
      <c r="N762" s="2308"/>
      <c r="O762" s="2315">
        <f>SUM(O758:S761)</f>
        <v>2</v>
      </c>
      <c r="P762" s="2316"/>
      <c r="Q762" s="2316"/>
      <c r="R762" s="2316"/>
      <c r="S762" s="2317"/>
      <c r="X762" s="2494" t="s">
        <v>125</v>
      </c>
      <c r="Y762" s="2495"/>
      <c r="Z762" s="2495"/>
      <c r="AA762" s="2495"/>
      <c r="AB762" s="2496"/>
      <c r="AC762" s="2213">
        <f>SUM(AC758:AG761)</f>
        <v>0</v>
      </c>
      <c r="AD762" s="2214"/>
      <c r="AE762" s="2214"/>
      <c r="AF762" s="2214"/>
      <c r="AG762" s="2215"/>
      <c r="AH762" s="39"/>
      <c r="AI762" s="1654"/>
      <c r="AJ762" s="1654"/>
      <c r="AK762" s="39"/>
      <c r="AL762" s="39"/>
      <c r="AT762" s="88"/>
      <c r="AU762" s="88"/>
      <c r="AV762" s="88"/>
      <c r="AW762" s="88"/>
      <c r="AX762" s="88"/>
      <c r="AY762" s="8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10" ht="12.95" customHeight="1">
      <c r="J763" s="89"/>
      <c r="K763" s="89"/>
      <c r="L763" s="89"/>
      <c r="M763" s="89"/>
      <c r="N763" s="89"/>
      <c r="O763" s="19"/>
      <c r="P763" s="19"/>
      <c r="Q763" s="19"/>
      <c r="R763" s="19"/>
      <c r="S763" s="19"/>
      <c r="T763" s="91"/>
      <c r="U763" s="91"/>
      <c r="V763" s="91"/>
      <c r="W763" s="91"/>
      <c r="X763" s="91"/>
      <c r="Y763" s="280"/>
      <c r="Z763" s="281"/>
      <c r="AA763" s="281"/>
      <c r="AB763" s="281"/>
      <c r="AC763" s="281"/>
      <c r="AT763" s="88"/>
      <c r="AU763" s="88"/>
      <c r="AV763" s="88"/>
      <c r="AW763" s="88"/>
      <c r="AX763" s="88"/>
      <c r="AY763" s="8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10" ht="12.95" customHeight="1">
      <c r="B764" s="89"/>
      <c r="C764" s="89"/>
      <c r="D764" s="89"/>
      <c r="E764" s="89"/>
      <c r="F764" s="89"/>
      <c r="G764" s="19"/>
      <c r="H764" s="19"/>
      <c r="I764" s="19"/>
      <c r="J764" s="2100" t="s">
        <v>678</v>
      </c>
      <c r="K764" s="2100"/>
      <c r="L764" s="91"/>
      <c r="M764" s="62" t="s">
        <v>1016</v>
      </c>
      <c r="N764" s="91"/>
      <c r="O764" s="91"/>
      <c r="P764" s="91"/>
      <c r="Q764" s="19"/>
      <c r="R764" s="19"/>
      <c r="S764" s="19"/>
      <c r="T764" s="19"/>
      <c r="U764" s="19"/>
      <c r="AV764" s="39">
        <f>SUM(AW740:AW763)</f>
        <v>0</v>
      </c>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10" ht="12.95" customHeight="1">
      <c r="B765" s="89"/>
      <c r="C765" s="89"/>
      <c r="D765" s="89"/>
      <c r="E765" s="89"/>
      <c r="F765" s="89"/>
      <c r="G765" s="19"/>
      <c r="H765" s="19"/>
      <c r="I765" s="19"/>
      <c r="J765" s="19"/>
      <c r="K765" s="19"/>
      <c r="L765" s="91"/>
      <c r="M765" s="62" t="s">
        <v>2504</v>
      </c>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10" ht="12.95" customHeight="1">
      <c r="A766" s="50" t="s">
        <v>595</v>
      </c>
      <c r="B766" s="93"/>
      <c r="C766" s="93" t="s">
        <v>288</v>
      </c>
      <c r="D766" s="89"/>
      <c r="E766" s="89"/>
      <c r="F766" s="89"/>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10" ht="12.95" customHeight="1">
      <c r="B767" s="89"/>
      <c r="C767" s="89"/>
      <c r="D767" s="89"/>
      <c r="E767" s="89"/>
      <c r="F767" s="89"/>
      <c r="G767" s="19"/>
      <c r="H767" s="19"/>
      <c r="I767" s="19"/>
      <c r="J767" s="89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10" ht="12.95" customHeight="1">
      <c r="J768" s="2204" t="s">
        <v>390</v>
      </c>
      <c r="K768" s="2205"/>
      <c r="L768" s="2205"/>
      <c r="M768" s="2205"/>
      <c r="N768" s="2206"/>
      <c r="O768" s="2419" t="s">
        <v>286</v>
      </c>
      <c r="P768" s="2419"/>
      <c r="Q768" s="2419"/>
      <c r="R768" s="2419"/>
      <c r="S768" s="2419"/>
      <c r="T768" s="2218" t="s">
        <v>1932</v>
      </c>
      <c r="U768" s="2219"/>
      <c r="V768" s="2219"/>
      <c r="W768" s="2220"/>
      <c r="X768" s="2204" t="s">
        <v>456</v>
      </c>
      <c r="Y768" s="2205"/>
      <c r="Z768" s="2205"/>
      <c r="AA768" s="2205"/>
      <c r="AB768" s="2206"/>
      <c r="AC768" s="2204" t="s">
        <v>287</v>
      </c>
      <c r="AD768" s="2205"/>
      <c r="AE768" s="2205"/>
      <c r="AF768" s="2205"/>
      <c r="AG768" s="2206"/>
      <c r="AH768" s="2343" t="s">
        <v>2125</v>
      </c>
      <c r="AI768" s="2344"/>
      <c r="AJ768" s="2344"/>
      <c r="AK768" s="2344"/>
      <c r="AL768" s="234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0:110" ht="12.95" customHeight="1">
      <c r="J769" s="2207"/>
      <c r="K769" s="2208"/>
      <c r="L769" s="2208"/>
      <c r="M769" s="2208"/>
      <c r="N769" s="2209"/>
      <c r="O769" s="2419"/>
      <c r="P769" s="2419"/>
      <c r="Q769" s="2419"/>
      <c r="R769" s="2419"/>
      <c r="S769" s="2419"/>
      <c r="T769" s="2221"/>
      <c r="U769" s="2222"/>
      <c r="V769" s="2222"/>
      <c r="W769" s="2223"/>
      <c r="X769" s="2207"/>
      <c r="Y769" s="2208"/>
      <c r="Z769" s="2208"/>
      <c r="AA769" s="2208"/>
      <c r="AB769" s="2209"/>
      <c r="AC769" s="2207"/>
      <c r="AD769" s="2208"/>
      <c r="AE769" s="2208"/>
      <c r="AF769" s="2208"/>
      <c r="AG769" s="2209"/>
      <c r="AH769" s="2343"/>
      <c r="AI769" s="2344"/>
      <c r="AJ769" s="2344"/>
      <c r="AK769" s="2344"/>
      <c r="AL769" s="234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0:110" ht="12.95" customHeight="1">
      <c r="J770" s="2207"/>
      <c r="K770" s="2208"/>
      <c r="L770" s="2208"/>
      <c r="M770" s="2208"/>
      <c r="N770" s="2209"/>
      <c r="O770" s="2419"/>
      <c r="P770" s="2419"/>
      <c r="Q770" s="2419"/>
      <c r="R770" s="2419"/>
      <c r="S770" s="2419"/>
      <c r="T770" s="2221"/>
      <c r="U770" s="2222"/>
      <c r="V770" s="2222"/>
      <c r="W770" s="2223"/>
      <c r="X770" s="2207"/>
      <c r="Y770" s="2208"/>
      <c r="Z770" s="2208"/>
      <c r="AA770" s="2208"/>
      <c r="AB770" s="2209"/>
      <c r="AC770" s="2207"/>
      <c r="AD770" s="2208"/>
      <c r="AE770" s="2208"/>
      <c r="AF770" s="2208"/>
      <c r="AG770" s="2209"/>
      <c r="AH770" s="2343"/>
      <c r="AI770" s="2344"/>
      <c r="AJ770" s="2344"/>
      <c r="AK770" s="2344"/>
      <c r="AL770" s="234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0:110" ht="12.95" customHeight="1">
      <c r="J771" s="2210"/>
      <c r="K771" s="2211"/>
      <c r="L771" s="2211"/>
      <c r="M771" s="2211"/>
      <c r="N771" s="2212"/>
      <c r="O771" s="2419"/>
      <c r="P771" s="2419"/>
      <c r="Q771" s="2419"/>
      <c r="R771" s="2419"/>
      <c r="S771" s="2419"/>
      <c r="T771" s="2224"/>
      <c r="U771" s="2225"/>
      <c r="V771" s="2225"/>
      <c r="W771" s="2226"/>
      <c r="X771" s="2210"/>
      <c r="Y771" s="2211"/>
      <c r="Z771" s="2211"/>
      <c r="AA771" s="2211"/>
      <c r="AB771" s="2212"/>
      <c r="AC771" s="2210"/>
      <c r="AD771" s="2211"/>
      <c r="AE771" s="2211"/>
      <c r="AF771" s="2211"/>
      <c r="AG771" s="2212"/>
      <c r="AH771" s="2343"/>
      <c r="AI771" s="2344"/>
      <c r="AJ771" s="2344"/>
      <c r="AK771" s="2344"/>
      <c r="AL771" s="234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0:110" ht="12.95" customHeight="1">
      <c r="J772" s="2144"/>
      <c r="K772" s="2145"/>
      <c r="L772" s="2145"/>
      <c r="M772" s="2145"/>
      <c r="N772" s="2156"/>
      <c r="O772" s="2094"/>
      <c r="P772" s="2094"/>
      <c r="Q772" s="2094"/>
      <c r="R772" s="2094"/>
      <c r="S772" s="2094"/>
      <c r="T772" s="2198"/>
      <c r="U772" s="2199"/>
      <c r="V772" s="2199"/>
      <c r="W772" s="2200"/>
      <c r="X772" s="2195"/>
      <c r="Y772" s="2196"/>
      <c r="Z772" s="2196"/>
      <c r="AA772" s="2196"/>
      <c r="AB772" s="2197"/>
      <c r="AC772" s="2213">
        <f t="shared" ref="AC772:AC781" si="52">X772*O772</f>
        <v>0</v>
      </c>
      <c r="AD772" s="2214"/>
      <c r="AE772" s="2214"/>
      <c r="AF772" s="2214"/>
      <c r="AG772" s="2215"/>
      <c r="AH772" s="2345"/>
      <c r="AI772" s="2346"/>
      <c r="AJ772" s="2346"/>
      <c r="AK772" s="2346"/>
      <c r="AL772" s="2346"/>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0:110" ht="12.95" customHeight="1">
      <c r="J773" s="2144"/>
      <c r="K773" s="2145"/>
      <c r="L773" s="2145"/>
      <c r="M773" s="2145"/>
      <c r="N773" s="2156"/>
      <c r="O773" s="2094"/>
      <c r="P773" s="2094"/>
      <c r="Q773" s="2094"/>
      <c r="R773" s="2094"/>
      <c r="S773" s="2094"/>
      <c r="T773" s="2198"/>
      <c r="U773" s="2199"/>
      <c r="V773" s="2199"/>
      <c r="W773" s="2200"/>
      <c r="X773" s="2195"/>
      <c r="Y773" s="2196"/>
      <c r="Z773" s="2196"/>
      <c r="AA773" s="2196"/>
      <c r="AB773" s="2197"/>
      <c r="AC773" s="2213">
        <f t="shared" si="52"/>
        <v>0</v>
      </c>
      <c r="AD773" s="2214"/>
      <c r="AE773" s="2214"/>
      <c r="AF773" s="2214"/>
      <c r="AG773" s="2215"/>
      <c r="AH773" s="2345"/>
      <c r="AI773" s="2346"/>
      <c r="AJ773" s="2346"/>
      <c r="AK773" s="2346"/>
      <c r="AL773" s="2346"/>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0:110" ht="12.95" customHeight="1">
      <c r="J774" s="2144"/>
      <c r="K774" s="2145"/>
      <c r="L774" s="2145"/>
      <c r="M774" s="2145"/>
      <c r="N774" s="2156"/>
      <c r="O774" s="2094"/>
      <c r="P774" s="2094"/>
      <c r="Q774" s="2094"/>
      <c r="R774" s="2094"/>
      <c r="S774" s="2094"/>
      <c r="T774" s="2198"/>
      <c r="U774" s="2199"/>
      <c r="V774" s="2199"/>
      <c r="W774" s="2200"/>
      <c r="X774" s="2195"/>
      <c r="Y774" s="2196"/>
      <c r="Z774" s="2196"/>
      <c r="AA774" s="2196"/>
      <c r="AB774" s="2197"/>
      <c r="AC774" s="2213">
        <f t="shared" si="52"/>
        <v>0</v>
      </c>
      <c r="AD774" s="2214"/>
      <c r="AE774" s="2214"/>
      <c r="AF774" s="2214"/>
      <c r="AG774" s="2215"/>
      <c r="AH774" s="2345"/>
      <c r="AI774" s="2346"/>
      <c r="AJ774" s="2346"/>
      <c r="AK774" s="2346"/>
      <c r="AL774" s="2346"/>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0:110" ht="12.95" customHeight="1">
      <c r="J775" s="2144"/>
      <c r="K775" s="2145"/>
      <c r="L775" s="2145"/>
      <c r="M775" s="2145"/>
      <c r="N775" s="2156"/>
      <c r="O775" s="2094"/>
      <c r="P775" s="2094"/>
      <c r="Q775" s="2094"/>
      <c r="R775" s="2094"/>
      <c r="S775" s="2094"/>
      <c r="T775" s="2198"/>
      <c r="U775" s="2199"/>
      <c r="V775" s="2199"/>
      <c r="W775" s="2200"/>
      <c r="X775" s="2195"/>
      <c r="Y775" s="2196"/>
      <c r="Z775" s="2196"/>
      <c r="AA775" s="2196"/>
      <c r="AB775" s="2197"/>
      <c r="AC775" s="2213">
        <f t="shared" si="52"/>
        <v>0</v>
      </c>
      <c r="AD775" s="2214"/>
      <c r="AE775" s="2214"/>
      <c r="AF775" s="2214"/>
      <c r="AG775" s="2215"/>
      <c r="AH775" s="2345"/>
      <c r="AI775" s="2346"/>
      <c r="AJ775" s="2346"/>
      <c r="AK775" s="2346"/>
      <c r="AL775" s="2346"/>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0:110" ht="12.95" customHeight="1">
      <c r="J776" s="2144"/>
      <c r="K776" s="2145"/>
      <c r="L776" s="2145"/>
      <c r="M776" s="2145"/>
      <c r="N776" s="2156"/>
      <c r="O776" s="2094"/>
      <c r="P776" s="2094"/>
      <c r="Q776" s="2094"/>
      <c r="R776" s="2094"/>
      <c r="S776" s="2094"/>
      <c r="T776" s="2198"/>
      <c r="U776" s="2199"/>
      <c r="V776" s="2199"/>
      <c r="W776" s="2200"/>
      <c r="X776" s="2195"/>
      <c r="Y776" s="2196"/>
      <c r="Z776" s="2196"/>
      <c r="AA776" s="2196"/>
      <c r="AB776" s="2197"/>
      <c r="AC776" s="2213">
        <f t="shared" si="52"/>
        <v>0</v>
      </c>
      <c r="AD776" s="2214"/>
      <c r="AE776" s="2214"/>
      <c r="AF776" s="2214"/>
      <c r="AG776" s="2215"/>
      <c r="AH776" s="2345"/>
      <c r="AI776" s="2346"/>
      <c r="AJ776" s="2346"/>
      <c r="AK776" s="2346"/>
      <c r="AL776" s="2346"/>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0:110" ht="12.95" customHeight="1">
      <c r="J777" s="2144"/>
      <c r="K777" s="2145"/>
      <c r="L777" s="2145"/>
      <c r="M777" s="2145"/>
      <c r="N777" s="2156"/>
      <c r="O777" s="2094"/>
      <c r="P777" s="2094"/>
      <c r="Q777" s="2094"/>
      <c r="R777" s="2094"/>
      <c r="S777" s="2094"/>
      <c r="T777" s="2198"/>
      <c r="U777" s="2199"/>
      <c r="V777" s="2199"/>
      <c r="W777" s="2200"/>
      <c r="X777" s="2195"/>
      <c r="Y777" s="2196"/>
      <c r="Z777" s="2196"/>
      <c r="AA777" s="2196"/>
      <c r="AB777" s="2197"/>
      <c r="AC777" s="2213">
        <f t="shared" si="52"/>
        <v>0</v>
      </c>
      <c r="AD777" s="2214"/>
      <c r="AE777" s="2214"/>
      <c r="AF777" s="2214"/>
      <c r="AG777" s="2215"/>
      <c r="AH777" s="2345"/>
      <c r="AI777" s="2346"/>
      <c r="AJ777" s="2346"/>
      <c r="AK777" s="2346"/>
      <c r="AL777" s="2346"/>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0:110" ht="12.95" customHeight="1">
      <c r="J778" s="2144"/>
      <c r="K778" s="2145"/>
      <c r="L778" s="2145"/>
      <c r="M778" s="2145"/>
      <c r="N778" s="2156"/>
      <c r="O778" s="2094"/>
      <c r="P778" s="2094"/>
      <c r="Q778" s="2094"/>
      <c r="R778" s="2094"/>
      <c r="S778" s="2094"/>
      <c r="T778" s="2198"/>
      <c r="U778" s="2199"/>
      <c r="V778" s="2199"/>
      <c r="W778" s="2200"/>
      <c r="X778" s="2195"/>
      <c r="Y778" s="2196"/>
      <c r="Z778" s="2196"/>
      <c r="AA778" s="2196"/>
      <c r="AB778" s="2197"/>
      <c r="AC778" s="2213">
        <f t="shared" si="52"/>
        <v>0</v>
      </c>
      <c r="AD778" s="2214"/>
      <c r="AE778" s="2214"/>
      <c r="AF778" s="2214"/>
      <c r="AG778" s="2215"/>
      <c r="AH778" s="2345"/>
      <c r="AI778" s="2346"/>
      <c r="AJ778" s="2346"/>
      <c r="AK778" s="2346"/>
      <c r="AL778" s="2346"/>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0:110" ht="12.95" customHeight="1">
      <c r="J779" s="2144"/>
      <c r="K779" s="2145"/>
      <c r="L779" s="2145"/>
      <c r="M779" s="2145"/>
      <c r="N779" s="2156"/>
      <c r="O779" s="2094"/>
      <c r="P779" s="2094"/>
      <c r="Q779" s="2094"/>
      <c r="R779" s="2094"/>
      <c r="S779" s="2094"/>
      <c r="T779" s="2198"/>
      <c r="U779" s="2199"/>
      <c r="V779" s="2199"/>
      <c r="W779" s="2200"/>
      <c r="X779" s="2195"/>
      <c r="Y779" s="2196"/>
      <c r="Z779" s="2196"/>
      <c r="AA779" s="2196"/>
      <c r="AB779" s="2197"/>
      <c r="AC779" s="2213">
        <f t="shared" si="52"/>
        <v>0</v>
      </c>
      <c r="AD779" s="2214"/>
      <c r="AE779" s="2214"/>
      <c r="AF779" s="2214"/>
      <c r="AG779" s="2215"/>
      <c r="AH779" s="2345"/>
      <c r="AI779" s="2346"/>
      <c r="AJ779" s="2346"/>
      <c r="AK779" s="2346"/>
      <c r="AL779" s="2346"/>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0:110" ht="12.95" customHeight="1">
      <c r="J780" s="2144"/>
      <c r="K780" s="2145"/>
      <c r="L780" s="2145"/>
      <c r="M780" s="2145"/>
      <c r="N780" s="2156"/>
      <c r="O780" s="2094"/>
      <c r="P780" s="2094"/>
      <c r="Q780" s="2094"/>
      <c r="R780" s="2094"/>
      <c r="S780" s="2094"/>
      <c r="T780" s="2198"/>
      <c r="U780" s="2199"/>
      <c r="V780" s="2199"/>
      <c r="W780" s="2200"/>
      <c r="X780" s="2195"/>
      <c r="Y780" s="2196"/>
      <c r="Z780" s="2196"/>
      <c r="AA780" s="2196"/>
      <c r="AB780" s="2197"/>
      <c r="AC780" s="2213">
        <f t="shared" si="52"/>
        <v>0</v>
      </c>
      <c r="AD780" s="2214"/>
      <c r="AE780" s="2214"/>
      <c r="AF780" s="2214"/>
      <c r="AG780" s="2215"/>
      <c r="AH780" s="2345"/>
      <c r="AI780" s="2346"/>
      <c r="AJ780" s="2346"/>
      <c r="AK780" s="2346"/>
      <c r="AL780" s="2346"/>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0:110" ht="12.95" customHeight="1">
      <c r="J781" s="2144"/>
      <c r="K781" s="2145"/>
      <c r="L781" s="2145"/>
      <c r="M781" s="2145"/>
      <c r="N781" s="2156"/>
      <c r="O781" s="2094"/>
      <c r="P781" s="2094"/>
      <c r="Q781" s="2094"/>
      <c r="R781" s="2094"/>
      <c r="S781" s="2094"/>
      <c r="T781" s="2198"/>
      <c r="U781" s="2199"/>
      <c r="V781" s="2199"/>
      <c r="W781" s="2200"/>
      <c r="X781" s="2195"/>
      <c r="Y781" s="2196"/>
      <c r="Z781" s="2196"/>
      <c r="AA781" s="2196"/>
      <c r="AB781" s="2197"/>
      <c r="AC781" s="2213">
        <f t="shared" si="52"/>
        <v>0</v>
      </c>
      <c r="AD781" s="2214"/>
      <c r="AE781" s="2214"/>
      <c r="AF781" s="2214"/>
      <c r="AG781" s="2215"/>
      <c r="AH781" s="2345"/>
      <c r="AI781" s="2346"/>
      <c r="AJ781" s="2346"/>
      <c r="AK781" s="2346"/>
      <c r="AL781" s="2346"/>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0:110" ht="12.95" customHeight="1">
      <c r="J782" s="2305" t="s">
        <v>126</v>
      </c>
      <c r="K782" s="2306"/>
      <c r="L782" s="2306"/>
      <c r="M782" s="2306"/>
      <c r="N782" s="2308"/>
      <c r="O782" s="2354">
        <f>SUM(O772:S781)</f>
        <v>0</v>
      </c>
      <c r="P782" s="2354"/>
      <c r="Q782" s="2354"/>
      <c r="R782" s="2354"/>
      <c r="S782" s="2354"/>
      <c r="X782" s="1442" t="s">
        <v>125</v>
      </c>
      <c r="Y782" s="1443"/>
      <c r="Z782" s="1443"/>
      <c r="AA782" s="1443"/>
      <c r="AB782" s="1444"/>
      <c r="AC782" s="2213">
        <f>SUM(AC772:AG781)</f>
        <v>0</v>
      </c>
      <c r="AD782" s="2214"/>
      <c r="AE782" s="2214"/>
      <c r="AF782" s="2214"/>
      <c r="AG782" s="2215"/>
      <c r="AH782" s="708"/>
      <c r="AI782" s="708"/>
      <c r="AJ782" s="708"/>
      <c r="AK782" s="708"/>
      <c r="AL782" s="7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0:110" ht="12.95" customHeight="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0:110" ht="12.95" customHeight="1">
      <c r="J784" s="76"/>
      <c r="K784" s="77"/>
      <c r="L784" s="77"/>
      <c r="M784" s="77"/>
      <c r="N784" s="77"/>
      <c r="O784" s="77"/>
      <c r="P784" s="77"/>
      <c r="Q784" s="77"/>
      <c r="R784" s="77"/>
      <c r="S784" s="77"/>
      <c r="T784" s="77"/>
      <c r="U784" s="77"/>
      <c r="V784" s="77"/>
      <c r="W784" s="77"/>
      <c r="X784" s="86" t="s">
        <v>162</v>
      </c>
      <c r="Y784" s="2356">
        <f>O739+AC762+AC782</f>
        <v>51039</v>
      </c>
      <c r="Z784" s="2356"/>
      <c r="AA784" s="2356"/>
      <c r="AB784" s="2356"/>
      <c r="AC784" s="235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1:110" ht="12.95" customHeight="1">
      <c r="J785" s="79"/>
      <c r="K785" s="80"/>
      <c r="L785" s="80"/>
      <c r="M785" s="80"/>
      <c r="N785" s="80"/>
      <c r="O785" s="80"/>
      <c r="P785" s="80"/>
      <c r="Q785" s="80"/>
      <c r="R785" s="80"/>
      <c r="S785" s="80"/>
      <c r="T785" s="80"/>
      <c r="U785" s="80"/>
      <c r="V785" s="80"/>
      <c r="W785" s="80"/>
      <c r="X785" s="143" t="s">
        <v>163</v>
      </c>
      <c r="Y785" s="2356">
        <f>(O739+AC762+AC782)*12</f>
        <v>612468</v>
      </c>
      <c r="Z785" s="2356"/>
      <c r="AA785" s="2356"/>
      <c r="AB785" s="2356"/>
      <c r="AC785" s="2356"/>
      <c r="AZ785" s="58"/>
      <c r="BA785" s="51" t="s">
        <v>641</v>
      </c>
      <c r="BB785" s="51"/>
      <c r="BC785" s="51"/>
      <c r="BD785" s="51"/>
      <c r="BE785" s="51"/>
      <c r="BF785" s="51"/>
      <c r="BG785" s="51"/>
      <c r="BH785" s="51"/>
      <c r="BI785" s="51"/>
      <c r="BJ785" s="51"/>
      <c r="BK785" s="51"/>
      <c r="BL785" s="51"/>
      <c r="BM785" s="51"/>
      <c r="BN785" s="2417" t="s">
        <v>478</v>
      </c>
      <c r="BO785" s="2418"/>
      <c r="BP785" s="58"/>
      <c r="BQ785" s="58"/>
      <c r="BR785" s="58"/>
      <c r="BS785" s="51" t="s">
        <v>643</v>
      </c>
      <c r="BT785" s="51"/>
      <c r="BU785" s="51"/>
      <c r="BV785" s="51"/>
      <c r="BW785" s="51"/>
      <c r="BX785" s="51"/>
      <c r="BY785" s="51"/>
      <c r="BZ785" s="51"/>
      <c r="CA785" s="51"/>
      <c r="CB785" s="2414" t="str">
        <f>T189</f>
        <v>Riverside</v>
      </c>
      <c r="CC785" s="2415"/>
      <c r="CD785" s="2415"/>
      <c r="CE785" s="2415"/>
      <c r="CF785" s="2415"/>
      <c r="CG785" s="2415"/>
      <c r="CH785" s="2416"/>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1:110" ht="12.95" customHeight="1">
      <c r="B786" s="50"/>
      <c r="X786" s="18"/>
      <c r="Y786" s="18"/>
      <c r="Z786" s="18"/>
      <c r="AA786" s="18"/>
      <c r="AB786" s="18"/>
      <c r="AC786" s="18"/>
      <c r="AD786" s="18"/>
      <c r="AZ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1:110" s="51" customFormat="1" ht="12.95" customHeight="1">
      <c r="A787" s="50" t="s">
        <v>598</v>
      </c>
      <c r="B787" s="50"/>
      <c r="C787" s="50" t="s">
        <v>621</v>
      </c>
      <c r="D787" s="12"/>
      <c r="E787" s="12"/>
      <c r="F787" s="12"/>
      <c r="G787" s="12"/>
      <c r="H787" s="12"/>
      <c r="I787" s="12"/>
      <c r="J787" s="12"/>
      <c r="K787" s="12"/>
      <c r="L787" s="12"/>
      <c r="M787" s="12"/>
      <c r="N787" s="12"/>
      <c r="O787" s="12"/>
      <c r="P787" s="12"/>
      <c r="Q787" s="12"/>
      <c r="R787" s="12"/>
      <c r="S787" s="12"/>
      <c r="T787" s="12"/>
      <c r="U787" s="12"/>
      <c r="V787" s="12"/>
      <c r="W787" s="12"/>
      <c r="X787" s="18"/>
      <c r="Y787" s="18"/>
      <c r="Z787" s="18"/>
      <c r="AA787" s="18"/>
      <c r="AB787" s="18"/>
      <c r="AC787" s="18"/>
      <c r="AD787" s="18"/>
      <c r="AE787" s="12"/>
      <c r="AF787" s="12"/>
      <c r="AG787" s="12"/>
      <c r="AH787" s="12"/>
      <c r="AI787" s="12"/>
      <c r="AJ787" s="12"/>
      <c r="AK787" s="12"/>
      <c r="AL787" s="12"/>
      <c r="AM787" s="39"/>
      <c r="AN787" s="39"/>
      <c r="AO787" s="39"/>
      <c r="AP787" s="39"/>
      <c r="AQ787" s="39"/>
      <c r="AR787" s="39"/>
      <c r="AS787" s="39"/>
      <c r="AT787" s="39"/>
      <c r="AU787" s="39"/>
      <c r="AV787" s="39"/>
      <c r="AW787" s="39"/>
      <c r="AX787" s="39"/>
      <c r="AY787" s="39"/>
      <c r="AZ787" s="52"/>
      <c r="BA787" s="52"/>
      <c r="BB787" s="21"/>
      <c r="BC787" s="21"/>
      <c r="BD787" s="21"/>
      <c r="BE787" s="21"/>
      <c r="BF787" s="21"/>
      <c r="BN787" s="106" t="s">
        <v>478</v>
      </c>
      <c r="BP787" s="54"/>
      <c r="BQ787" s="54"/>
      <c r="BR787" s="54"/>
      <c r="BS787" s="54"/>
      <c r="BT787" s="54"/>
      <c r="CR787" s="112"/>
    </row>
    <row r="788" spans="1:110" s="51" customFormat="1" ht="12.95" customHeight="1">
      <c r="A788" s="50"/>
      <c r="B788" s="50"/>
      <c r="C788" s="50" t="s">
        <v>953</v>
      </c>
      <c r="D788" s="12"/>
      <c r="E788" s="12"/>
      <c r="F788" s="12"/>
      <c r="G788" s="12"/>
      <c r="H788" s="12"/>
      <c r="I788" s="12"/>
      <c r="J788" s="12"/>
      <c r="K788" s="12"/>
      <c r="L788" s="12"/>
      <c r="M788" s="12"/>
      <c r="N788" s="12"/>
      <c r="O788" s="12"/>
      <c r="P788" s="12"/>
      <c r="Q788" s="12"/>
      <c r="R788" s="12"/>
      <c r="S788" s="12"/>
      <c r="T788" s="12"/>
      <c r="U788" s="12"/>
      <c r="V788" s="12"/>
      <c r="W788" s="12"/>
      <c r="X788" s="18"/>
      <c r="Y788" s="18"/>
      <c r="Z788" s="18"/>
      <c r="AA788" s="18"/>
      <c r="AB788" s="18"/>
      <c r="AC788" s="18"/>
      <c r="AD788" s="18"/>
      <c r="AE788" s="12"/>
      <c r="AF788" s="12"/>
      <c r="AG788" s="12"/>
      <c r="AH788" s="12"/>
      <c r="AI788" s="12"/>
      <c r="AJ788" s="12"/>
      <c r="AK788" s="12"/>
      <c r="AL788" s="12"/>
      <c r="AM788" s="39"/>
      <c r="AN788" s="39"/>
      <c r="AO788" s="39"/>
      <c r="AP788" s="39"/>
      <c r="AQ788" s="39"/>
      <c r="AR788" s="39"/>
      <c r="AS788" s="39"/>
      <c r="AT788" s="39"/>
      <c r="AU788" s="39"/>
      <c r="AV788" s="39"/>
      <c r="AW788" s="39"/>
      <c r="AX788" s="39"/>
      <c r="AY788" s="39"/>
      <c r="AZ788" s="52"/>
      <c r="BA788" s="52"/>
      <c r="BB788" s="21"/>
      <c r="BC788" s="21"/>
      <c r="BD788" s="21"/>
      <c r="BE788" s="21"/>
      <c r="BF788" s="21"/>
      <c r="BN788" s="106" t="s">
        <v>477</v>
      </c>
      <c r="BO788" s="53" t="s">
        <v>2607</v>
      </c>
      <c r="BP788" s="54"/>
      <c r="BQ788" s="54"/>
      <c r="BR788" s="54"/>
      <c r="BS788" s="54"/>
      <c r="BT788" s="54"/>
      <c r="BV788" s="53" t="s">
        <v>2608</v>
      </c>
      <c r="CB788" s="107"/>
      <c r="CC788" s="107"/>
      <c r="CD788" s="107"/>
      <c r="CE788" s="107"/>
      <c r="CF788" s="107"/>
      <c r="CG788" s="107"/>
      <c r="CH788" s="107"/>
      <c r="CI788" s="107"/>
      <c r="CJ788" s="107"/>
      <c r="CK788" s="107"/>
      <c r="CL788" s="107"/>
      <c r="CM788" s="107"/>
      <c r="CN788" s="107"/>
      <c r="CO788" s="107"/>
      <c r="CP788" s="107"/>
      <c r="CQ788" s="107"/>
      <c r="CR788" s="1639"/>
      <c r="CS788" s="107"/>
      <c r="CT788" s="107"/>
      <c r="CU788" s="107"/>
      <c r="CV788" s="107"/>
      <c r="CW788" s="107"/>
      <c r="CX788" s="107"/>
      <c r="CY788" s="107"/>
      <c r="CZ788" s="107"/>
      <c r="DA788" s="107"/>
      <c r="DB788" s="107"/>
      <c r="DC788" s="107"/>
      <c r="DD788" s="107"/>
      <c r="DE788" s="107"/>
      <c r="DF788" s="107"/>
    </row>
    <row r="789" spans="1:110" s="51" customFormat="1" ht="12.95" customHeight="1">
      <c r="A789" s="12"/>
      <c r="B789" s="50"/>
      <c r="C789" s="12"/>
      <c r="D789" s="12"/>
      <c r="E789" s="12"/>
      <c r="F789" s="12"/>
      <c r="G789" s="12"/>
      <c r="H789" s="12"/>
      <c r="I789" s="12"/>
      <c r="J789" s="12"/>
      <c r="K789" s="12"/>
      <c r="L789" s="12"/>
      <c r="M789" s="12"/>
      <c r="N789" s="12"/>
      <c r="O789" s="12"/>
      <c r="P789" s="12"/>
      <c r="Q789" s="12"/>
      <c r="R789" s="12"/>
      <c r="S789" s="12"/>
      <c r="T789" s="12"/>
      <c r="U789" s="12"/>
      <c r="V789" s="12"/>
      <c r="W789" s="12"/>
      <c r="X789" s="18"/>
      <c r="Y789" s="18"/>
      <c r="Z789" s="18"/>
      <c r="AA789" s="18"/>
      <c r="AB789" s="18"/>
      <c r="AC789" s="18"/>
      <c r="AD789" s="18"/>
      <c r="AE789" s="12"/>
      <c r="AF789" s="12"/>
      <c r="AG789" s="12"/>
      <c r="AH789" s="12"/>
      <c r="AI789" s="12"/>
      <c r="AJ789" s="12"/>
      <c r="AK789" s="12"/>
      <c r="AL789" s="12"/>
      <c r="AM789" s="39"/>
      <c r="AN789" s="39"/>
      <c r="AO789" s="39"/>
      <c r="AP789" s="39"/>
      <c r="AQ789" s="39"/>
      <c r="AR789" s="39"/>
      <c r="AS789" s="39"/>
      <c r="AT789" s="39"/>
      <c r="AU789" s="39"/>
      <c r="AV789" s="39"/>
      <c r="AW789" s="39"/>
      <c r="AX789" s="39"/>
      <c r="AY789" s="39"/>
      <c r="AZ789" s="52"/>
      <c r="BA789" s="52"/>
      <c r="BB789" s="21"/>
      <c r="BC789" s="21"/>
      <c r="BD789" s="21"/>
      <c r="BE789" s="21"/>
      <c r="BF789" s="21"/>
      <c r="BN789" s="106"/>
      <c r="BO789" s="53"/>
      <c r="BP789" s="54"/>
      <c r="BQ789" s="54"/>
      <c r="BR789" s="54"/>
      <c r="BS789" s="54"/>
      <c r="BT789" s="54"/>
      <c r="BV789" s="53"/>
      <c r="CB789" s="107"/>
      <c r="CC789" s="107"/>
      <c r="CD789" s="107"/>
      <c r="CE789" s="107"/>
      <c r="CF789" s="107"/>
      <c r="CG789" s="107"/>
      <c r="CH789" s="107"/>
      <c r="CI789" s="107"/>
      <c r="CJ789" s="107"/>
      <c r="CK789" s="107"/>
      <c r="CL789" s="107"/>
      <c r="CM789" s="107"/>
      <c r="CN789" s="107"/>
      <c r="CO789" s="107"/>
      <c r="CP789" s="107"/>
      <c r="CQ789" s="107"/>
      <c r="CR789" s="1639"/>
      <c r="CS789" s="107"/>
      <c r="CT789" s="107"/>
      <c r="CU789" s="107"/>
      <c r="CV789" s="107"/>
      <c r="CW789" s="107"/>
      <c r="CX789" s="107"/>
      <c r="CY789" s="107"/>
      <c r="CZ789" s="107"/>
      <c r="DA789" s="107"/>
      <c r="DB789" s="107"/>
      <c r="DC789" s="107"/>
      <c r="DD789" s="107"/>
      <c r="DE789" s="107"/>
      <c r="DF789" s="107"/>
    </row>
    <row r="790" spans="1:110" s="51" customFormat="1" ht="12.95" customHeight="1">
      <c r="A790" s="12"/>
      <c r="B790" s="12"/>
      <c r="C790" s="12"/>
      <c r="D790" s="12"/>
      <c r="E790" s="12"/>
      <c r="F790" s="12"/>
      <c r="G790" s="12"/>
      <c r="H790" s="76" t="s">
        <v>358</v>
      </c>
      <c r="I790" s="77"/>
      <c r="J790" s="77"/>
      <c r="K790" s="77"/>
      <c r="L790" s="77"/>
      <c r="M790" s="77"/>
      <c r="N790" s="77"/>
      <c r="O790" s="77"/>
      <c r="P790" s="77"/>
      <c r="Q790" s="77"/>
      <c r="R790" s="77"/>
      <c r="S790" s="77"/>
      <c r="T790" s="77"/>
      <c r="U790" s="77"/>
      <c r="V790" s="77"/>
      <c r="W790" s="77"/>
      <c r="X790" s="77"/>
      <c r="Y790" s="77"/>
      <c r="Z790" s="2339">
        <v>32</v>
      </c>
      <c r="AA790" s="2340"/>
      <c r="AB790" s="2340"/>
      <c r="AC790" s="2340"/>
      <c r="AD790" s="2340"/>
      <c r="AE790" s="2341"/>
      <c r="AF790" s="12"/>
      <c r="AG790" s="12"/>
      <c r="AH790" s="12"/>
      <c r="AI790" s="12"/>
      <c r="AJ790" s="12"/>
      <c r="AK790" s="12"/>
      <c r="AL790" s="12"/>
      <c r="AM790" s="39"/>
      <c r="AN790" s="39"/>
      <c r="AO790" s="39"/>
      <c r="AP790" s="39"/>
      <c r="AQ790" s="39"/>
      <c r="AR790" s="39"/>
      <c r="AS790" s="39"/>
      <c r="AT790" s="39"/>
      <c r="AU790" s="39"/>
      <c r="AV790" s="39"/>
      <c r="AW790" s="39"/>
      <c r="AX790" s="39"/>
      <c r="AY790" s="39"/>
      <c r="BE790" s="21"/>
      <c r="BF790" s="21"/>
      <c r="BN790" s="106" t="s">
        <v>478</v>
      </c>
      <c r="BO790" s="53"/>
      <c r="BP790" s="54"/>
      <c r="BQ790" s="54"/>
      <c r="BR790" s="54"/>
      <c r="BS790" s="54"/>
      <c r="BT790" s="54"/>
      <c r="BV790" s="53"/>
      <c r="CB790" s="107"/>
      <c r="CC790" s="107"/>
      <c r="CD790" s="107"/>
      <c r="CE790" s="107"/>
      <c r="CF790" s="107"/>
      <c r="CG790" s="107"/>
      <c r="CH790" s="107"/>
      <c r="CI790" s="107"/>
      <c r="CJ790" s="107"/>
      <c r="CK790" s="107"/>
      <c r="CL790" s="107"/>
      <c r="CM790" s="107"/>
      <c r="CN790" s="107"/>
      <c r="CO790" s="107"/>
      <c r="CP790" s="107"/>
      <c r="CQ790" s="107"/>
      <c r="CR790" s="1639"/>
      <c r="CS790" s="107"/>
      <c r="CT790" s="107"/>
      <c r="CU790" s="107"/>
      <c r="CV790" s="107"/>
      <c r="CW790" s="107"/>
      <c r="CX790" s="107"/>
      <c r="CY790" s="107"/>
      <c r="CZ790" s="107"/>
      <c r="DA790" s="107"/>
      <c r="DB790" s="107"/>
      <c r="DC790" s="107"/>
      <c r="DD790" s="107"/>
      <c r="DE790" s="107"/>
      <c r="DF790" s="107"/>
    </row>
    <row r="791" spans="1:110" s="51" customFormat="1" ht="12.95" customHeight="1">
      <c r="A791" s="12"/>
      <c r="B791" s="12"/>
      <c r="C791" s="12"/>
      <c r="D791" s="12"/>
      <c r="E791" s="12"/>
      <c r="F791" s="12"/>
      <c r="G791" s="12"/>
      <c r="H791" s="76" t="s">
        <v>359</v>
      </c>
      <c r="I791" s="77"/>
      <c r="J791" s="77"/>
      <c r="K791" s="77"/>
      <c r="L791" s="77"/>
      <c r="M791" s="77"/>
      <c r="N791" s="77"/>
      <c r="O791" s="77"/>
      <c r="P791" s="77"/>
      <c r="Q791" s="77"/>
      <c r="R791" s="77"/>
      <c r="S791" s="77"/>
      <c r="T791" s="77"/>
      <c r="U791" s="77"/>
      <c r="V791" s="77"/>
      <c r="W791" s="77"/>
      <c r="X791" s="77"/>
      <c r="Y791" s="77"/>
      <c r="Z791" s="2342">
        <v>20</v>
      </c>
      <c r="AA791" s="2340"/>
      <c r="AB791" s="2340"/>
      <c r="AC791" s="2340"/>
      <c r="AD791" s="2340"/>
      <c r="AE791" s="2341"/>
      <c r="AF791" s="12"/>
      <c r="AG791" s="12"/>
      <c r="AH791" s="12"/>
      <c r="AI791" s="12"/>
      <c r="AJ791" s="12"/>
      <c r="AK791" s="12"/>
      <c r="AL791" s="12"/>
      <c r="AM791" s="39"/>
      <c r="AN791" s="39"/>
      <c r="AO791" s="39"/>
      <c r="AP791" s="39"/>
      <c r="AQ791" s="39"/>
      <c r="AR791" s="39"/>
      <c r="AS791" s="39"/>
      <c r="AT791" s="39"/>
      <c r="AU791" s="39"/>
      <c r="AV791" s="39"/>
      <c r="AW791" s="39"/>
      <c r="AX791" s="39"/>
      <c r="AY791" s="39"/>
      <c r="BE791" s="21"/>
      <c r="BF791" s="21"/>
      <c r="BN791" s="106"/>
      <c r="BO791" s="53"/>
      <c r="BP791" s="54"/>
      <c r="BQ791" s="54"/>
      <c r="BR791" s="54"/>
      <c r="BS791" s="54"/>
      <c r="BT791" s="54"/>
      <c r="BV791" s="53"/>
      <c r="CB791" s="107"/>
      <c r="CC791" s="107"/>
      <c r="CD791" s="107"/>
      <c r="CE791" s="107"/>
      <c r="CF791" s="107"/>
      <c r="CG791" s="107"/>
      <c r="CH791" s="107"/>
      <c r="CI791" s="107"/>
      <c r="CJ791" s="107"/>
      <c r="CK791" s="107"/>
      <c r="CL791" s="107"/>
      <c r="CM791" s="107"/>
      <c r="CN791" s="107"/>
      <c r="CO791" s="107"/>
      <c r="CP791" s="107"/>
      <c r="CQ791" s="107"/>
      <c r="CR791" s="1639"/>
      <c r="CS791" s="107"/>
      <c r="CT791" s="107"/>
      <c r="CU791" s="107"/>
      <c r="CV791" s="107"/>
      <c r="CW791" s="107"/>
      <c r="CX791" s="107"/>
      <c r="CY791" s="107"/>
      <c r="CZ791" s="107"/>
      <c r="DA791" s="107"/>
      <c r="DB791" s="107"/>
      <c r="DC791" s="107"/>
      <c r="DD791" s="107"/>
      <c r="DE791" s="107"/>
      <c r="DF791" s="107"/>
    </row>
    <row r="792" spans="1:110" s="51" customFormat="1" ht="12.95" customHeight="1">
      <c r="A792" s="12"/>
      <c r="B792" s="12"/>
      <c r="C792" s="12"/>
      <c r="D792" s="12"/>
      <c r="E792" s="12"/>
      <c r="F792" s="12"/>
      <c r="G792" s="12"/>
      <c r="H792" s="76" t="s">
        <v>35</v>
      </c>
      <c r="I792" s="77"/>
      <c r="J792" s="77"/>
      <c r="K792" s="77"/>
      <c r="L792" s="77"/>
      <c r="M792" s="77"/>
      <c r="N792" s="77"/>
      <c r="O792" s="77"/>
      <c r="P792" s="77"/>
      <c r="Q792" s="77"/>
      <c r="R792" s="77"/>
      <c r="S792" s="77"/>
      <c r="T792" s="77"/>
      <c r="U792" s="77"/>
      <c r="V792" s="77"/>
      <c r="W792" s="77"/>
      <c r="X792" s="77"/>
      <c r="Y792" s="77"/>
      <c r="Z792" s="2348">
        <v>51389</v>
      </c>
      <c r="AA792" s="2301"/>
      <c r="AB792" s="2301"/>
      <c r="AC792" s="2301"/>
      <c r="AD792" s="2301"/>
      <c r="AE792" s="2349"/>
      <c r="AF792" s="12"/>
      <c r="AG792" s="12"/>
      <c r="AH792" s="12"/>
      <c r="AI792" s="12"/>
      <c r="AJ792" s="12"/>
      <c r="AK792" s="12"/>
      <c r="AL792" s="12"/>
      <c r="AM792" s="39"/>
      <c r="AN792" s="39"/>
      <c r="AO792" s="39"/>
      <c r="AP792" s="39"/>
      <c r="AQ792" s="39"/>
      <c r="AR792" s="39"/>
      <c r="AS792" s="39"/>
      <c r="AT792" s="39"/>
      <c r="AU792" s="39"/>
      <c r="AV792" s="39"/>
      <c r="AW792" s="39"/>
      <c r="AX792" s="39"/>
      <c r="AY792" s="39"/>
      <c r="BE792" s="21"/>
      <c r="BF792" s="21"/>
      <c r="BP792" s="54"/>
      <c r="BQ792" s="54"/>
      <c r="BR792" s="54"/>
      <c r="BS792" s="54"/>
      <c r="BT792" s="54"/>
      <c r="CB792" s="107"/>
      <c r="CC792" s="107"/>
      <c r="CD792" s="107"/>
      <c r="CE792" s="107"/>
      <c r="CF792" s="107"/>
      <c r="CG792" s="107"/>
      <c r="CH792" s="107"/>
      <c r="CI792" s="107"/>
      <c r="CJ792" s="107"/>
      <c r="CK792" s="107"/>
      <c r="CL792" s="107"/>
      <c r="CM792" s="107"/>
      <c r="CN792" s="107"/>
      <c r="CO792" s="107"/>
      <c r="CP792" s="107"/>
      <c r="CQ792" s="107"/>
      <c r="CR792" s="1639"/>
      <c r="CS792" s="107"/>
      <c r="CT792" s="107"/>
      <c r="CU792" s="107"/>
      <c r="CV792" s="107"/>
      <c r="CW792" s="107"/>
      <c r="CX792" s="107"/>
      <c r="CY792" s="107"/>
      <c r="CZ792" s="107"/>
      <c r="DA792" s="107"/>
      <c r="DB792" s="107"/>
      <c r="DC792" s="107"/>
      <c r="DD792" s="107"/>
      <c r="DE792" s="107"/>
      <c r="DF792" s="107"/>
    </row>
    <row r="793" spans="1:110" s="51" customFormat="1" ht="12.95" customHeight="1">
      <c r="A793" s="12"/>
      <c r="B793" s="12"/>
      <c r="C793" s="12"/>
      <c r="D793" s="12"/>
      <c r="E793" s="12"/>
      <c r="F793" s="12"/>
      <c r="G793" s="12"/>
      <c r="H793" s="76"/>
      <c r="I793" s="77"/>
      <c r="J793" s="77"/>
      <c r="K793" s="77"/>
      <c r="L793" s="77"/>
      <c r="M793" s="77"/>
      <c r="N793" s="77"/>
      <c r="O793" s="77"/>
      <c r="P793" s="77"/>
      <c r="Q793" s="77"/>
      <c r="R793" s="77"/>
      <c r="S793" s="77"/>
      <c r="T793" s="77"/>
      <c r="U793" s="77"/>
      <c r="V793" s="77"/>
      <c r="W793" s="77"/>
      <c r="X793" s="77"/>
      <c r="Y793" s="85" t="s">
        <v>160</v>
      </c>
      <c r="Z793" s="2243">
        <f>'Subsidy Contract Calculation'!J30</f>
        <v>449628</v>
      </c>
      <c r="AA793" s="2244"/>
      <c r="AB793" s="2244"/>
      <c r="AC793" s="2244"/>
      <c r="AD793" s="2244"/>
      <c r="AE793" s="2245"/>
      <c r="AF793" s="12"/>
      <c r="AG793" s="12"/>
      <c r="AH793" s="12"/>
      <c r="AI793" s="12"/>
      <c r="AJ793" s="12"/>
      <c r="AK793" s="12"/>
      <c r="AL793" s="12"/>
      <c r="AM793" s="39"/>
      <c r="AN793" s="39"/>
      <c r="AO793" s="39"/>
      <c r="AP793" s="39"/>
      <c r="AQ793" s="39"/>
      <c r="AR793" s="39"/>
      <c r="AS793" s="39"/>
      <c r="AT793" s="39"/>
      <c r="AU793" s="39"/>
      <c r="AV793" s="39"/>
      <c r="AW793" s="39"/>
      <c r="AX793" s="39"/>
      <c r="AY793" s="39"/>
      <c r="BE793" s="21"/>
      <c r="BF793" s="21"/>
      <c r="BP793" s="54"/>
      <c r="BQ793" s="54"/>
      <c r="BR793" s="54"/>
      <c r="BS793" s="55"/>
      <c r="BT793" s="55"/>
      <c r="BU793" s="56"/>
      <c r="BV793" s="56"/>
      <c r="BW793" s="56"/>
      <c r="BX793" s="56"/>
      <c r="BY793" s="56"/>
      <c r="BZ793" s="56"/>
      <c r="CA793" s="56"/>
      <c r="CB793" s="107"/>
      <c r="CC793" s="107"/>
      <c r="CD793" s="107"/>
      <c r="CE793" s="107"/>
      <c r="CF793" s="107"/>
      <c r="CG793" s="107"/>
      <c r="CH793" s="107"/>
      <c r="CI793" s="107"/>
      <c r="CJ793" s="107"/>
      <c r="CK793" s="107"/>
      <c r="CL793" s="107"/>
      <c r="CM793" s="107"/>
      <c r="CN793" s="107"/>
      <c r="CO793" s="107"/>
      <c r="CP793" s="107"/>
      <c r="CQ793" s="107"/>
      <c r="CR793" s="1639"/>
      <c r="CS793" s="107"/>
      <c r="CT793" s="107"/>
      <c r="CU793" s="107"/>
      <c r="CV793" s="107"/>
      <c r="CW793" s="107"/>
      <c r="CX793" s="107"/>
      <c r="CY793" s="107"/>
      <c r="CZ793" s="107"/>
      <c r="DA793" s="107"/>
      <c r="DB793" s="107"/>
      <c r="DC793" s="107"/>
      <c r="DD793" s="107"/>
      <c r="DE793" s="107"/>
      <c r="DF793" s="107"/>
    </row>
    <row r="794" spans="1:110" s="51" customFormat="1" ht="12.9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8"/>
      <c r="Y794" s="18"/>
      <c r="Z794" s="18"/>
      <c r="AA794" s="18"/>
      <c r="AB794" s="18"/>
      <c r="AC794" s="18"/>
      <c r="AD794" s="18"/>
      <c r="AE794" s="12"/>
      <c r="AF794" s="12"/>
      <c r="AG794" s="12"/>
      <c r="AH794" s="12"/>
      <c r="AI794" s="12"/>
      <c r="AJ794" s="12"/>
      <c r="AK794" s="12"/>
      <c r="AL794" s="12"/>
      <c r="AM794" s="39"/>
      <c r="AN794" s="39"/>
      <c r="AO794" s="39"/>
      <c r="AP794" s="39"/>
      <c r="AQ794" s="39"/>
      <c r="AR794" s="39"/>
      <c r="AS794" s="39"/>
      <c r="AT794" s="39"/>
      <c r="AU794" s="39"/>
      <c r="AV794" s="39"/>
      <c r="AW794" s="39"/>
      <c r="AX794" s="39"/>
      <c r="AY794" s="39"/>
      <c r="BE794" s="21"/>
      <c r="BF794" s="21"/>
      <c r="BG794" s="56"/>
      <c r="BH794" s="56"/>
      <c r="BI794" s="56"/>
      <c r="BJ794" s="56"/>
      <c r="BK794" s="56"/>
      <c r="BL794" s="56"/>
      <c r="BM794" s="56"/>
      <c r="BN794" s="56"/>
      <c r="BO794" s="56"/>
      <c r="BP794" s="108" t="s">
        <v>642</v>
      </c>
      <c r="BQ794" s="109" t="s">
        <v>326</v>
      </c>
      <c r="BR794" s="109" t="s">
        <v>164</v>
      </c>
      <c r="BS794" s="109" t="s">
        <v>165</v>
      </c>
      <c r="BT794" s="109" t="s">
        <v>469</v>
      </c>
      <c r="BU794" s="56"/>
      <c r="BV794" s="56"/>
      <c r="BW794" s="108" t="s">
        <v>642</v>
      </c>
      <c r="BX794" s="109" t="s">
        <v>326</v>
      </c>
      <c r="BY794" s="109" t="s">
        <v>164</v>
      </c>
      <c r="BZ794" s="109" t="s">
        <v>165</v>
      </c>
      <c r="CA794" s="109" t="s">
        <v>469</v>
      </c>
      <c r="CB794" s="107"/>
      <c r="CC794" s="107"/>
      <c r="CD794" s="107"/>
      <c r="CE794" s="107"/>
      <c r="CF794" s="107"/>
      <c r="CG794" s="107"/>
      <c r="CH794" s="107"/>
      <c r="CI794" s="107"/>
      <c r="CJ794" s="107"/>
      <c r="CK794" s="107"/>
      <c r="CL794" s="107"/>
      <c r="CM794" s="107"/>
      <c r="CN794" s="107"/>
      <c r="CO794" s="107"/>
      <c r="CP794" s="107"/>
      <c r="CQ794" s="107"/>
      <c r="CR794" s="1639"/>
      <c r="CS794" s="107"/>
      <c r="CT794" s="107"/>
      <c r="CU794" s="107"/>
      <c r="CV794" s="107"/>
      <c r="CW794" s="107"/>
      <c r="CX794" s="107"/>
      <c r="CY794" s="107"/>
      <c r="CZ794" s="107"/>
      <c r="DA794" s="107"/>
      <c r="DB794" s="107"/>
      <c r="DC794" s="107"/>
      <c r="DD794" s="107"/>
      <c r="DE794" s="107"/>
      <c r="DF794" s="107"/>
    </row>
    <row r="795" spans="1:110" s="7" customFormat="1" ht="12.95" customHeight="1">
      <c r="A795" s="50" t="s">
        <v>599</v>
      </c>
      <c r="B795" s="50"/>
      <c r="C795" s="50" t="s">
        <v>289</v>
      </c>
      <c r="D795" s="12"/>
      <c r="E795" s="12"/>
      <c r="F795" s="12"/>
      <c r="G795" s="12"/>
      <c r="H795" s="12"/>
      <c r="I795" s="12"/>
      <c r="J795" s="12"/>
      <c r="K795" s="12"/>
      <c r="L795" s="12"/>
      <c r="M795" s="12"/>
      <c r="N795" s="12"/>
      <c r="O795" s="12"/>
      <c r="P795" s="12"/>
      <c r="Q795" s="12"/>
      <c r="R795" s="12"/>
      <c r="S795" s="12"/>
      <c r="T795" s="12"/>
      <c r="U795" s="12"/>
      <c r="V795" s="12"/>
      <c r="W795" s="12"/>
      <c r="X795" s="18"/>
      <c r="Y795" s="18"/>
      <c r="Z795" s="18"/>
      <c r="AA795" s="18"/>
      <c r="AB795" s="18"/>
      <c r="AC795" s="18"/>
      <c r="AD795" s="18"/>
      <c r="AE795" s="12"/>
      <c r="AF795" s="12"/>
      <c r="AG795" s="12"/>
      <c r="AH795" s="12"/>
      <c r="AI795" s="12"/>
      <c r="AJ795" s="12"/>
      <c r="AK795" s="12"/>
      <c r="AL795" s="12"/>
      <c r="AM795" s="39"/>
      <c r="AN795" s="39"/>
      <c r="AO795" s="39"/>
      <c r="AP795" s="39"/>
      <c r="AQ795" s="39"/>
      <c r="AR795" s="39"/>
      <c r="AS795" s="39"/>
      <c r="AT795" s="39"/>
      <c r="AU795" s="39"/>
      <c r="AV795" s="39"/>
      <c r="AW795" s="39"/>
      <c r="AX795" s="39"/>
      <c r="AY795" s="39"/>
      <c r="BE795" s="21"/>
      <c r="BF795" s="21"/>
      <c r="BG795" s="56"/>
      <c r="BH795" s="56"/>
      <c r="BI795" s="56"/>
      <c r="BJ795" s="56"/>
      <c r="BK795" s="56"/>
      <c r="BL795" s="56"/>
      <c r="BM795" s="56"/>
      <c r="BN795" s="56"/>
      <c r="BO795" s="36" t="s">
        <v>645</v>
      </c>
      <c r="BP795" s="503">
        <v>473390</v>
      </c>
      <c r="BQ795" s="503">
        <v>545814</v>
      </c>
      <c r="BR795" s="503">
        <v>658400</v>
      </c>
      <c r="BS795" s="503">
        <v>842752</v>
      </c>
      <c r="BT795" s="503">
        <v>938878</v>
      </c>
      <c r="BU795" s="56"/>
      <c r="BV795" s="36" t="s">
        <v>645</v>
      </c>
      <c r="BW795" s="503">
        <v>473390</v>
      </c>
      <c r="BX795" s="503">
        <v>545814</v>
      </c>
      <c r="BY795" s="503">
        <v>658400</v>
      </c>
      <c r="BZ795" s="503">
        <v>842752</v>
      </c>
      <c r="CA795" s="503">
        <v>938878</v>
      </c>
      <c r="CB795" s="61"/>
      <c r="CC795" s="61"/>
      <c r="CD795" s="61"/>
      <c r="CE795" s="61"/>
      <c r="CF795" s="61"/>
      <c r="CG795" s="61"/>
      <c r="CH795" s="61"/>
      <c r="CI795" s="61"/>
      <c r="CJ795" s="61"/>
      <c r="CK795" s="61"/>
      <c r="CL795" s="61"/>
      <c r="CM795" s="61"/>
      <c r="CN795" s="61"/>
      <c r="CO795" s="61"/>
      <c r="CP795" s="61"/>
      <c r="CQ795" s="61"/>
      <c r="CR795" s="1446"/>
      <c r="CS795" s="61"/>
      <c r="CT795" s="61"/>
      <c r="CU795" s="61"/>
      <c r="CV795" s="61"/>
      <c r="CW795" s="61"/>
      <c r="CX795" s="61"/>
      <c r="CY795" s="61"/>
      <c r="CZ795" s="61"/>
      <c r="DA795" s="61"/>
      <c r="DB795" s="61"/>
      <c r="DC795" s="61"/>
      <c r="DD795" s="61"/>
      <c r="DE795" s="61"/>
      <c r="DF795" s="61"/>
    </row>
    <row r="796" spans="1:110" s="7" customFormat="1" ht="12.9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8"/>
      <c r="Y796" s="18"/>
      <c r="Z796" s="18"/>
      <c r="AA796" s="18"/>
      <c r="AB796" s="18"/>
      <c r="AC796" s="18"/>
      <c r="AD796" s="18"/>
      <c r="AE796" s="12"/>
      <c r="AF796" s="12"/>
      <c r="AG796" s="12"/>
      <c r="AH796" s="12"/>
      <c r="AI796" s="12"/>
      <c r="AJ796" s="12"/>
      <c r="AK796" s="12"/>
      <c r="AL796" s="12"/>
      <c r="AM796" s="39"/>
      <c r="AN796" s="39"/>
      <c r="AO796" s="39"/>
      <c r="AP796" s="39"/>
      <c r="AQ796" s="39"/>
      <c r="AR796" s="39"/>
      <c r="AS796" s="39"/>
      <c r="AT796" s="39"/>
      <c r="AU796" s="39"/>
      <c r="AV796" s="39"/>
      <c r="AW796" s="39"/>
      <c r="AX796" s="39"/>
      <c r="AY796" s="39"/>
      <c r="BE796" s="21"/>
      <c r="BF796" s="21"/>
      <c r="BG796" s="56"/>
      <c r="BH796" s="56"/>
      <c r="BI796" s="56"/>
      <c r="BJ796" s="56"/>
      <c r="BK796" s="56"/>
      <c r="BL796" s="56"/>
      <c r="BM796" s="56"/>
      <c r="BN796" s="56"/>
      <c r="BO796" s="36" t="s">
        <v>646</v>
      </c>
      <c r="BP796" s="501">
        <v>352022</v>
      </c>
      <c r="BQ796" s="501">
        <v>405878</v>
      </c>
      <c r="BR796" s="501">
        <v>489600</v>
      </c>
      <c r="BS796" s="501">
        <v>626688</v>
      </c>
      <c r="BT796" s="501">
        <v>698170</v>
      </c>
      <c r="BU796" s="56"/>
      <c r="BV796" s="36" t="s">
        <v>646</v>
      </c>
      <c r="BW796" s="501">
        <v>352022</v>
      </c>
      <c r="BX796" s="501">
        <v>405878</v>
      </c>
      <c r="BY796" s="501">
        <v>489600</v>
      </c>
      <c r="BZ796" s="501">
        <v>626688</v>
      </c>
      <c r="CA796" s="501">
        <v>698170</v>
      </c>
      <c r="CB796" s="61"/>
      <c r="CC796" s="61"/>
      <c r="CD796" s="61"/>
      <c r="CE796" s="61"/>
      <c r="CF796" s="61"/>
      <c r="CG796" s="61"/>
      <c r="CH796" s="61"/>
      <c r="CI796" s="61"/>
      <c r="CJ796" s="61"/>
      <c r="CK796" s="61"/>
      <c r="CL796" s="61"/>
      <c r="CM796" s="61"/>
      <c r="CN796" s="61"/>
      <c r="CO796" s="61"/>
      <c r="CP796" s="61"/>
      <c r="CQ796" s="61"/>
      <c r="CR796" s="1446"/>
      <c r="CS796" s="61"/>
      <c r="CT796" s="61"/>
      <c r="CU796" s="61"/>
      <c r="CV796" s="61"/>
      <c r="CW796" s="61"/>
      <c r="CX796" s="61"/>
      <c r="CY796" s="61"/>
      <c r="CZ796" s="61"/>
      <c r="DA796" s="61"/>
      <c r="DB796" s="61"/>
      <c r="DC796" s="61"/>
      <c r="DD796" s="61"/>
      <c r="DE796" s="61"/>
      <c r="DF796" s="61"/>
    </row>
    <row r="797" spans="1:110" s="7" customFormat="1" ht="12.95" customHeight="1">
      <c r="A797" s="12"/>
      <c r="B797" s="12"/>
      <c r="C797" s="12"/>
      <c r="D797" s="12"/>
      <c r="E797" s="12"/>
      <c r="F797" s="12"/>
      <c r="G797" s="12"/>
      <c r="H797" s="76" t="s">
        <v>36</v>
      </c>
      <c r="I797" s="77"/>
      <c r="J797" s="77"/>
      <c r="K797" s="77"/>
      <c r="L797" s="77"/>
      <c r="M797" s="77"/>
      <c r="N797" s="77"/>
      <c r="O797" s="77"/>
      <c r="P797" s="77"/>
      <c r="Q797" s="77"/>
      <c r="R797" s="77"/>
      <c r="S797" s="77"/>
      <c r="T797" s="77"/>
      <c r="U797" s="77"/>
      <c r="V797" s="77"/>
      <c r="W797" s="77"/>
      <c r="X797" s="77"/>
      <c r="Y797" s="77"/>
      <c r="Z797" s="2328">
        <v>5112</v>
      </c>
      <c r="AA797" s="2329"/>
      <c r="AB797" s="2329"/>
      <c r="AC797" s="2329"/>
      <c r="AD797" s="2329"/>
      <c r="AE797" s="2330"/>
      <c r="AF797" s="12"/>
      <c r="AG797" s="12"/>
      <c r="AH797" s="12"/>
      <c r="AI797" s="12"/>
      <c r="AJ797" s="12"/>
      <c r="AK797" s="12"/>
      <c r="AL797" s="12"/>
      <c r="AM797" s="39"/>
      <c r="AN797" s="39"/>
      <c r="AO797" s="39"/>
      <c r="AP797" s="39"/>
      <c r="AQ797" s="39"/>
      <c r="AR797" s="39"/>
      <c r="AS797" s="39"/>
      <c r="AT797" s="39"/>
      <c r="AU797" s="39"/>
      <c r="AV797" s="39"/>
      <c r="AW797" s="39"/>
      <c r="AX797" s="39"/>
      <c r="AY797" s="39"/>
      <c r="BE797" s="21"/>
      <c r="BF797" s="21"/>
      <c r="BG797" s="56"/>
      <c r="BH797" s="56"/>
      <c r="BI797" s="56"/>
      <c r="BJ797" s="56"/>
      <c r="BK797" s="56"/>
      <c r="BL797" s="56"/>
      <c r="BM797" s="56"/>
      <c r="BN797" s="56"/>
      <c r="BO797" s="36" t="s">
        <v>340</v>
      </c>
      <c r="BP797" s="503">
        <v>352022</v>
      </c>
      <c r="BQ797" s="503">
        <v>405878</v>
      </c>
      <c r="BR797" s="503">
        <v>489600</v>
      </c>
      <c r="BS797" s="503">
        <v>626688</v>
      </c>
      <c r="BT797" s="503">
        <v>698170</v>
      </c>
      <c r="BU797" s="56"/>
      <c r="BV797" s="36" t="s">
        <v>340</v>
      </c>
      <c r="BW797" s="503">
        <v>352022</v>
      </c>
      <c r="BX797" s="503">
        <v>405878</v>
      </c>
      <c r="BY797" s="503">
        <v>489600</v>
      </c>
      <c r="BZ797" s="503">
        <v>626688</v>
      </c>
      <c r="CA797" s="503">
        <v>698170</v>
      </c>
      <c r="CB797" s="61"/>
      <c r="CC797" s="61"/>
      <c r="CD797" s="61"/>
      <c r="CE797" s="61"/>
      <c r="CF797" s="61"/>
      <c r="CG797" s="61"/>
      <c r="CH797" s="61"/>
      <c r="CI797" s="61"/>
      <c r="CJ797" s="61"/>
      <c r="CK797" s="61"/>
      <c r="CL797" s="61"/>
      <c r="CM797" s="61"/>
      <c r="CN797" s="61"/>
      <c r="CO797" s="61"/>
      <c r="CP797" s="61"/>
      <c r="CQ797" s="61"/>
      <c r="CR797" s="1446"/>
      <c r="CS797" s="61"/>
      <c r="CT797" s="61"/>
      <c r="CU797" s="61"/>
      <c r="CV797" s="61"/>
      <c r="CW797" s="61"/>
      <c r="CX797" s="61"/>
      <c r="CY797" s="61"/>
      <c r="CZ797" s="61"/>
      <c r="DA797" s="61"/>
      <c r="DB797" s="61"/>
      <c r="DC797" s="61"/>
      <c r="DD797" s="61"/>
      <c r="DE797" s="61"/>
      <c r="DF797" s="61"/>
    </row>
    <row r="798" spans="1:110" s="7" customFormat="1" ht="12.95" customHeight="1">
      <c r="A798" s="12"/>
      <c r="B798" s="12"/>
      <c r="C798" s="12"/>
      <c r="D798" s="12"/>
      <c r="E798" s="12"/>
      <c r="F798" s="12"/>
      <c r="G798" s="12"/>
      <c r="H798" s="76" t="s">
        <v>37</v>
      </c>
      <c r="I798" s="77"/>
      <c r="J798" s="77"/>
      <c r="K798" s="77"/>
      <c r="L798" s="77"/>
      <c r="M798" s="77"/>
      <c r="N798" s="77"/>
      <c r="O798" s="77"/>
      <c r="P798" s="77"/>
      <c r="Q798" s="77"/>
      <c r="R798" s="77"/>
      <c r="S798" s="77"/>
      <c r="T798" s="77"/>
      <c r="U798" s="77"/>
      <c r="V798" s="77"/>
      <c r="W798" s="77"/>
      <c r="X798" s="77"/>
      <c r="Y798" s="77"/>
      <c r="Z798" s="2328"/>
      <c r="AA798" s="2329"/>
      <c r="AB798" s="2329"/>
      <c r="AC798" s="2329"/>
      <c r="AD798" s="2329"/>
      <c r="AE798" s="2330"/>
      <c r="AF798" s="12"/>
      <c r="AG798" s="12"/>
      <c r="AH798" s="12"/>
      <c r="AI798" s="12"/>
      <c r="AJ798" s="12"/>
      <c r="AK798" s="12"/>
      <c r="AL798" s="12"/>
      <c r="AM798" s="39"/>
      <c r="AN798" s="39"/>
      <c r="AO798" s="39"/>
      <c r="AP798" s="39"/>
      <c r="AQ798" s="39"/>
      <c r="AR798" s="39"/>
      <c r="AS798" s="39"/>
      <c r="AT798" s="39"/>
      <c r="AU798" s="39"/>
      <c r="AV798" s="39"/>
      <c r="AW798" s="39"/>
      <c r="AX798" s="39"/>
      <c r="AY798" s="39"/>
      <c r="BE798" s="21"/>
      <c r="BF798" s="21"/>
      <c r="BG798" s="56"/>
      <c r="BH798" s="56"/>
      <c r="BI798" s="56"/>
      <c r="BJ798" s="56"/>
      <c r="BK798" s="56"/>
      <c r="BL798" s="56"/>
      <c r="BM798" s="56"/>
      <c r="BN798" s="56"/>
      <c r="BO798" s="36" t="s">
        <v>669</v>
      </c>
      <c r="BP798" s="501">
        <v>319236</v>
      </c>
      <c r="BQ798" s="501">
        <v>368076</v>
      </c>
      <c r="BR798" s="501">
        <v>444000</v>
      </c>
      <c r="BS798" s="501">
        <v>568320</v>
      </c>
      <c r="BT798" s="501">
        <v>633144</v>
      </c>
      <c r="BU798" s="56"/>
      <c r="BV798" s="36" t="s">
        <v>669</v>
      </c>
      <c r="BW798" s="501">
        <v>319236</v>
      </c>
      <c r="BX798" s="501">
        <v>368076</v>
      </c>
      <c r="BY798" s="501">
        <v>444000</v>
      </c>
      <c r="BZ798" s="501">
        <v>568320</v>
      </c>
      <c r="CA798" s="501">
        <v>633144</v>
      </c>
      <c r="CB798" s="61"/>
      <c r="CC798" s="61"/>
      <c r="CD798" s="61"/>
      <c r="CE798" s="61"/>
      <c r="CF798" s="61"/>
      <c r="CG798" s="61"/>
      <c r="CH798" s="61"/>
      <c r="CI798" s="61"/>
      <c r="CJ798" s="61"/>
      <c r="CK798" s="61"/>
      <c r="CL798" s="61"/>
      <c r="CM798" s="61"/>
      <c r="CN798" s="61"/>
      <c r="CO798" s="61"/>
      <c r="CP798" s="61"/>
      <c r="CQ798" s="61"/>
      <c r="CR798" s="1446"/>
      <c r="CS798" s="61"/>
      <c r="CT798" s="61"/>
      <c r="CU798" s="61"/>
      <c r="CV798" s="61"/>
      <c r="CW798" s="61"/>
      <c r="CX798" s="61"/>
      <c r="CY798" s="61"/>
      <c r="CZ798" s="61"/>
      <c r="DA798" s="61"/>
      <c r="DB798" s="61"/>
      <c r="DC798" s="61"/>
      <c r="DD798" s="61"/>
      <c r="DE798" s="61"/>
      <c r="DF798" s="61"/>
    </row>
    <row r="799" spans="1:110" s="7" customFormat="1" ht="12.95" customHeight="1">
      <c r="A799" s="12"/>
      <c r="B799" s="12"/>
      <c r="C799" s="12"/>
      <c r="D799" s="12"/>
      <c r="E799" s="12"/>
      <c r="F799" s="12"/>
      <c r="G799" s="12"/>
      <c r="H799" s="76" t="s">
        <v>38</v>
      </c>
      <c r="I799" s="77"/>
      <c r="J799" s="77"/>
      <c r="K799" s="77"/>
      <c r="L799" s="77"/>
      <c r="M799" s="77"/>
      <c r="N799" s="77"/>
      <c r="O799" s="77"/>
      <c r="P799" s="77"/>
      <c r="Q799" s="77"/>
      <c r="R799" s="77"/>
      <c r="S799" s="77"/>
      <c r="T799" s="77"/>
      <c r="U799" s="77"/>
      <c r="V799" s="77"/>
      <c r="W799" s="77"/>
      <c r="X799" s="77"/>
      <c r="Y799" s="77"/>
      <c r="Z799" s="2328"/>
      <c r="AA799" s="2329"/>
      <c r="AB799" s="2329"/>
      <c r="AC799" s="2329"/>
      <c r="AD799" s="2329"/>
      <c r="AE799" s="2330"/>
      <c r="AF799" s="12"/>
      <c r="AG799" s="12"/>
      <c r="AH799" s="12"/>
      <c r="AI799" s="12"/>
      <c r="AJ799" s="12"/>
      <c r="AK799" s="12"/>
      <c r="AL799" s="12"/>
      <c r="AM799" s="39"/>
      <c r="AN799" s="39"/>
      <c r="AO799" s="39"/>
      <c r="AP799" s="39"/>
      <c r="AQ799" s="39"/>
      <c r="AR799" s="39"/>
      <c r="AS799" s="39"/>
      <c r="AT799" s="39"/>
      <c r="AU799" s="39"/>
      <c r="AV799" s="39"/>
      <c r="AW799" s="39"/>
      <c r="AX799" s="39"/>
      <c r="AY799" s="39"/>
      <c r="BE799" s="21"/>
      <c r="BF799" s="21"/>
      <c r="BG799" s="56"/>
      <c r="BH799" s="56"/>
      <c r="BI799" s="56"/>
      <c r="BJ799" s="56"/>
      <c r="BK799" s="56"/>
      <c r="BL799" s="56"/>
      <c r="BM799" s="56"/>
      <c r="BN799" s="56"/>
      <c r="BO799" s="36" t="s">
        <v>670</v>
      </c>
      <c r="BP799" s="503">
        <v>352022</v>
      </c>
      <c r="BQ799" s="503">
        <v>405878</v>
      </c>
      <c r="BR799" s="503">
        <v>489600</v>
      </c>
      <c r="BS799" s="503">
        <v>626688</v>
      </c>
      <c r="BT799" s="503">
        <v>698170</v>
      </c>
      <c r="BU799" s="56"/>
      <c r="BV799" s="36" t="s">
        <v>670</v>
      </c>
      <c r="BW799" s="503">
        <v>352022</v>
      </c>
      <c r="BX799" s="503">
        <v>405878</v>
      </c>
      <c r="BY799" s="503">
        <v>489600</v>
      </c>
      <c r="BZ799" s="503">
        <v>626688</v>
      </c>
      <c r="CA799" s="503">
        <v>698170</v>
      </c>
      <c r="CB799" s="61"/>
      <c r="CC799" s="61"/>
      <c r="CD799" s="61"/>
      <c r="CE799" s="61"/>
      <c r="CF799" s="61"/>
      <c r="CG799" s="61"/>
      <c r="CH799" s="61"/>
      <c r="CI799" s="61"/>
      <c r="CJ799" s="61"/>
      <c r="CK799" s="61"/>
      <c r="CL799" s="61"/>
      <c r="CM799" s="61"/>
      <c r="CN799" s="61"/>
      <c r="CO799" s="61"/>
      <c r="CP799" s="61"/>
      <c r="CQ799" s="61"/>
      <c r="CR799" s="1446"/>
      <c r="CS799" s="61"/>
      <c r="CT799" s="61"/>
      <c r="CU799" s="61"/>
      <c r="CV799" s="61"/>
      <c r="CW799" s="61"/>
      <c r="CX799" s="61"/>
      <c r="CY799" s="61"/>
      <c r="CZ799" s="61"/>
      <c r="DA799" s="61"/>
      <c r="DB799" s="61"/>
      <c r="DC799" s="61"/>
      <c r="DD799" s="61"/>
      <c r="DE799" s="61"/>
      <c r="DF799" s="61"/>
    </row>
    <row r="800" spans="1:110" s="7" customFormat="1" ht="12.95" customHeight="1">
      <c r="A800" s="12"/>
      <c r="B800" s="12"/>
      <c r="C800" s="12"/>
      <c r="D800" s="12"/>
      <c r="E800" s="12"/>
      <c r="F800" s="12"/>
      <c r="G800" s="12"/>
      <c r="H800" s="76" t="s">
        <v>39</v>
      </c>
      <c r="I800" s="77"/>
      <c r="J800" s="77"/>
      <c r="K800" s="77"/>
      <c r="L800" s="77"/>
      <c r="M800" s="77"/>
      <c r="N800" s="77"/>
      <c r="O800" s="77"/>
      <c r="P800" s="2325" t="s">
        <v>335</v>
      </c>
      <c r="Q800" s="2326"/>
      <c r="R800" s="2326"/>
      <c r="S800" s="2326"/>
      <c r="T800" s="2326"/>
      <c r="U800" s="2326"/>
      <c r="V800" s="2326"/>
      <c r="W800" s="2326"/>
      <c r="X800" s="2326"/>
      <c r="Y800" s="2327"/>
      <c r="Z800" s="2328"/>
      <c r="AA800" s="2329"/>
      <c r="AB800" s="2329"/>
      <c r="AC800" s="2329"/>
      <c r="AD800" s="2329"/>
      <c r="AE800" s="2330"/>
      <c r="AF800" s="12"/>
      <c r="AG800" s="12"/>
      <c r="AH800" s="12"/>
      <c r="AI800" s="12"/>
      <c r="AJ800" s="12"/>
      <c r="AK800" s="12"/>
      <c r="AL800" s="12"/>
      <c r="AM800" s="39"/>
      <c r="AN800" s="39"/>
      <c r="AO800" s="39"/>
      <c r="AP800" s="39"/>
      <c r="AQ800" s="39"/>
      <c r="AR800" s="39"/>
      <c r="AS800" s="39"/>
      <c r="AT800" s="39"/>
      <c r="AU800" s="39"/>
      <c r="AV800" s="39"/>
      <c r="AW800" s="39"/>
      <c r="AX800" s="39"/>
      <c r="AY800" s="39"/>
      <c r="BE800" s="21"/>
      <c r="BF800" s="21"/>
      <c r="BG800" s="56"/>
      <c r="BH800" s="56"/>
      <c r="BI800" s="56"/>
      <c r="BJ800" s="56"/>
      <c r="BK800" s="56"/>
      <c r="BL800" s="56"/>
      <c r="BM800" s="56"/>
      <c r="BN800" s="56"/>
      <c r="BO800" s="36" t="s">
        <v>671</v>
      </c>
      <c r="BP800" s="501">
        <v>352022</v>
      </c>
      <c r="BQ800" s="501">
        <v>405878</v>
      </c>
      <c r="BR800" s="501">
        <v>489600</v>
      </c>
      <c r="BS800" s="501">
        <v>626688</v>
      </c>
      <c r="BT800" s="501">
        <v>698170</v>
      </c>
      <c r="BU800" s="56"/>
      <c r="BV800" s="36" t="s">
        <v>671</v>
      </c>
      <c r="BW800" s="501">
        <v>352022</v>
      </c>
      <c r="BX800" s="501">
        <v>405878</v>
      </c>
      <c r="BY800" s="501">
        <v>489600</v>
      </c>
      <c r="BZ800" s="501">
        <v>626688</v>
      </c>
      <c r="CA800" s="501">
        <v>698170</v>
      </c>
      <c r="CB800" s="61"/>
      <c r="CC800" s="61"/>
      <c r="CD800" s="61"/>
      <c r="CE800" s="61"/>
      <c r="CF800" s="61"/>
      <c r="CG800" s="61"/>
      <c r="CH800" s="61"/>
      <c r="CI800" s="61"/>
      <c r="CJ800" s="61"/>
      <c r="CK800" s="61"/>
      <c r="CL800" s="61"/>
      <c r="CM800" s="61"/>
      <c r="CN800" s="61"/>
      <c r="CO800" s="61"/>
      <c r="CP800" s="61"/>
      <c r="CQ800" s="61"/>
      <c r="CR800" s="1446"/>
      <c r="CS800" s="61"/>
      <c r="CT800" s="61"/>
      <c r="CU800" s="61"/>
      <c r="CV800" s="61"/>
      <c r="CW800" s="61"/>
      <c r="CX800" s="61"/>
      <c r="CY800" s="61"/>
      <c r="CZ800" s="61"/>
      <c r="DA800" s="61"/>
      <c r="DB800" s="61"/>
      <c r="DC800" s="61"/>
      <c r="DD800" s="61"/>
      <c r="DE800" s="61"/>
      <c r="DF800" s="61"/>
    </row>
    <row r="801" spans="1:110" s="7" customFormat="1" ht="12.95" customHeight="1">
      <c r="A801" s="12"/>
      <c r="B801" s="12"/>
      <c r="C801" s="12"/>
      <c r="D801" s="12"/>
      <c r="E801" s="12"/>
      <c r="F801" s="12"/>
      <c r="G801" s="12"/>
      <c r="H801" s="76"/>
      <c r="I801" s="77"/>
      <c r="J801" s="77"/>
      <c r="K801" s="77"/>
      <c r="L801" s="77"/>
      <c r="M801" s="77"/>
      <c r="N801" s="77"/>
      <c r="O801" s="77"/>
      <c r="P801" s="77"/>
      <c r="Q801" s="77"/>
      <c r="R801" s="77"/>
      <c r="S801" s="77"/>
      <c r="T801" s="77"/>
      <c r="U801" s="77"/>
      <c r="V801" s="77"/>
      <c r="W801" s="77"/>
      <c r="X801" s="77"/>
      <c r="Y801" s="85" t="s">
        <v>161</v>
      </c>
      <c r="Z801" s="2243">
        <f>SUM(Z797:AE800)</f>
        <v>5112</v>
      </c>
      <c r="AA801" s="2244"/>
      <c r="AB801" s="2244"/>
      <c r="AC801" s="2244"/>
      <c r="AD801" s="2244"/>
      <c r="AE801" s="2245"/>
      <c r="AF801" s="12"/>
      <c r="AG801" s="12"/>
      <c r="AH801" s="12"/>
      <c r="AI801" s="12"/>
      <c r="AJ801" s="12"/>
      <c r="AK801" s="12"/>
      <c r="AL801" s="12"/>
      <c r="AM801" s="39"/>
      <c r="AN801" s="39"/>
      <c r="AO801" s="39"/>
      <c r="AP801" s="39"/>
      <c r="AQ801" s="39"/>
      <c r="AR801" s="39"/>
      <c r="AS801" s="39"/>
      <c r="AT801" s="39"/>
      <c r="AU801" s="39"/>
      <c r="AV801" s="39"/>
      <c r="AW801" s="39"/>
      <c r="AX801" s="39"/>
      <c r="AY801" s="39"/>
      <c r="BE801" s="21"/>
      <c r="BF801" s="21"/>
      <c r="BG801" s="56"/>
      <c r="BH801" s="56"/>
      <c r="BI801" s="56"/>
      <c r="BJ801" s="56"/>
      <c r="BK801" s="56"/>
      <c r="BL801" s="56"/>
      <c r="BM801" s="56"/>
      <c r="BN801" s="56"/>
      <c r="BO801" s="36" t="s">
        <v>672</v>
      </c>
      <c r="BP801" s="503">
        <v>473390</v>
      </c>
      <c r="BQ801" s="503">
        <v>545814</v>
      </c>
      <c r="BR801" s="503">
        <v>658400</v>
      </c>
      <c r="BS801" s="503">
        <v>842752</v>
      </c>
      <c r="BT801" s="503">
        <v>938878</v>
      </c>
      <c r="BU801" s="56"/>
      <c r="BV801" s="36" t="s">
        <v>672</v>
      </c>
      <c r="BW801" s="503">
        <v>473390</v>
      </c>
      <c r="BX801" s="503">
        <v>545814</v>
      </c>
      <c r="BY801" s="503">
        <v>658400</v>
      </c>
      <c r="BZ801" s="503">
        <v>842752</v>
      </c>
      <c r="CA801" s="503">
        <v>938878</v>
      </c>
      <c r="CB801" s="61"/>
      <c r="CC801" s="61"/>
      <c r="CD801" s="61"/>
      <c r="CE801" s="61"/>
      <c r="CF801" s="61"/>
      <c r="CG801" s="61"/>
      <c r="CH801" s="61"/>
      <c r="CI801" s="61"/>
      <c r="CJ801" s="61"/>
      <c r="CK801" s="61"/>
      <c r="CL801" s="61"/>
      <c r="CM801" s="61"/>
      <c r="CN801" s="61"/>
      <c r="CO801" s="61"/>
      <c r="CP801" s="61"/>
      <c r="CQ801" s="61"/>
      <c r="CR801" s="1446"/>
      <c r="CS801" s="61"/>
      <c r="CT801" s="61"/>
      <c r="CU801" s="61"/>
      <c r="CV801" s="61"/>
      <c r="CW801" s="61"/>
      <c r="CX801" s="61"/>
      <c r="CY801" s="61"/>
      <c r="CZ801" s="61"/>
      <c r="DA801" s="61"/>
      <c r="DB801" s="61"/>
      <c r="DC801" s="61"/>
      <c r="DD801" s="61"/>
      <c r="DE801" s="61"/>
      <c r="DF801" s="61"/>
    </row>
    <row r="802" spans="1:110" s="7" customFormat="1" ht="12.95" customHeight="1">
      <c r="A802" s="12"/>
      <c r="B802" s="12"/>
      <c r="C802" s="12"/>
      <c r="D802" s="12"/>
      <c r="E802" s="12"/>
      <c r="F802" s="12"/>
      <c r="G802" s="12"/>
      <c r="H802" s="76"/>
      <c r="I802" s="77"/>
      <c r="J802" s="77"/>
      <c r="K802" s="77"/>
      <c r="L802" s="77"/>
      <c r="M802" s="77"/>
      <c r="N802" s="77"/>
      <c r="O802" s="77"/>
      <c r="P802" s="77"/>
      <c r="Q802" s="77"/>
      <c r="R802" s="77"/>
      <c r="S802" s="77"/>
      <c r="T802" s="77"/>
      <c r="U802" s="77"/>
      <c r="V802" s="77"/>
      <c r="W802" s="77"/>
      <c r="X802" s="77"/>
      <c r="Y802" s="85" t="s">
        <v>653</v>
      </c>
      <c r="Z802" s="2243">
        <f>Z801+Y785+Z793</f>
        <v>1067208</v>
      </c>
      <c r="AA802" s="2244"/>
      <c r="AB802" s="2244"/>
      <c r="AC802" s="2244"/>
      <c r="AD802" s="2244"/>
      <c r="AE802" s="2245"/>
      <c r="AF802" s="12"/>
      <c r="AG802" s="12"/>
      <c r="AH802" s="12"/>
      <c r="AI802" s="12"/>
      <c r="AJ802" s="12"/>
      <c r="AK802" s="12"/>
      <c r="AL802" s="12"/>
      <c r="AM802" s="39"/>
      <c r="AN802" s="39"/>
      <c r="AO802" s="39"/>
      <c r="AP802" s="39"/>
      <c r="AQ802" s="39"/>
      <c r="AR802" s="39"/>
      <c r="AS802" s="39"/>
      <c r="AT802" s="39"/>
      <c r="AU802" s="39"/>
      <c r="AV802" s="39"/>
      <c r="AW802" s="39"/>
      <c r="AX802" s="39"/>
      <c r="AY802" s="39"/>
      <c r="BF802" s="21"/>
      <c r="BG802" s="56"/>
      <c r="BH802" s="56"/>
      <c r="BI802" s="56"/>
      <c r="BJ802" s="56"/>
      <c r="BK802" s="56"/>
      <c r="BL802" s="56"/>
      <c r="BM802" s="56"/>
      <c r="BN802" s="56"/>
      <c r="BO802" s="36" t="s">
        <v>673</v>
      </c>
      <c r="BP802" s="501">
        <v>352022</v>
      </c>
      <c r="BQ802" s="501">
        <v>405878</v>
      </c>
      <c r="BR802" s="501">
        <v>489600</v>
      </c>
      <c r="BS802" s="501">
        <v>626688</v>
      </c>
      <c r="BT802" s="501">
        <v>698170</v>
      </c>
      <c r="BU802" s="56"/>
      <c r="BV802" s="36" t="s">
        <v>673</v>
      </c>
      <c r="BW802" s="501">
        <v>352022</v>
      </c>
      <c r="BX802" s="501">
        <v>405878</v>
      </c>
      <c r="BY802" s="501">
        <v>489600</v>
      </c>
      <c r="BZ802" s="501">
        <v>626688</v>
      </c>
      <c r="CA802" s="501">
        <v>698170</v>
      </c>
      <c r="CB802" s="61"/>
      <c r="CC802" s="61"/>
      <c r="CD802" s="61"/>
      <c r="CE802" s="61"/>
      <c r="CF802" s="61"/>
      <c r="CG802" s="61"/>
      <c r="CH802" s="61"/>
      <c r="CI802" s="61"/>
      <c r="CJ802" s="61"/>
      <c r="CK802" s="61"/>
      <c r="CL802" s="61"/>
      <c r="CM802" s="61"/>
      <c r="CN802" s="61"/>
      <c r="CO802" s="61"/>
      <c r="CP802" s="61"/>
      <c r="CQ802" s="61"/>
      <c r="CR802" s="1446"/>
      <c r="CS802" s="61"/>
      <c r="CT802" s="61"/>
      <c r="CU802" s="61"/>
      <c r="CV802" s="61"/>
      <c r="CW802" s="61"/>
      <c r="CX802" s="61"/>
      <c r="CY802" s="61"/>
      <c r="CZ802" s="61"/>
      <c r="DA802" s="61"/>
      <c r="DB802" s="61"/>
      <c r="DC802" s="61"/>
      <c r="DD802" s="61"/>
      <c r="DE802" s="61"/>
      <c r="DF802" s="61"/>
    </row>
    <row r="803" spans="1:110" s="7" customFormat="1" ht="12.9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G803" s="56"/>
      <c r="BH803" s="56"/>
      <c r="BI803" s="56"/>
      <c r="BJ803" s="56"/>
      <c r="BK803" s="56"/>
      <c r="BL803" s="56"/>
      <c r="BM803" s="56"/>
      <c r="BN803" s="56"/>
      <c r="BO803" s="36" t="s">
        <v>674</v>
      </c>
      <c r="BP803" s="503">
        <v>331890</v>
      </c>
      <c r="BQ803" s="503">
        <v>382666</v>
      </c>
      <c r="BR803" s="503">
        <v>461600</v>
      </c>
      <c r="BS803" s="503">
        <v>590848</v>
      </c>
      <c r="BT803" s="503">
        <v>658242</v>
      </c>
      <c r="BU803" s="56"/>
      <c r="BV803" s="36" t="s">
        <v>674</v>
      </c>
      <c r="BW803" s="503">
        <v>331890</v>
      </c>
      <c r="BX803" s="503">
        <v>382666</v>
      </c>
      <c r="BY803" s="503">
        <v>461600</v>
      </c>
      <c r="BZ803" s="503">
        <v>590848</v>
      </c>
      <c r="CA803" s="503">
        <v>658242</v>
      </c>
      <c r="CB803" s="61"/>
      <c r="CC803" s="61"/>
      <c r="CD803" s="61"/>
      <c r="CE803" s="61"/>
      <c r="CF803" s="61"/>
      <c r="CG803" s="61"/>
      <c r="CH803" s="61"/>
      <c r="CI803" s="61"/>
      <c r="CJ803" s="61"/>
      <c r="CK803" s="61"/>
      <c r="CL803" s="61"/>
      <c r="CM803" s="61"/>
      <c r="CN803" s="61"/>
      <c r="CO803" s="61"/>
      <c r="CP803" s="61"/>
      <c r="CQ803" s="61"/>
      <c r="CR803" s="1446"/>
      <c r="CS803" s="61"/>
      <c r="CT803" s="61"/>
      <c r="CU803" s="61"/>
      <c r="CV803" s="61"/>
      <c r="CW803" s="61"/>
      <c r="CX803" s="61"/>
      <c r="CY803" s="61"/>
      <c r="CZ803" s="61"/>
      <c r="DA803" s="61"/>
      <c r="DB803" s="61"/>
      <c r="DC803" s="61"/>
      <c r="DD803" s="61"/>
      <c r="DE803" s="61"/>
      <c r="DF803" s="61"/>
    </row>
    <row r="804" spans="1:110" s="7" customFormat="1" ht="12.95" customHeight="1">
      <c r="A804" s="50" t="s">
        <v>601</v>
      </c>
      <c r="B804" s="50"/>
      <c r="C804" s="50" t="s">
        <v>426</v>
      </c>
      <c r="D804" s="12"/>
      <c r="E804" s="12"/>
      <c r="F804" s="25"/>
      <c r="G804" s="25"/>
      <c r="H804" s="25"/>
      <c r="I804" s="25"/>
      <c r="J804" s="25"/>
      <c r="K804" s="25"/>
      <c r="L804" s="25"/>
      <c r="M804" s="25"/>
      <c r="N804" s="25"/>
      <c r="O804" s="25"/>
      <c r="P804" s="25"/>
      <c r="Q804" s="25"/>
      <c r="R804" s="25"/>
      <c r="S804" s="25"/>
      <c r="T804" s="25"/>
      <c r="U804" s="25"/>
      <c r="V804" s="25"/>
      <c r="W804" s="89"/>
      <c r="X804" s="25"/>
      <c r="Y804" s="25"/>
      <c r="Z804" s="25"/>
      <c r="AA804" s="25"/>
      <c r="AB804" s="25"/>
      <c r="AC804" s="25"/>
      <c r="AD804" s="25"/>
      <c r="AE804" s="25"/>
      <c r="AF804" s="12"/>
      <c r="AG804" s="12"/>
      <c r="AH804" s="12"/>
      <c r="AI804" s="12"/>
      <c r="AJ804" s="12"/>
      <c r="AK804" s="12"/>
      <c r="AL804" s="12"/>
      <c r="AM804" s="39"/>
      <c r="AN804" s="39"/>
      <c r="AO804" s="39"/>
      <c r="AP804" s="39"/>
      <c r="AQ804" s="39"/>
      <c r="AR804" s="39"/>
      <c r="AS804" s="39"/>
      <c r="AT804" s="39"/>
      <c r="AU804" s="39"/>
      <c r="AV804" s="39"/>
      <c r="AW804" s="39"/>
      <c r="AX804" s="39"/>
      <c r="AY804" s="39"/>
      <c r="AZ804" s="52"/>
      <c r="BA804" s="52"/>
      <c r="BB804" s="21"/>
      <c r="BC804" s="21"/>
      <c r="BD804" s="21"/>
      <c r="BE804" s="21"/>
      <c r="BF804" s="21"/>
      <c r="BG804" s="56"/>
      <c r="BH804" s="56"/>
      <c r="BI804" s="56"/>
      <c r="BJ804" s="56"/>
      <c r="BK804" s="56"/>
      <c r="BL804" s="56"/>
      <c r="BM804" s="56"/>
      <c r="BN804" s="56"/>
      <c r="BO804" s="36" t="s">
        <v>676</v>
      </c>
      <c r="BP804" s="501">
        <v>307732</v>
      </c>
      <c r="BQ804" s="501">
        <v>354812</v>
      </c>
      <c r="BR804" s="501">
        <v>428000</v>
      </c>
      <c r="BS804" s="501">
        <v>547840</v>
      </c>
      <c r="BT804" s="501">
        <v>610328</v>
      </c>
      <c r="BU804" s="56"/>
      <c r="BV804" s="36" t="s">
        <v>676</v>
      </c>
      <c r="BW804" s="501">
        <v>307732</v>
      </c>
      <c r="BX804" s="501">
        <v>354812</v>
      </c>
      <c r="BY804" s="501">
        <v>428000</v>
      </c>
      <c r="BZ804" s="501">
        <v>547840</v>
      </c>
      <c r="CA804" s="501">
        <v>610328</v>
      </c>
      <c r="CB804" s="61"/>
      <c r="CC804" s="61"/>
      <c r="CD804" s="61"/>
      <c r="CE804" s="61"/>
      <c r="CF804" s="61"/>
      <c r="CG804" s="61"/>
      <c r="CH804" s="61"/>
      <c r="CI804" s="61"/>
      <c r="CJ804" s="61"/>
      <c r="CK804" s="61"/>
      <c r="CL804" s="61"/>
      <c r="CM804" s="61"/>
      <c r="CN804" s="61"/>
      <c r="CO804" s="61"/>
      <c r="CP804" s="61"/>
      <c r="CQ804" s="61"/>
      <c r="CR804" s="1446"/>
      <c r="CS804" s="61"/>
      <c r="CT804" s="61"/>
      <c r="CU804" s="61"/>
      <c r="CV804" s="61"/>
      <c r="CW804" s="61"/>
      <c r="CX804" s="61"/>
      <c r="CY804" s="61"/>
      <c r="CZ804" s="61"/>
      <c r="DA804" s="61"/>
      <c r="DB804" s="61"/>
      <c r="DC804" s="61"/>
      <c r="DD804" s="61"/>
      <c r="DE804" s="61"/>
      <c r="DF804" s="61"/>
    </row>
    <row r="805" spans="1:110" s="7" customFormat="1" ht="12.95" customHeight="1">
      <c r="A805" s="12"/>
      <c r="B805" s="12"/>
      <c r="C805" s="35" t="s">
        <v>843</v>
      </c>
      <c r="D805" s="12"/>
      <c r="E805" s="12"/>
      <c r="F805" s="25"/>
      <c r="G805" s="25"/>
      <c r="H805" s="25"/>
      <c r="I805" s="25"/>
      <c r="J805" s="25"/>
      <c r="K805" s="25"/>
      <c r="L805" s="25"/>
      <c r="M805" s="25"/>
      <c r="N805" s="25"/>
      <c r="O805" s="25"/>
      <c r="P805" s="25"/>
      <c r="Q805" s="25"/>
      <c r="R805" s="25"/>
      <c r="S805" s="25"/>
      <c r="T805" s="25"/>
      <c r="U805" s="25"/>
      <c r="V805" s="25"/>
      <c r="W805" s="89"/>
      <c r="X805" s="25"/>
      <c r="Y805" s="25"/>
      <c r="Z805" s="25"/>
      <c r="AA805" s="25"/>
      <c r="AB805" s="25"/>
      <c r="AC805" s="25"/>
      <c r="AD805" s="25"/>
      <c r="AE805" s="25"/>
      <c r="AF805" s="12"/>
      <c r="AG805" s="12"/>
      <c r="AH805" s="12"/>
      <c r="AI805" s="12"/>
      <c r="AJ805" s="12"/>
      <c r="AK805" s="12"/>
      <c r="AL805" s="12"/>
      <c r="AM805" s="39"/>
      <c r="AN805" s="39"/>
      <c r="AO805" s="39"/>
      <c r="AP805" s="39"/>
      <c r="AQ805" s="39"/>
      <c r="AR805" s="39"/>
      <c r="AS805" s="39"/>
      <c r="AT805" s="39"/>
      <c r="AU805" s="39"/>
      <c r="AV805" s="39"/>
      <c r="AW805" s="39"/>
      <c r="AX805" s="39"/>
      <c r="AY805" s="39"/>
      <c r="AZ805" s="52"/>
      <c r="BA805" s="52"/>
      <c r="BB805" s="21"/>
      <c r="BC805" s="21"/>
      <c r="BD805" s="21"/>
      <c r="BE805" s="21"/>
      <c r="BF805" s="21"/>
      <c r="BG805" s="56"/>
      <c r="BH805" s="56"/>
      <c r="BI805" s="56"/>
      <c r="BJ805" s="56"/>
      <c r="BK805" s="56"/>
      <c r="BL805" s="56"/>
      <c r="BM805" s="56"/>
      <c r="BN805" s="56"/>
      <c r="BO805" s="36" t="s">
        <v>679</v>
      </c>
      <c r="BP805" s="503">
        <v>352022</v>
      </c>
      <c r="BQ805" s="503">
        <v>405878</v>
      </c>
      <c r="BR805" s="503">
        <v>489600</v>
      </c>
      <c r="BS805" s="503">
        <v>626688</v>
      </c>
      <c r="BT805" s="503">
        <v>698170</v>
      </c>
      <c r="BU805" s="56"/>
      <c r="BV805" s="36" t="s">
        <v>679</v>
      </c>
      <c r="BW805" s="503">
        <v>352022</v>
      </c>
      <c r="BX805" s="503">
        <v>405878</v>
      </c>
      <c r="BY805" s="503">
        <v>489600</v>
      </c>
      <c r="BZ805" s="503">
        <v>626688</v>
      </c>
      <c r="CA805" s="503">
        <v>698170</v>
      </c>
      <c r="CB805" s="61"/>
      <c r="CC805" s="61"/>
      <c r="CD805" s="61"/>
      <c r="CE805" s="61"/>
      <c r="CF805" s="61"/>
      <c r="CG805" s="61"/>
      <c r="CH805" s="61"/>
      <c r="CI805" s="61"/>
      <c r="CJ805" s="61"/>
      <c r="CK805" s="61"/>
      <c r="CL805" s="61"/>
      <c r="CM805" s="61"/>
      <c r="CN805" s="61"/>
      <c r="CO805" s="61"/>
      <c r="CP805" s="61"/>
      <c r="CQ805" s="61"/>
      <c r="CR805" s="1446"/>
      <c r="CS805" s="61"/>
      <c r="CT805" s="61"/>
      <c r="CU805" s="61"/>
      <c r="CV805" s="61"/>
      <c r="CW805" s="61"/>
      <c r="CX805" s="61"/>
      <c r="CY805" s="61"/>
      <c r="CZ805" s="61"/>
      <c r="DA805" s="61"/>
      <c r="DB805" s="61"/>
      <c r="DC805" s="61"/>
      <c r="DD805" s="61"/>
      <c r="DE805" s="61"/>
      <c r="DF805" s="61"/>
    </row>
    <row r="806" spans="1:110" s="7" customFormat="1" ht="12.95" customHeight="1">
      <c r="A806" s="12"/>
      <c r="B806" s="12"/>
      <c r="C806" s="67"/>
      <c r="D806" s="12"/>
      <c r="E806" s="12"/>
      <c r="F806" s="25"/>
      <c r="G806" s="25"/>
      <c r="H806" s="25"/>
      <c r="I806" s="25"/>
      <c r="J806" s="25"/>
      <c r="K806" s="25"/>
      <c r="L806" s="25"/>
      <c r="M806" s="25"/>
      <c r="N806" s="25"/>
      <c r="O806" s="25"/>
      <c r="P806" s="25"/>
      <c r="Q806" s="25"/>
      <c r="R806" s="25"/>
      <c r="S806" s="25"/>
      <c r="T806" s="25"/>
      <c r="U806" s="25"/>
      <c r="V806" s="25"/>
      <c r="W806" s="89"/>
      <c r="X806" s="25"/>
      <c r="Y806" s="25"/>
      <c r="Z806" s="25"/>
      <c r="AA806" s="25"/>
      <c r="AB806" s="25"/>
      <c r="AC806" s="25"/>
      <c r="AD806" s="25"/>
      <c r="AE806" s="25"/>
      <c r="AF806" s="12"/>
      <c r="AG806" s="12"/>
      <c r="AH806" s="12"/>
      <c r="AI806" s="12"/>
      <c r="AJ806" s="12"/>
      <c r="AK806" s="12"/>
      <c r="AL806" s="12"/>
      <c r="AM806" s="39"/>
      <c r="AN806" s="39"/>
      <c r="AO806" s="39"/>
      <c r="AP806" s="39"/>
      <c r="AQ806" s="39"/>
      <c r="AR806" s="39"/>
      <c r="AS806" s="39"/>
      <c r="AT806" s="39"/>
      <c r="AU806" s="39"/>
      <c r="AV806" s="39"/>
      <c r="AW806" s="39"/>
      <c r="AX806" s="39"/>
      <c r="AY806" s="39"/>
      <c r="AZ806" s="52"/>
      <c r="BA806" s="52"/>
      <c r="BB806" s="21"/>
      <c r="BC806" s="21"/>
      <c r="BD806" s="21"/>
      <c r="BE806" s="21"/>
      <c r="BF806" s="21"/>
      <c r="BG806" s="56"/>
      <c r="BH806" s="56"/>
      <c r="BI806" s="56"/>
      <c r="BJ806" s="56"/>
      <c r="BK806" s="56"/>
      <c r="BL806" s="56"/>
      <c r="BM806" s="56"/>
      <c r="BN806" s="56"/>
      <c r="BO806" s="36" t="s">
        <v>680</v>
      </c>
      <c r="BP806" s="501">
        <v>352022</v>
      </c>
      <c r="BQ806" s="501">
        <v>405878</v>
      </c>
      <c r="BR806" s="501">
        <v>489600</v>
      </c>
      <c r="BS806" s="501">
        <v>626688</v>
      </c>
      <c r="BT806" s="501">
        <v>698170</v>
      </c>
      <c r="BU806" s="56"/>
      <c r="BV806" s="36" t="s">
        <v>680</v>
      </c>
      <c r="BW806" s="501">
        <v>352022</v>
      </c>
      <c r="BX806" s="501">
        <v>405878</v>
      </c>
      <c r="BY806" s="501">
        <v>489600</v>
      </c>
      <c r="BZ806" s="501">
        <v>626688</v>
      </c>
      <c r="CA806" s="501">
        <v>698170</v>
      </c>
      <c r="CB806" s="61"/>
      <c r="CC806" s="61"/>
      <c r="CD806" s="61"/>
      <c r="CE806" s="61"/>
      <c r="CF806" s="61"/>
      <c r="CG806" s="61"/>
      <c r="CH806" s="61"/>
      <c r="CI806" s="61"/>
      <c r="CJ806" s="61"/>
      <c r="CK806" s="61"/>
      <c r="CL806" s="61"/>
      <c r="CM806" s="61"/>
      <c r="CN806" s="61"/>
      <c r="CO806" s="61"/>
      <c r="CP806" s="61"/>
      <c r="CQ806" s="61"/>
      <c r="CR806" s="1446"/>
      <c r="CS806" s="61"/>
      <c r="CT806" s="61"/>
      <c r="CU806" s="61"/>
      <c r="CV806" s="61"/>
      <c r="CW806" s="61"/>
      <c r="CX806" s="61"/>
      <c r="CY806" s="61"/>
      <c r="CZ806" s="61"/>
      <c r="DA806" s="61"/>
      <c r="DB806" s="61"/>
      <c r="DC806" s="61"/>
      <c r="DD806" s="61"/>
      <c r="DE806" s="61"/>
      <c r="DF806" s="61"/>
    </row>
    <row r="807" spans="1:110" s="7" customFormat="1" ht="12.95" customHeight="1">
      <c r="A807" s="12"/>
      <c r="B807" s="12"/>
      <c r="C807" s="71"/>
      <c r="D807" s="72"/>
      <c r="E807" s="72"/>
      <c r="F807" s="72"/>
      <c r="G807" s="72"/>
      <c r="H807" s="72"/>
      <c r="I807" s="72"/>
      <c r="J807" s="72"/>
      <c r="K807" s="72"/>
      <c r="L807" s="94"/>
      <c r="M807" s="2319" t="s">
        <v>127</v>
      </c>
      <c r="N807" s="2319"/>
      <c r="O807" s="2319"/>
      <c r="P807" s="2320"/>
      <c r="Q807" s="2347" t="s">
        <v>291</v>
      </c>
      <c r="R807" s="2347"/>
      <c r="S807" s="2347"/>
      <c r="T807" s="2347"/>
      <c r="U807" s="2347" t="s">
        <v>292</v>
      </c>
      <c r="V807" s="2347"/>
      <c r="W807" s="2347"/>
      <c r="X807" s="2347"/>
      <c r="Y807" s="2347" t="s">
        <v>293</v>
      </c>
      <c r="Z807" s="2347"/>
      <c r="AA807" s="2347"/>
      <c r="AB807" s="2347"/>
      <c r="AC807" s="2347" t="s">
        <v>362</v>
      </c>
      <c r="AD807" s="2347"/>
      <c r="AE807" s="2347"/>
      <c r="AF807" s="2347"/>
      <c r="AG807" s="2489" t="s">
        <v>336</v>
      </c>
      <c r="AH807" s="2489"/>
      <c r="AI807" s="2489"/>
      <c r="AJ807" s="2489"/>
      <c r="AK807" s="12"/>
      <c r="AL807" s="58"/>
      <c r="AM807" s="238"/>
      <c r="AN807" s="238"/>
      <c r="AO807" s="238"/>
      <c r="AP807" s="238"/>
      <c r="AQ807" s="238"/>
      <c r="AR807" s="238"/>
      <c r="AS807" s="238"/>
      <c r="AT807" s="238"/>
      <c r="AU807" s="238"/>
      <c r="AV807" s="238"/>
      <c r="AW807" s="238"/>
      <c r="AX807" s="238"/>
      <c r="AY807" s="238"/>
      <c r="AZ807" s="52"/>
      <c r="BA807" s="52"/>
      <c r="BB807" s="21"/>
      <c r="BC807" s="21"/>
      <c r="BD807" s="21"/>
      <c r="BE807" s="21"/>
      <c r="BF807" s="21"/>
      <c r="BG807" s="56"/>
      <c r="BH807" s="56"/>
      <c r="BI807" s="56"/>
      <c r="BJ807" s="56"/>
      <c r="BK807" s="56"/>
      <c r="BL807" s="56"/>
      <c r="BM807" s="56"/>
      <c r="BN807" s="56"/>
      <c r="BO807" s="36" t="s">
        <v>682</v>
      </c>
      <c r="BP807" s="503">
        <v>314634</v>
      </c>
      <c r="BQ807" s="503">
        <v>362770</v>
      </c>
      <c r="BR807" s="503">
        <v>437600</v>
      </c>
      <c r="BS807" s="503">
        <v>560128</v>
      </c>
      <c r="BT807" s="503">
        <v>624018</v>
      </c>
      <c r="BU807" s="56"/>
      <c r="BV807" s="36" t="s">
        <v>682</v>
      </c>
      <c r="BW807" s="503">
        <v>314634</v>
      </c>
      <c r="BX807" s="503">
        <v>362770</v>
      </c>
      <c r="BY807" s="503">
        <v>437600</v>
      </c>
      <c r="BZ807" s="503">
        <v>560128</v>
      </c>
      <c r="CA807" s="503">
        <v>624018</v>
      </c>
      <c r="CB807" s="61"/>
      <c r="CC807" s="61"/>
      <c r="CD807" s="61"/>
      <c r="CE807" s="61"/>
      <c r="CF807" s="61"/>
      <c r="CG807" s="61"/>
      <c r="CH807" s="61"/>
      <c r="CI807" s="61"/>
      <c r="CJ807" s="61"/>
      <c r="CK807" s="61"/>
      <c r="CL807" s="61"/>
      <c r="CM807" s="61"/>
      <c r="CN807" s="61"/>
      <c r="CO807" s="61"/>
      <c r="CP807" s="61"/>
      <c r="CQ807" s="61"/>
      <c r="CR807" s="1446"/>
      <c r="CS807" s="61"/>
      <c r="CT807" s="61"/>
      <c r="CU807" s="61"/>
      <c r="CV807" s="61"/>
      <c r="CW807" s="61"/>
      <c r="CX807" s="61"/>
      <c r="CY807" s="61"/>
      <c r="CZ807" s="61"/>
      <c r="DA807" s="61"/>
      <c r="DB807" s="61"/>
      <c r="DC807" s="61"/>
      <c r="DD807" s="61"/>
      <c r="DE807" s="61"/>
      <c r="DF807" s="61"/>
    </row>
    <row r="808" spans="1:110" s="7" customFormat="1" ht="12.95" customHeight="1">
      <c r="A808" s="12"/>
      <c r="B808" s="12"/>
      <c r="C808" s="79"/>
      <c r="D808" s="80"/>
      <c r="E808" s="80"/>
      <c r="F808" s="80"/>
      <c r="G808" s="80"/>
      <c r="H808" s="80"/>
      <c r="I808" s="80"/>
      <c r="J808" s="80"/>
      <c r="K808" s="80"/>
      <c r="L808" s="81"/>
      <c r="M808" s="2321"/>
      <c r="N808" s="2321"/>
      <c r="O808" s="2321"/>
      <c r="P808" s="2322"/>
      <c r="Q808" s="2347"/>
      <c r="R808" s="2347"/>
      <c r="S808" s="2347"/>
      <c r="T808" s="2347"/>
      <c r="U808" s="2347"/>
      <c r="V808" s="2347"/>
      <c r="W808" s="2347"/>
      <c r="X808" s="2347"/>
      <c r="Y808" s="2347"/>
      <c r="Z808" s="2347"/>
      <c r="AA808" s="2347"/>
      <c r="AB808" s="2347"/>
      <c r="AC808" s="2347"/>
      <c r="AD808" s="2347"/>
      <c r="AE808" s="2347"/>
      <c r="AF808" s="2347"/>
      <c r="AG808" s="2489"/>
      <c r="AH808" s="2489"/>
      <c r="AI808" s="2489"/>
      <c r="AJ808" s="2489"/>
      <c r="AK808" s="12"/>
      <c r="AL808" s="58"/>
      <c r="AM808" s="238"/>
      <c r="AN808" s="238"/>
      <c r="AO808" s="238"/>
      <c r="AP808" s="238"/>
      <c r="AQ808" s="238"/>
      <c r="AR808" s="238"/>
      <c r="AS808" s="238"/>
      <c r="AT808" s="238"/>
      <c r="AU808" s="238"/>
      <c r="AV808" s="238"/>
      <c r="AW808" s="238"/>
      <c r="AX808" s="238"/>
      <c r="AY808" s="238"/>
      <c r="AZ808" s="52"/>
      <c r="BA808" s="52"/>
      <c r="BB808" s="21"/>
      <c r="BC808" s="21"/>
      <c r="BD808" s="21"/>
      <c r="BE808" s="21"/>
      <c r="BF808" s="21"/>
      <c r="BG808" s="56"/>
      <c r="BH808" s="56"/>
      <c r="BI808" s="56"/>
      <c r="BJ808" s="56"/>
      <c r="BK808" s="56"/>
      <c r="BL808" s="56"/>
      <c r="BM808" s="56"/>
      <c r="BN808" s="56"/>
      <c r="BO808" s="36" t="s">
        <v>683</v>
      </c>
      <c r="BP808" s="501">
        <v>352022</v>
      </c>
      <c r="BQ808" s="501">
        <v>405878</v>
      </c>
      <c r="BR808" s="501">
        <v>489600</v>
      </c>
      <c r="BS808" s="501">
        <v>626688</v>
      </c>
      <c r="BT808" s="501">
        <v>698170</v>
      </c>
      <c r="BU808" s="56"/>
      <c r="BV808" s="36" t="s">
        <v>683</v>
      </c>
      <c r="BW808" s="501">
        <v>352022</v>
      </c>
      <c r="BX808" s="501">
        <v>405878</v>
      </c>
      <c r="BY808" s="501">
        <v>489600</v>
      </c>
      <c r="BZ808" s="501">
        <v>626688</v>
      </c>
      <c r="CA808" s="501">
        <v>698170</v>
      </c>
      <c r="CB808" s="61"/>
      <c r="CC808" s="61"/>
      <c r="CD808" s="61"/>
      <c r="CE808" s="61"/>
      <c r="CF808" s="61"/>
      <c r="CG808" s="61"/>
      <c r="CH808" s="61"/>
      <c r="CI808" s="61"/>
      <c r="CJ808" s="61"/>
      <c r="CK808" s="61"/>
      <c r="CL808" s="61"/>
      <c r="CM808" s="61"/>
      <c r="CN808" s="61"/>
      <c r="CO808" s="61"/>
      <c r="CP808" s="61"/>
      <c r="CQ808" s="61"/>
      <c r="CR808" s="1446"/>
      <c r="CS808" s="61"/>
      <c r="CT808" s="61"/>
      <c r="CU808" s="61"/>
      <c r="CV808" s="61"/>
      <c r="CW808" s="61"/>
      <c r="CX808" s="61"/>
      <c r="CY808" s="61"/>
      <c r="CZ808" s="61"/>
      <c r="DA808" s="61"/>
      <c r="DB808" s="61"/>
      <c r="DC808" s="61"/>
      <c r="DD808" s="61"/>
      <c r="DE808" s="61"/>
      <c r="DF808" s="61"/>
    </row>
    <row r="809" spans="1:110" s="7" customFormat="1" ht="12.95" customHeight="1">
      <c r="A809" s="12"/>
      <c r="B809" s="12"/>
      <c r="C809" s="2323" t="s">
        <v>40</v>
      </c>
      <c r="D809" s="2324"/>
      <c r="E809" s="2324"/>
      <c r="F809" s="2324"/>
      <c r="G809" s="2324"/>
      <c r="H809" s="2324"/>
      <c r="I809" s="80"/>
      <c r="J809" s="80"/>
      <c r="K809" s="80"/>
      <c r="L809" s="81"/>
      <c r="M809" s="2318"/>
      <c r="N809" s="2318"/>
      <c r="O809" s="2318"/>
      <c r="P809" s="2318"/>
      <c r="Q809" s="2318">
        <v>14</v>
      </c>
      <c r="R809" s="2318"/>
      <c r="S809" s="2318"/>
      <c r="T809" s="2318"/>
      <c r="U809" s="2318"/>
      <c r="V809" s="2318"/>
      <c r="W809" s="2318"/>
      <c r="X809" s="2318"/>
      <c r="Y809" s="2318"/>
      <c r="Z809" s="2318"/>
      <c r="AA809" s="2318"/>
      <c r="AB809" s="2318"/>
      <c r="AC809" s="2295"/>
      <c r="AD809" s="2296"/>
      <c r="AE809" s="2296"/>
      <c r="AF809" s="2297"/>
      <c r="AG809" s="2295"/>
      <c r="AH809" s="2296"/>
      <c r="AI809" s="2296"/>
      <c r="AJ809" s="2297"/>
      <c r="AK809" s="12"/>
      <c r="AL809" s="58"/>
      <c r="AM809" s="238"/>
      <c r="AN809" s="238"/>
      <c r="AO809" s="238"/>
      <c r="AP809" s="238"/>
      <c r="AQ809" s="238"/>
      <c r="AR809" s="238"/>
      <c r="AS809" s="238"/>
      <c r="AT809" s="238"/>
      <c r="AU809" s="238"/>
      <c r="AV809" s="238"/>
      <c r="AW809" s="238"/>
      <c r="AX809" s="238"/>
      <c r="AY809" s="238"/>
      <c r="AZ809" s="52"/>
      <c r="BA809" s="52"/>
      <c r="BB809" s="21"/>
      <c r="BC809" s="21"/>
      <c r="BD809" s="21"/>
      <c r="BE809" s="21"/>
      <c r="BF809" s="21"/>
      <c r="BG809" s="56"/>
      <c r="BH809" s="56"/>
      <c r="BI809" s="56"/>
      <c r="BJ809" s="56"/>
      <c r="BK809" s="56"/>
      <c r="BL809" s="56"/>
      <c r="BM809" s="56"/>
      <c r="BN809" s="56"/>
      <c r="BO809" s="36" t="s">
        <v>212</v>
      </c>
      <c r="BP809" s="503">
        <v>307732</v>
      </c>
      <c r="BQ809" s="503">
        <v>354812</v>
      </c>
      <c r="BR809" s="503">
        <v>428000</v>
      </c>
      <c r="BS809" s="503">
        <v>547840</v>
      </c>
      <c r="BT809" s="503">
        <v>610328</v>
      </c>
      <c r="BU809" s="56"/>
      <c r="BV809" s="36" t="s">
        <v>212</v>
      </c>
      <c r="BW809" s="503">
        <v>307732</v>
      </c>
      <c r="BX809" s="503">
        <v>354812</v>
      </c>
      <c r="BY809" s="503">
        <v>428000</v>
      </c>
      <c r="BZ809" s="503">
        <v>547840</v>
      </c>
      <c r="CA809" s="503">
        <v>610328</v>
      </c>
      <c r="CB809" s="61"/>
      <c r="CC809" s="61"/>
      <c r="CD809" s="61"/>
      <c r="CE809" s="61"/>
      <c r="CF809" s="61"/>
      <c r="CG809" s="61"/>
      <c r="CH809" s="61"/>
      <c r="CI809" s="61"/>
      <c r="CJ809" s="61"/>
      <c r="CK809" s="61"/>
      <c r="CL809" s="61"/>
      <c r="CM809" s="61"/>
      <c r="CN809" s="61"/>
      <c r="CO809" s="61"/>
      <c r="CP809" s="61"/>
      <c r="CQ809" s="61"/>
      <c r="CR809" s="1446"/>
      <c r="CS809" s="61"/>
      <c r="CT809" s="61"/>
      <c r="CU809" s="61"/>
      <c r="CV809" s="61"/>
      <c r="CW809" s="61"/>
      <c r="CX809" s="61"/>
      <c r="CY809" s="61"/>
      <c r="CZ809" s="61"/>
      <c r="DA809" s="61"/>
      <c r="DB809" s="61"/>
      <c r="DC809" s="61"/>
      <c r="DD809" s="61"/>
      <c r="DE809" s="61"/>
      <c r="DF809" s="61"/>
    </row>
    <row r="810" spans="1:110" s="7" customFormat="1" ht="12.95" customHeight="1">
      <c r="A810" s="12"/>
      <c r="B810" s="12"/>
      <c r="C810" s="2141" t="s">
        <v>41</v>
      </c>
      <c r="D810" s="2142"/>
      <c r="E810" s="2142"/>
      <c r="F810" s="2142"/>
      <c r="G810" s="2142"/>
      <c r="H810" s="2142"/>
      <c r="I810" s="77"/>
      <c r="J810" s="77"/>
      <c r="K810" s="77"/>
      <c r="L810" s="78"/>
      <c r="M810" s="2318"/>
      <c r="N810" s="2318"/>
      <c r="O810" s="2318"/>
      <c r="P810" s="2318"/>
      <c r="Q810" s="2318"/>
      <c r="R810" s="2318"/>
      <c r="S810" s="2318"/>
      <c r="T810" s="2318"/>
      <c r="U810" s="2318"/>
      <c r="V810" s="2318"/>
      <c r="W810" s="2318"/>
      <c r="X810" s="2318"/>
      <c r="Y810" s="2318"/>
      <c r="Z810" s="2318"/>
      <c r="AA810" s="2318"/>
      <c r="AB810" s="2318"/>
      <c r="AC810" s="2295"/>
      <c r="AD810" s="2296"/>
      <c r="AE810" s="2296"/>
      <c r="AF810" s="2297"/>
      <c r="AG810" s="2295"/>
      <c r="AH810" s="2296"/>
      <c r="AI810" s="2296"/>
      <c r="AJ810" s="2297"/>
      <c r="AK810" s="12"/>
      <c r="AL810" s="58"/>
      <c r="AM810" s="238"/>
      <c r="AN810" s="238"/>
      <c r="AO810" s="238"/>
      <c r="AP810" s="238"/>
      <c r="AQ810" s="238"/>
      <c r="AR810" s="238"/>
      <c r="AS810" s="238"/>
      <c r="AT810" s="238"/>
      <c r="AU810" s="238"/>
      <c r="AV810" s="238"/>
      <c r="AW810" s="238"/>
      <c r="AX810" s="238"/>
      <c r="AY810" s="238"/>
      <c r="AZ810" s="52"/>
      <c r="BA810" s="52"/>
      <c r="BB810" s="21"/>
      <c r="BC810" s="21"/>
      <c r="BD810" s="21"/>
      <c r="BE810" s="21"/>
      <c r="BF810" s="21"/>
      <c r="BG810" s="56"/>
      <c r="BH810" s="56"/>
      <c r="BI810" s="56"/>
      <c r="BJ810" s="56"/>
      <c r="BK810" s="56"/>
      <c r="BL810" s="56"/>
      <c r="BM810" s="56"/>
      <c r="BN810" s="56"/>
      <c r="BO810" s="36" t="s">
        <v>214</v>
      </c>
      <c r="BP810" s="501">
        <v>307732</v>
      </c>
      <c r="BQ810" s="501">
        <v>354812</v>
      </c>
      <c r="BR810" s="501">
        <v>428000</v>
      </c>
      <c r="BS810" s="501">
        <v>547840</v>
      </c>
      <c r="BT810" s="501">
        <v>610328</v>
      </c>
      <c r="BU810" s="56"/>
      <c r="BV810" s="36" t="s">
        <v>214</v>
      </c>
      <c r="BW810" s="501">
        <v>307732</v>
      </c>
      <c r="BX810" s="501">
        <v>354812</v>
      </c>
      <c r="BY810" s="501">
        <v>428000</v>
      </c>
      <c r="BZ810" s="501">
        <v>547840</v>
      </c>
      <c r="CA810" s="501">
        <v>610328</v>
      </c>
      <c r="CB810" s="61"/>
      <c r="CC810" s="61"/>
      <c r="CD810" s="61"/>
      <c r="CE810" s="61"/>
      <c r="CF810" s="61"/>
      <c r="CG810" s="61"/>
      <c r="CH810" s="61"/>
      <c r="CI810" s="61"/>
      <c r="CJ810" s="61"/>
      <c r="CK810" s="61"/>
      <c r="CL810" s="61"/>
      <c r="CM810" s="61"/>
      <c r="CN810" s="61"/>
      <c r="CO810" s="61"/>
      <c r="CP810" s="61"/>
      <c r="CQ810" s="61"/>
      <c r="CR810" s="1446"/>
      <c r="CS810" s="61"/>
      <c r="CT810" s="61"/>
      <c r="CU810" s="61"/>
      <c r="CV810" s="61"/>
      <c r="CW810" s="61"/>
      <c r="CX810" s="61"/>
      <c r="CY810" s="61"/>
      <c r="CZ810" s="61"/>
      <c r="DA810" s="61"/>
      <c r="DB810" s="61"/>
      <c r="DC810" s="61"/>
      <c r="DD810" s="61"/>
      <c r="DE810" s="61"/>
      <c r="DF810" s="61"/>
    </row>
    <row r="811" spans="1:110" s="7" customFormat="1" ht="12.95" customHeight="1">
      <c r="A811" s="12"/>
      <c r="B811" s="12"/>
      <c r="C811" s="2141" t="s">
        <v>42</v>
      </c>
      <c r="D811" s="2142"/>
      <c r="E811" s="2142"/>
      <c r="F811" s="2142"/>
      <c r="G811" s="2142"/>
      <c r="H811" s="2142"/>
      <c r="I811" s="96"/>
      <c r="J811" s="96"/>
      <c r="K811" s="96"/>
      <c r="L811" s="97"/>
      <c r="M811" s="2318"/>
      <c r="N811" s="2318"/>
      <c r="O811" s="2318"/>
      <c r="P811" s="2318"/>
      <c r="Q811" s="2318">
        <v>7</v>
      </c>
      <c r="R811" s="2318"/>
      <c r="S811" s="2318"/>
      <c r="T811" s="2318"/>
      <c r="U811" s="2318"/>
      <c r="V811" s="2318"/>
      <c r="W811" s="2318"/>
      <c r="X811" s="2318"/>
      <c r="Y811" s="2318"/>
      <c r="Z811" s="2318"/>
      <c r="AA811" s="2318"/>
      <c r="AB811" s="2318"/>
      <c r="AC811" s="2295"/>
      <c r="AD811" s="2296"/>
      <c r="AE811" s="2296"/>
      <c r="AF811" s="2297"/>
      <c r="AG811" s="2295"/>
      <c r="AH811" s="2296"/>
      <c r="AI811" s="2296"/>
      <c r="AJ811" s="2297"/>
      <c r="AK811" s="12"/>
      <c r="AL811" s="58"/>
      <c r="AM811" s="238"/>
      <c r="AN811" s="238"/>
      <c r="AO811" s="238"/>
      <c r="AP811" s="238"/>
      <c r="AQ811" s="238"/>
      <c r="AR811" s="238"/>
      <c r="AS811" s="238"/>
      <c r="AT811" s="238"/>
      <c r="AU811" s="238"/>
      <c r="AV811" s="238"/>
      <c r="AW811" s="238"/>
      <c r="AX811" s="238"/>
      <c r="AY811" s="238"/>
      <c r="AZ811" s="52"/>
      <c r="BA811" s="52"/>
      <c r="BB811" s="21"/>
      <c r="BC811" s="21"/>
      <c r="BD811" s="21"/>
      <c r="BE811" s="21"/>
      <c r="BF811" s="21"/>
      <c r="BG811" s="56"/>
      <c r="BH811" s="56"/>
      <c r="BI811" s="56"/>
      <c r="BJ811" s="56"/>
      <c r="BK811" s="56"/>
      <c r="BL811" s="56"/>
      <c r="BM811" s="56"/>
      <c r="BN811" s="56"/>
      <c r="BO811" s="36" t="s">
        <v>215</v>
      </c>
      <c r="BP811" s="503">
        <v>352022</v>
      </c>
      <c r="BQ811" s="503">
        <v>405878</v>
      </c>
      <c r="BR811" s="503">
        <v>489600</v>
      </c>
      <c r="BS811" s="503">
        <v>626688</v>
      </c>
      <c r="BT811" s="503">
        <v>698170</v>
      </c>
      <c r="BU811" s="56"/>
      <c r="BV811" s="36" t="s">
        <v>215</v>
      </c>
      <c r="BW811" s="503">
        <v>352022</v>
      </c>
      <c r="BX811" s="503">
        <v>405878</v>
      </c>
      <c r="BY811" s="503">
        <v>489600</v>
      </c>
      <c r="BZ811" s="503">
        <v>626688</v>
      </c>
      <c r="CA811" s="503">
        <v>698170</v>
      </c>
      <c r="CB811" s="61"/>
      <c r="CC811" s="61"/>
      <c r="CD811" s="61"/>
      <c r="CE811" s="61"/>
      <c r="CF811" s="61"/>
      <c r="CG811" s="61"/>
      <c r="CH811" s="61"/>
      <c r="CI811" s="61"/>
      <c r="CJ811" s="61"/>
      <c r="CK811" s="61"/>
      <c r="CL811" s="61"/>
      <c r="CM811" s="61"/>
      <c r="CN811" s="61"/>
      <c r="CO811" s="61"/>
      <c r="CP811" s="61"/>
      <c r="CQ811" s="61"/>
      <c r="CR811" s="1446"/>
      <c r="CS811" s="61"/>
      <c r="CT811" s="61"/>
      <c r="CU811" s="61"/>
      <c r="CV811" s="61"/>
      <c r="CW811" s="61"/>
      <c r="CX811" s="61"/>
      <c r="CY811" s="61"/>
      <c r="CZ811" s="61"/>
      <c r="DA811" s="61"/>
      <c r="DB811" s="61"/>
      <c r="DC811" s="61"/>
      <c r="DD811" s="61"/>
      <c r="DE811" s="61"/>
      <c r="DF811" s="61"/>
    </row>
    <row r="812" spans="1:110" s="7" customFormat="1" ht="12.95" customHeight="1">
      <c r="A812" s="12"/>
      <c r="B812" s="12"/>
      <c r="C812" s="2141" t="s">
        <v>786</v>
      </c>
      <c r="D812" s="2142"/>
      <c r="E812" s="2142"/>
      <c r="F812" s="2142"/>
      <c r="G812" s="2142"/>
      <c r="H812" s="2142"/>
      <c r="I812" s="96"/>
      <c r="J812" s="96"/>
      <c r="K812" s="96"/>
      <c r="L812" s="97"/>
      <c r="M812" s="2318"/>
      <c r="N812" s="2318"/>
      <c r="O812" s="2318"/>
      <c r="P812" s="2318"/>
      <c r="Q812" s="2318"/>
      <c r="R812" s="2318"/>
      <c r="S812" s="2318"/>
      <c r="T812" s="2318"/>
      <c r="U812" s="2318"/>
      <c r="V812" s="2318"/>
      <c r="W812" s="2318"/>
      <c r="X812" s="2318"/>
      <c r="Y812" s="2318"/>
      <c r="Z812" s="2318"/>
      <c r="AA812" s="2318"/>
      <c r="AB812" s="2318"/>
      <c r="AC812" s="2295"/>
      <c r="AD812" s="2296"/>
      <c r="AE812" s="2296"/>
      <c r="AF812" s="2297"/>
      <c r="AG812" s="2295"/>
      <c r="AH812" s="2296"/>
      <c r="AI812" s="2296"/>
      <c r="AJ812" s="2297"/>
      <c r="AK812" s="12"/>
      <c r="AL812" s="58"/>
      <c r="AM812" s="238"/>
      <c r="AN812" s="238"/>
      <c r="AO812" s="238"/>
      <c r="AP812" s="238"/>
      <c r="AQ812" s="238"/>
      <c r="AR812" s="238"/>
      <c r="AS812" s="238"/>
      <c r="AT812" s="238"/>
      <c r="AU812" s="238"/>
      <c r="AV812" s="238"/>
      <c r="AW812" s="238"/>
      <c r="AX812" s="238"/>
      <c r="AY812" s="238"/>
      <c r="AZ812" s="52"/>
      <c r="BA812" s="52"/>
      <c r="BB812" s="21"/>
      <c r="BC812" s="21"/>
      <c r="BD812" s="21"/>
      <c r="BE812" s="21"/>
      <c r="BF812" s="21"/>
      <c r="BG812" s="56"/>
      <c r="BH812" s="56"/>
      <c r="BI812" s="56"/>
      <c r="BJ812" s="56"/>
      <c r="BK812" s="56"/>
      <c r="BL812" s="56"/>
      <c r="BM812" s="56"/>
      <c r="BN812" s="56"/>
      <c r="BO812" s="36" t="s">
        <v>217</v>
      </c>
      <c r="BP812" s="501">
        <v>352022</v>
      </c>
      <c r="BQ812" s="501">
        <v>405878</v>
      </c>
      <c r="BR812" s="501">
        <v>489600</v>
      </c>
      <c r="BS812" s="501">
        <v>626688</v>
      </c>
      <c r="BT812" s="501">
        <v>698170</v>
      </c>
      <c r="BU812" s="56"/>
      <c r="BV812" s="36" t="s">
        <v>217</v>
      </c>
      <c r="BW812" s="501">
        <v>352022</v>
      </c>
      <c r="BX812" s="501">
        <v>405878</v>
      </c>
      <c r="BY812" s="501">
        <v>489600</v>
      </c>
      <c r="BZ812" s="501">
        <v>626688</v>
      </c>
      <c r="CA812" s="501">
        <v>698170</v>
      </c>
      <c r="CB812" s="61"/>
      <c r="CC812" s="61"/>
      <c r="CD812" s="61"/>
      <c r="CE812" s="61"/>
      <c r="CF812" s="61"/>
      <c r="CG812" s="61"/>
      <c r="CH812" s="61"/>
      <c r="CI812" s="61"/>
      <c r="CJ812" s="61"/>
      <c r="CK812" s="61"/>
      <c r="CL812" s="61"/>
      <c r="CM812" s="61"/>
      <c r="CN812" s="61"/>
      <c r="CO812" s="61"/>
      <c r="CP812" s="61"/>
      <c r="CQ812" s="61"/>
      <c r="CR812" s="1446"/>
      <c r="CS812" s="61"/>
      <c r="CT812" s="61"/>
      <c r="CU812" s="61"/>
      <c r="CV812" s="61"/>
      <c r="CW812" s="61"/>
      <c r="CX812" s="61"/>
      <c r="CY812" s="61"/>
      <c r="CZ812" s="61"/>
      <c r="DA812" s="61"/>
      <c r="DB812" s="61"/>
      <c r="DC812" s="61"/>
      <c r="DD812" s="61"/>
      <c r="DE812" s="61"/>
      <c r="DF812" s="61"/>
    </row>
    <row r="813" spans="1:110" s="7" customFormat="1" ht="12.95" customHeight="1">
      <c r="A813" s="12"/>
      <c r="B813" s="12"/>
      <c r="C813" s="2141" t="s">
        <v>468</v>
      </c>
      <c r="D813" s="2142"/>
      <c r="E813" s="2142"/>
      <c r="F813" s="2142"/>
      <c r="G813" s="2142"/>
      <c r="H813" s="2142"/>
      <c r="I813" s="96"/>
      <c r="J813" s="96"/>
      <c r="K813" s="96"/>
      <c r="L813" s="97"/>
      <c r="M813" s="2318"/>
      <c r="N813" s="2318"/>
      <c r="O813" s="2318"/>
      <c r="P813" s="2318"/>
      <c r="Q813" s="2318">
        <v>25</v>
      </c>
      <c r="R813" s="2318"/>
      <c r="S813" s="2318"/>
      <c r="T813" s="2318"/>
      <c r="U813" s="2318"/>
      <c r="V813" s="2318"/>
      <c r="W813" s="2318"/>
      <c r="X813" s="2318"/>
      <c r="Y813" s="2318"/>
      <c r="Z813" s="2318"/>
      <c r="AA813" s="2318"/>
      <c r="AB813" s="2318"/>
      <c r="AC813" s="2295"/>
      <c r="AD813" s="2296"/>
      <c r="AE813" s="2296"/>
      <c r="AF813" s="2297"/>
      <c r="AG813" s="2295"/>
      <c r="AH813" s="2296"/>
      <c r="AI813" s="2296"/>
      <c r="AJ813" s="2297"/>
      <c r="AK813" s="12"/>
      <c r="AL813" s="58"/>
      <c r="AM813" s="238"/>
      <c r="AN813" s="238"/>
      <c r="AO813" s="238"/>
      <c r="AP813" s="238"/>
      <c r="AQ813" s="238"/>
      <c r="AR813" s="238"/>
      <c r="AS813" s="238"/>
      <c r="AT813" s="238"/>
      <c r="AU813" s="238"/>
      <c r="AV813" s="238"/>
      <c r="AW813" s="238"/>
      <c r="AX813" s="238"/>
      <c r="AY813" s="238"/>
      <c r="AZ813" s="52"/>
      <c r="BA813" s="52"/>
      <c r="BB813" s="21"/>
      <c r="BC813" s="21"/>
      <c r="BD813" s="21"/>
      <c r="BE813" s="21"/>
      <c r="BF813" s="21"/>
      <c r="BG813" s="56"/>
      <c r="BH813" s="56"/>
      <c r="BI813" s="56"/>
      <c r="BJ813" s="56"/>
      <c r="BK813" s="56"/>
      <c r="BL813" s="56"/>
      <c r="BM813" s="56"/>
      <c r="BN813" s="56"/>
      <c r="BO813" s="36" t="s">
        <v>218</v>
      </c>
      <c r="BP813" s="503">
        <v>437727</v>
      </c>
      <c r="BQ813" s="503">
        <v>504695</v>
      </c>
      <c r="BR813" s="503">
        <v>608800</v>
      </c>
      <c r="BS813" s="503">
        <v>779264</v>
      </c>
      <c r="BT813" s="503">
        <v>868149</v>
      </c>
      <c r="BU813" s="56"/>
      <c r="BV813" s="36" t="s">
        <v>218</v>
      </c>
      <c r="BW813" s="503">
        <v>437727</v>
      </c>
      <c r="BX813" s="503">
        <v>504695</v>
      </c>
      <c r="BY813" s="503">
        <v>608800</v>
      </c>
      <c r="BZ813" s="503">
        <v>779264</v>
      </c>
      <c r="CA813" s="503">
        <v>868149</v>
      </c>
      <c r="CB813" s="61"/>
      <c r="CC813" s="61"/>
      <c r="CD813" s="61"/>
      <c r="CE813" s="61"/>
      <c r="CF813" s="61"/>
      <c r="CG813" s="61"/>
      <c r="CH813" s="61"/>
      <c r="CI813" s="61"/>
      <c r="CJ813" s="61"/>
      <c r="CK813" s="61"/>
      <c r="CL813" s="61"/>
      <c r="CM813" s="61"/>
      <c r="CN813" s="61"/>
      <c r="CO813" s="61"/>
      <c r="CP813" s="61"/>
      <c r="CQ813" s="61"/>
      <c r="CR813" s="1446"/>
      <c r="CS813" s="61"/>
      <c r="CT813" s="61"/>
      <c r="CU813" s="61"/>
      <c r="CV813" s="61"/>
      <c r="CW813" s="61"/>
      <c r="CX813" s="61"/>
      <c r="CY813" s="61"/>
      <c r="CZ813" s="61"/>
      <c r="DA813" s="61"/>
      <c r="DB813" s="61"/>
      <c r="DC813" s="61"/>
      <c r="DD813" s="61"/>
      <c r="DE813" s="61"/>
      <c r="DF813" s="61"/>
    </row>
    <row r="814" spans="1:110" s="7" customFormat="1" ht="12.95" customHeight="1">
      <c r="A814" s="12"/>
      <c r="B814" s="12"/>
      <c r="C814" s="2398" t="s">
        <v>807</v>
      </c>
      <c r="D814" s="2142"/>
      <c r="E814" s="2142"/>
      <c r="F814" s="2142"/>
      <c r="G814" s="2142"/>
      <c r="H814" s="2142"/>
      <c r="I814" s="96"/>
      <c r="J814" s="96"/>
      <c r="K814" s="96"/>
      <c r="L814" s="97"/>
      <c r="M814" s="2318"/>
      <c r="N814" s="2318"/>
      <c r="O814" s="2318"/>
      <c r="P814" s="2318"/>
      <c r="Q814" s="2318"/>
      <c r="R814" s="2318"/>
      <c r="S814" s="2318"/>
      <c r="T814" s="2318"/>
      <c r="U814" s="2318"/>
      <c r="V814" s="2318"/>
      <c r="W814" s="2318"/>
      <c r="X814" s="2318"/>
      <c r="Y814" s="2318"/>
      <c r="Z814" s="2318"/>
      <c r="AA814" s="2318"/>
      <c r="AB814" s="2318"/>
      <c r="AC814" s="2295"/>
      <c r="AD814" s="2296"/>
      <c r="AE814" s="2296"/>
      <c r="AF814" s="2297"/>
      <c r="AG814" s="2295"/>
      <c r="AH814" s="2296"/>
      <c r="AI814" s="2296"/>
      <c r="AJ814" s="2297"/>
      <c r="AK814" s="12"/>
      <c r="AL814" s="58"/>
      <c r="AM814" s="238"/>
      <c r="AN814" s="238"/>
      <c r="AO814" s="238"/>
      <c r="AP814" s="238"/>
      <c r="AQ814" s="238"/>
      <c r="AR814" s="238"/>
      <c r="AS814" s="238"/>
      <c r="AT814" s="238"/>
      <c r="AU814" s="238"/>
      <c r="AV814" s="238"/>
      <c r="AW814" s="238"/>
      <c r="AX814" s="238"/>
      <c r="AY814" s="238"/>
      <c r="AZ814" s="52"/>
      <c r="BA814" s="52"/>
      <c r="BB814" s="21"/>
      <c r="BC814" s="21"/>
      <c r="BD814" s="21"/>
      <c r="BE814" s="21"/>
      <c r="BF814" s="21"/>
      <c r="BG814" s="56"/>
      <c r="BH814" s="56"/>
      <c r="BI814" s="56"/>
      <c r="BJ814" s="56"/>
      <c r="BK814" s="56"/>
      <c r="BL814" s="56"/>
      <c r="BM814" s="56"/>
      <c r="BN814" s="56"/>
      <c r="BO814" s="36" t="s">
        <v>220</v>
      </c>
      <c r="BP814" s="501">
        <v>307732</v>
      </c>
      <c r="BQ814" s="501">
        <v>354812</v>
      </c>
      <c r="BR814" s="501">
        <v>428000</v>
      </c>
      <c r="BS814" s="501">
        <v>547840</v>
      </c>
      <c r="BT814" s="501">
        <v>610328</v>
      </c>
      <c r="BU814" s="56"/>
      <c r="BV814" s="36" t="s">
        <v>220</v>
      </c>
      <c r="BW814" s="501">
        <v>307732</v>
      </c>
      <c r="BX814" s="501">
        <v>354812</v>
      </c>
      <c r="BY814" s="501">
        <v>428000</v>
      </c>
      <c r="BZ814" s="501">
        <v>547840</v>
      </c>
      <c r="CA814" s="501">
        <v>610328</v>
      </c>
      <c r="CB814" s="61"/>
      <c r="CC814" s="61"/>
      <c r="CD814" s="61"/>
      <c r="CE814" s="61"/>
      <c r="CF814" s="61"/>
      <c r="CG814" s="61"/>
      <c r="CH814" s="61"/>
      <c r="CI814" s="61"/>
      <c r="CJ814" s="61"/>
      <c r="CK814" s="61"/>
      <c r="CL814" s="61"/>
      <c r="CM814" s="61"/>
      <c r="CN814" s="61"/>
      <c r="CO814" s="61"/>
      <c r="CP814" s="61"/>
      <c r="CQ814" s="61"/>
      <c r="CR814" s="1446"/>
      <c r="CS814" s="61"/>
      <c r="CT814" s="61"/>
      <c r="CU814" s="61"/>
      <c r="CV814" s="61"/>
      <c r="CW814" s="61"/>
      <c r="CX814" s="61"/>
      <c r="CY814" s="61"/>
      <c r="CZ814" s="61"/>
      <c r="DA814" s="61"/>
      <c r="DB814" s="61"/>
      <c r="DC814" s="61"/>
      <c r="DD814" s="61"/>
      <c r="DE814" s="61"/>
      <c r="DF814" s="61"/>
    </row>
    <row r="815" spans="1:110" s="7" customFormat="1" ht="12.95" customHeight="1">
      <c r="A815" s="12"/>
      <c r="B815" s="12"/>
      <c r="C815" s="95" t="s">
        <v>294</v>
      </c>
      <c r="D815" s="96"/>
      <c r="E815" s="96"/>
      <c r="F815" s="2325" t="s">
        <v>2751</v>
      </c>
      <c r="G815" s="2326"/>
      <c r="H815" s="2326"/>
      <c r="I815" s="2326"/>
      <c r="J815" s="2326"/>
      <c r="K815" s="2326"/>
      <c r="L815" s="2326"/>
      <c r="M815" s="2318"/>
      <c r="N815" s="2318"/>
      <c r="O815" s="2318"/>
      <c r="P815" s="2318"/>
      <c r="Q815" s="2318">
        <v>13</v>
      </c>
      <c r="R815" s="2318"/>
      <c r="S815" s="2318"/>
      <c r="T815" s="2318"/>
      <c r="U815" s="2318"/>
      <c r="V815" s="2318"/>
      <c r="W815" s="2318"/>
      <c r="X815" s="2318"/>
      <c r="Y815" s="2318"/>
      <c r="Z815" s="2318"/>
      <c r="AA815" s="2318"/>
      <c r="AB815" s="2318"/>
      <c r="AC815" s="2295"/>
      <c r="AD815" s="2296"/>
      <c r="AE815" s="2296"/>
      <c r="AF815" s="2297"/>
      <c r="AG815" s="2295"/>
      <c r="AH815" s="2296"/>
      <c r="AI815" s="2296"/>
      <c r="AJ815" s="2297"/>
      <c r="AK815" s="12"/>
      <c r="AL815" s="58"/>
      <c r="AM815" s="238"/>
      <c r="AN815" s="238"/>
      <c r="AO815" s="238"/>
      <c r="AP815" s="238"/>
      <c r="AQ815" s="238"/>
      <c r="AR815" s="238"/>
      <c r="AS815" s="238"/>
      <c r="AT815" s="238"/>
      <c r="AU815" s="238"/>
      <c r="AV815" s="238"/>
      <c r="AW815" s="238"/>
      <c r="AX815" s="238"/>
      <c r="AY815" s="238"/>
      <c r="AZ815" s="52"/>
      <c r="BA815" s="52"/>
      <c r="BB815" s="21"/>
      <c r="BC815" s="21"/>
      <c r="BD815" s="21"/>
      <c r="BE815" s="21"/>
      <c r="BF815" s="21"/>
      <c r="BG815" s="56"/>
      <c r="BH815" s="56"/>
      <c r="BI815" s="56"/>
      <c r="BJ815" s="56"/>
      <c r="BK815" s="56"/>
      <c r="BL815" s="56"/>
      <c r="BM815" s="56"/>
      <c r="BN815" s="56"/>
      <c r="BO815" s="36" t="s">
        <v>221</v>
      </c>
      <c r="BP815" s="503">
        <v>384234</v>
      </c>
      <c r="BQ815" s="503">
        <v>443018</v>
      </c>
      <c r="BR815" s="503">
        <v>534400</v>
      </c>
      <c r="BS815" s="503">
        <v>684032</v>
      </c>
      <c r="BT815" s="503">
        <v>762054</v>
      </c>
      <c r="BU815" s="56"/>
      <c r="BV815" s="36" t="s">
        <v>221</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46"/>
      <c r="CS815" s="61"/>
      <c r="CT815" s="61"/>
      <c r="CU815" s="61"/>
      <c r="CV815" s="61"/>
      <c r="CW815" s="61"/>
      <c r="CX815" s="61"/>
      <c r="CY815" s="61"/>
      <c r="CZ815" s="61"/>
      <c r="DA815" s="61"/>
      <c r="DB815" s="61"/>
      <c r="DC815" s="61"/>
      <c r="DD815" s="61"/>
      <c r="DE815" s="61"/>
      <c r="DF815" s="61"/>
    </row>
    <row r="816" spans="1:110" s="7" customFormat="1" ht="12.95" customHeight="1">
      <c r="A816" s="12"/>
      <c r="B816" s="12"/>
      <c r="C816" s="2305" t="s">
        <v>125</v>
      </c>
      <c r="D816" s="2306"/>
      <c r="E816" s="2306"/>
      <c r="F816" s="2306"/>
      <c r="G816" s="2306"/>
      <c r="H816" s="2306"/>
      <c r="I816" s="2306"/>
      <c r="J816" s="2306"/>
      <c r="K816" s="2306"/>
      <c r="L816" s="2308"/>
      <c r="M816" s="2335">
        <f>SUM(M809:P815)</f>
        <v>0</v>
      </c>
      <c r="N816" s="2335"/>
      <c r="O816" s="2335"/>
      <c r="P816" s="2335"/>
      <c r="Q816" s="2335">
        <f>SUM(Q809:T815)</f>
        <v>59</v>
      </c>
      <c r="R816" s="2335"/>
      <c r="S816" s="2335"/>
      <c r="T816" s="2335"/>
      <c r="U816" s="2335">
        <f>SUM(U809:X815)</f>
        <v>0</v>
      </c>
      <c r="V816" s="2335"/>
      <c r="W816" s="2335"/>
      <c r="X816" s="2335"/>
      <c r="Y816" s="2335">
        <f>SUM(Y809:AB815)</f>
        <v>0</v>
      </c>
      <c r="Z816" s="2335"/>
      <c r="AA816" s="2335"/>
      <c r="AB816" s="2335"/>
      <c r="AC816" s="2335">
        <f>SUM(AC809:AF815)</f>
        <v>0</v>
      </c>
      <c r="AD816" s="2335"/>
      <c r="AE816" s="2335"/>
      <c r="AF816" s="2335"/>
      <c r="AG816" s="2335">
        <f>SUM(AG809:AJ815)</f>
        <v>0</v>
      </c>
      <c r="AH816" s="2335"/>
      <c r="AI816" s="2335"/>
      <c r="AJ816" s="2335"/>
      <c r="AK816" s="12"/>
      <c r="AL816" s="58"/>
      <c r="AM816" s="238"/>
      <c r="AN816" s="238"/>
      <c r="AO816" s="238"/>
      <c r="AP816" s="238"/>
      <c r="AQ816" s="238"/>
      <c r="AR816" s="238"/>
      <c r="AS816" s="238"/>
      <c r="AT816" s="238"/>
      <c r="AU816" s="238"/>
      <c r="AV816" s="238"/>
      <c r="AW816" s="238"/>
      <c r="AX816" s="238"/>
      <c r="AY816" s="238"/>
      <c r="AZ816" s="52"/>
      <c r="BA816" s="52"/>
      <c r="BB816" s="21"/>
      <c r="BC816" s="21"/>
      <c r="BD816" s="21"/>
      <c r="BE816" s="21"/>
      <c r="BF816" s="21"/>
      <c r="BG816" s="56"/>
      <c r="BH816" s="56"/>
      <c r="BI816" s="56"/>
      <c r="BJ816" s="56"/>
      <c r="BK816" s="56"/>
      <c r="BL816" s="56"/>
      <c r="BM816" s="56"/>
      <c r="BN816" s="56"/>
      <c r="BO816" s="36" t="s">
        <v>222</v>
      </c>
      <c r="BP816" s="501">
        <v>352022</v>
      </c>
      <c r="BQ816" s="501">
        <v>405878</v>
      </c>
      <c r="BR816" s="501">
        <v>489600</v>
      </c>
      <c r="BS816" s="501">
        <v>626688</v>
      </c>
      <c r="BT816" s="501">
        <v>698170</v>
      </c>
      <c r="BU816" s="56"/>
      <c r="BV816" s="36" t="s">
        <v>222</v>
      </c>
      <c r="BW816" s="501">
        <v>352022</v>
      </c>
      <c r="BX816" s="501">
        <v>405878</v>
      </c>
      <c r="BY816" s="501">
        <v>489600</v>
      </c>
      <c r="BZ816" s="501">
        <v>626688</v>
      </c>
      <c r="CA816" s="501">
        <v>698170</v>
      </c>
      <c r="CB816" s="61"/>
      <c r="CC816" s="61"/>
      <c r="CD816" s="61"/>
      <c r="CE816" s="61"/>
      <c r="CF816" s="61"/>
      <c r="CG816" s="61"/>
      <c r="CH816" s="61"/>
      <c r="CI816" s="61"/>
      <c r="CJ816" s="61"/>
      <c r="CK816" s="61"/>
      <c r="CL816" s="61"/>
      <c r="CM816" s="61"/>
      <c r="CN816" s="61"/>
      <c r="CO816" s="61"/>
      <c r="CP816" s="61"/>
      <c r="CQ816" s="61"/>
      <c r="CR816" s="1446"/>
      <c r="CS816" s="61"/>
      <c r="CT816" s="61"/>
      <c r="CU816" s="61"/>
      <c r="CV816" s="61"/>
      <c r="CW816" s="61"/>
      <c r="CX816" s="61"/>
      <c r="CY816" s="61"/>
      <c r="CZ816" s="61"/>
      <c r="DA816" s="61"/>
      <c r="DB816" s="61"/>
      <c r="DC816" s="61"/>
      <c r="DD816" s="61"/>
      <c r="DE816" s="61"/>
      <c r="DF816" s="61"/>
    </row>
    <row r="817" spans="1:110" s="7" customFormat="1" ht="12.95" customHeight="1">
      <c r="A817" s="12"/>
      <c r="B817" s="12"/>
      <c r="C817" s="93" t="s">
        <v>808</v>
      </c>
      <c r="D817" s="89"/>
      <c r="E817" s="89"/>
      <c r="F817" s="89"/>
      <c r="G817" s="89"/>
      <c r="H817" s="89"/>
      <c r="I817" s="89"/>
      <c r="J817" s="89"/>
      <c r="K817" s="89"/>
      <c r="L817" s="89"/>
      <c r="M817" s="285"/>
      <c r="N817" s="285"/>
      <c r="O817" s="285"/>
      <c r="P817" s="285"/>
      <c r="Q817" s="285"/>
      <c r="R817" s="285"/>
      <c r="S817" s="285"/>
      <c r="T817" s="285"/>
      <c r="U817" s="285"/>
      <c r="V817" s="285"/>
      <c r="W817" s="285"/>
      <c r="X817" s="285"/>
      <c r="Y817" s="285"/>
      <c r="Z817" s="285"/>
      <c r="AA817" s="285"/>
      <c r="AB817" s="285"/>
      <c r="AC817" s="285"/>
      <c r="AD817" s="285"/>
      <c r="AE817" s="285"/>
      <c r="AF817" s="285"/>
      <c r="AG817" s="285"/>
      <c r="AH817" s="285"/>
      <c r="AI817" s="285"/>
      <c r="AJ817" s="285"/>
      <c r="AK817" s="12"/>
      <c r="AL817" s="58"/>
      <c r="AM817" s="238"/>
      <c r="AN817" s="238"/>
      <c r="AO817" s="238"/>
      <c r="AP817" s="238"/>
      <c r="AQ817" s="238"/>
      <c r="AR817" s="238"/>
      <c r="AS817" s="238"/>
      <c r="AT817" s="238"/>
      <c r="AU817" s="238"/>
      <c r="AV817" s="238"/>
      <c r="AW817" s="238"/>
      <c r="AX817" s="238"/>
      <c r="AY817" s="238"/>
      <c r="AZ817" s="52"/>
      <c r="BA817" s="52"/>
      <c r="BB817" s="21"/>
      <c r="BC817" s="21"/>
      <c r="BD817" s="21"/>
      <c r="BE817" s="21"/>
      <c r="BF817" s="21"/>
      <c r="BG817" s="56"/>
      <c r="BH817" s="56"/>
      <c r="BI817" s="56"/>
      <c r="BJ817" s="56"/>
      <c r="BK817" s="56"/>
      <c r="BL817" s="56"/>
      <c r="BM817" s="56"/>
      <c r="BN817" s="56"/>
      <c r="BO817" s="36" t="s">
        <v>223</v>
      </c>
      <c r="BP817" s="503">
        <v>352022</v>
      </c>
      <c r="BQ817" s="503">
        <v>405878</v>
      </c>
      <c r="BR817" s="503">
        <v>489600</v>
      </c>
      <c r="BS817" s="503">
        <v>626688</v>
      </c>
      <c r="BT817" s="503">
        <v>698170</v>
      </c>
      <c r="BU817" s="56"/>
      <c r="BV817" s="36" t="s">
        <v>223</v>
      </c>
      <c r="BW817" s="503">
        <v>352022</v>
      </c>
      <c r="BX817" s="503">
        <v>405878</v>
      </c>
      <c r="BY817" s="503">
        <v>489600</v>
      </c>
      <c r="BZ817" s="503">
        <v>626688</v>
      </c>
      <c r="CA817" s="503">
        <v>698170</v>
      </c>
      <c r="CB817" s="61"/>
      <c r="CC817" s="61"/>
      <c r="CD817" s="61"/>
      <c r="CE817" s="61"/>
      <c r="CF817" s="61"/>
      <c r="CG817" s="61"/>
      <c r="CH817" s="61"/>
      <c r="CI817" s="61"/>
      <c r="CJ817" s="61"/>
      <c r="CK817" s="61"/>
      <c r="CL817" s="61"/>
      <c r="CM817" s="61"/>
      <c r="CN817" s="61"/>
      <c r="CO817" s="61"/>
      <c r="CP817" s="61"/>
      <c r="CQ817" s="61"/>
      <c r="CR817" s="1446"/>
      <c r="CS817" s="61"/>
      <c r="CT817" s="61"/>
      <c r="CU817" s="61"/>
      <c r="CV817" s="61"/>
      <c r="CW817" s="61"/>
      <c r="CX817" s="61"/>
      <c r="CY817" s="61"/>
      <c r="CZ817" s="61"/>
      <c r="DA817" s="61"/>
      <c r="DB817" s="61"/>
      <c r="DC817" s="61"/>
      <c r="DD817" s="61"/>
      <c r="DE817" s="61"/>
      <c r="DF817" s="61"/>
    </row>
    <row r="818" spans="1:110" s="7" customFormat="1" ht="12.95" customHeight="1">
      <c r="A818" s="12"/>
      <c r="B818" s="12"/>
      <c r="C818" s="93" t="s">
        <v>809</v>
      </c>
      <c r="D818" s="89"/>
      <c r="E818" s="89"/>
      <c r="F818" s="89"/>
      <c r="G818" s="89"/>
      <c r="H818" s="89"/>
      <c r="I818" s="89"/>
      <c r="J818" s="89"/>
      <c r="K818" s="89"/>
      <c r="L818" s="89"/>
      <c r="M818" s="285"/>
      <c r="N818" s="285"/>
      <c r="O818" s="285"/>
      <c r="P818" s="285"/>
      <c r="Q818" s="285"/>
      <c r="R818" s="285"/>
      <c r="S818" s="285"/>
      <c r="T818" s="285"/>
      <c r="U818" s="285"/>
      <c r="V818" s="285"/>
      <c r="W818" s="285"/>
      <c r="X818" s="285"/>
      <c r="Y818" s="285"/>
      <c r="Z818" s="285"/>
      <c r="AA818" s="285"/>
      <c r="AB818" s="285"/>
      <c r="AC818" s="285"/>
      <c r="AD818" s="285"/>
      <c r="AE818" s="285"/>
      <c r="AF818" s="285"/>
      <c r="AG818" s="285"/>
      <c r="AH818" s="285"/>
      <c r="AI818" s="285"/>
      <c r="AJ818" s="285"/>
      <c r="AK818" s="12"/>
      <c r="AL818" s="58"/>
      <c r="AM818" s="238"/>
      <c r="AN818" s="238"/>
      <c r="AO818" s="238"/>
      <c r="AP818" s="238"/>
      <c r="AQ818" s="238"/>
      <c r="AR818" s="238"/>
      <c r="AS818" s="238"/>
      <c r="AT818" s="238"/>
      <c r="AU818" s="238"/>
      <c r="AV818" s="238"/>
      <c r="AW818" s="238"/>
      <c r="AX818" s="238"/>
      <c r="AY818" s="238"/>
      <c r="AZ818" s="52"/>
      <c r="BA818" s="52"/>
      <c r="BB818" s="21"/>
      <c r="BC818" s="21"/>
      <c r="BD818" s="21"/>
      <c r="BE818" s="21"/>
      <c r="BF818" s="21"/>
      <c r="BG818" s="56"/>
      <c r="BH818" s="56"/>
      <c r="BI818" s="56"/>
      <c r="BJ818" s="56"/>
      <c r="BK818" s="56"/>
      <c r="BL818" s="56"/>
      <c r="BM818" s="56"/>
      <c r="BN818" s="56"/>
      <c r="BO818" s="36" t="s">
        <v>225</v>
      </c>
      <c r="BP818" s="501">
        <v>307732</v>
      </c>
      <c r="BQ818" s="501">
        <v>354812</v>
      </c>
      <c r="BR818" s="501">
        <v>428000</v>
      </c>
      <c r="BS818" s="501">
        <v>547840</v>
      </c>
      <c r="BT818" s="501">
        <v>610328</v>
      </c>
      <c r="BU818" s="56"/>
      <c r="BV818" s="36" t="s">
        <v>225</v>
      </c>
      <c r="BW818" s="501">
        <v>307732</v>
      </c>
      <c r="BX818" s="501">
        <v>354812</v>
      </c>
      <c r="BY818" s="501">
        <v>428000</v>
      </c>
      <c r="BZ818" s="501">
        <v>547840</v>
      </c>
      <c r="CA818" s="501">
        <v>610328</v>
      </c>
      <c r="CB818" s="61"/>
      <c r="CC818" s="61"/>
      <c r="CD818" s="61"/>
      <c r="CE818" s="61"/>
      <c r="CF818" s="61"/>
      <c r="CG818" s="61"/>
      <c r="CH818" s="61"/>
      <c r="CI818" s="61"/>
      <c r="CJ818" s="61"/>
      <c r="CK818" s="61"/>
      <c r="CL818" s="61"/>
      <c r="CM818" s="61"/>
      <c r="CN818" s="61"/>
      <c r="CO818" s="61"/>
      <c r="CP818" s="61"/>
      <c r="CQ818" s="61"/>
      <c r="CR818" s="1446"/>
      <c r="CS818" s="61"/>
      <c r="CT818" s="61"/>
      <c r="CU818" s="61"/>
      <c r="CV818" s="61"/>
      <c r="CW818" s="61"/>
      <c r="CX818" s="61"/>
      <c r="CY818" s="61"/>
      <c r="CZ818" s="61"/>
      <c r="DA818" s="61"/>
      <c r="DB818" s="61"/>
      <c r="DC818" s="61"/>
      <c r="DD818" s="61"/>
      <c r="DE818" s="61"/>
      <c r="DF818" s="61"/>
    </row>
    <row r="819" spans="1:110" s="7" customFormat="1" ht="12.95" customHeight="1">
      <c r="A819" s="12"/>
      <c r="B819" s="12"/>
      <c r="C819" s="89"/>
      <c r="D819" s="89"/>
      <c r="E819" s="89"/>
      <c r="F819" s="89"/>
      <c r="G819" s="89"/>
      <c r="H819" s="89"/>
      <c r="I819" s="89"/>
      <c r="J819" s="89"/>
      <c r="K819" s="89"/>
      <c r="L819" s="89"/>
      <c r="M819" s="285"/>
      <c r="N819" s="285"/>
      <c r="O819" s="285"/>
      <c r="P819" s="285"/>
      <c r="Q819" s="285"/>
      <c r="R819" s="285"/>
      <c r="S819" s="285"/>
      <c r="T819" s="285"/>
      <c r="U819" s="285"/>
      <c r="V819" s="285"/>
      <c r="W819" s="285"/>
      <c r="X819" s="285"/>
      <c r="Y819" s="285"/>
      <c r="Z819" s="285"/>
      <c r="AA819" s="285"/>
      <c r="AB819" s="285"/>
      <c r="AC819" s="285"/>
      <c r="AD819" s="285"/>
      <c r="AE819" s="285"/>
      <c r="AF819" s="285"/>
      <c r="AG819" s="285"/>
      <c r="AH819" s="285"/>
      <c r="AI819" s="285"/>
      <c r="AJ819" s="285"/>
      <c r="AK819" s="12"/>
      <c r="AL819" s="58"/>
      <c r="AM819" s="238"/>
      <c r="AN819" s="238"/>
      <c r="AO819" s="238"/>
      <c r="AP819" s="238"/>
      <c r="AQ819" s="238"/>
      <c r="AR819" s="238"/>
      <c r="AS819" s="238"/>
      <c r="AT819" s="238"/>
      <c r="AU819" s="238"/>
      <c r="AV819" s="238"/>
      <c r="AW819" s="238"/>
      <c r="AX819" s="238"/>
      <c r="AY819" s="238"/>
      <c r="AZ819" s="52"/>
      <c r="BA819" s="52"/>
      <c r="BB819" s="21"/>
      <c r="BC819" s="21"/>
      <c r="BD819" s="21"/>
      <c r="BE819" s="21"/>
      <c r="BF819" s="21"/>
      <c r="BG819" s="56"/>
      <c r="BH819" s="56"/>
      <c r="BI819" s="56"/>
      <c r="BJ819" s="56"/>
      <c r="BK819" s="56"/>
      <c r="BL819" s="56"/>
      <c r="BM819" s="56"/>
      <c r="BN819" s="56"/>
      <c r="BO819" s="36" t="s">
        <v>226</v>
      </c>
      <c r="BP819" s="503">
        <v>352022</v>
      </c>
      <c r="BQ819" s="503">
        <v>405878</v>
      </c>
      <c r="BR819" s="503">
        <v>489600</v>
      </c>
      <c r="BS819" s="503">
        <v>626688</v>
      </c>
      <c r="BT819" s="503">
        <v>698170</v>
      </c>
      <c r="BU819" s="56"/>
      <c r="BV819" s="36" t="s">
        <v>226</v>
      </c>
      <c r="BW819" s="503">
        <v>352022</v>
      </c>
      <c r="BX819" s="503">
        <v>405878</v>
      </c>
      <c r="BY819" s="503">
        <v>489600</v>
      </c>
      <c r="BZ819" s="503">
        <v>626688</v>
      </c>
      <c r="CA819" s="503">
        <v>698170</v>
      </c>
      <c r="CB819" s="61"/>
      <c r="CC819" s="61"/>
      <c r="CD819" s="61"/>
      <c r="CE819" s="61"/>
      <c r="CF819" s="61"/>
      <c r="CG819" s="61"/>
      <c r="CH819" s="61"/>
      <c r="CI819" s="61"/>
      <c r="CJ819" s="61"/>
      <c r="CK819" s="61"/>
      <c r="CL819" s="61"/>
      <c r="CM819" s="61"/>
      <c r="CN819" s="61"/>
      <c r="CO819" s="61"/>
      <c r="CP819" s="61"/>
      <c r="CQ819" s="61"/>
      <c r="CR819" s="1446"/>
      <c r="CS819" s="61"/>
      <c r="CT819" s="61"/>
      <c r="CU819" s="61"/>
      <c r="CV819" s="61"/>
      <c r="CW819" s="61"/>
      <c r="CX819" s="61"/>
      <c r="CY819" s="61"/>
      <c r="CZ819" s="61"/>
      <c r="DA819" s="61"/>
      <c r="DB819" s="61"/>
      <c r="DC819" s="61"/>
      <c r="DD819" s="61"/>
      <c r="DE819" s="61"/>
      <c r="DF819" s="61"/>
    </row>
    <row r="820" spans="1:110" s="7" customFormat="1" ht="12.95" customHeight="1">
      <c r="A820" s="12"/>
      <c r="B820" s="12"/>
      <c r="C820" s="50" t="s">
        <v>80</v>
      </c>
      <c r="D820" s="12"/>
      <c r="E820" s="12"/>
      <c r="F820" s="12"/>
      <c r="G820" s="12"/>
      <c r="H820" s="12"/>
      <c r="I820" s="12"/>
      <c r="J820" s="12"/>
      <c r="K820" s="12"/>
      <c r="L820" s="12"/>
      <c r="M820" s="12"/>
      <c r="N820" s="12"/>
      <c r="O820" s="12"/>
      <c r="P820" s="12"/>
      <c r="Q820" s="3"/>
      <c r="R820" s="14"/>
      <c r="S820" s="14"/>
      <c r="T820" s="14"/>
      <c r="U820" s="14"/>
      <c r="V820" s="14"/>
      <c r="W820" s="14"/>
      <c r="X820" s="14"/>
      <c r="Y820" s="14"/>
      <c r="Z820" s="14"/>
      <c r="AA820" s="14"/>
      <c r="AB820" s="14"/>
      <c r="AC820" s="14"/>
      <c r="AD820" s="14"/>
      <c r="AE820" s="14"/>
      <c r="AF820" s="14"/>
      <c r="AG820" s="14"/>
      <c r="AH820" s="14"/>
      <c r="AI820" s="14"/>
      <c r="AJ820" s="14"/>
      <c r="AK820" s="12"/>
      <c r="AL820" s="58"/>
      <c r="AM820" s="238"/>
      <c r="AN820" s="238"/>
      <c r="AO820" s="238"/>
      <c r="AP820" s="238"/>
      <c r="AQ820" s="238"/>
      <c r="AR820" s="238"/>
      <c r="AS820" s="238"/>
      <c r="AT820" s="238"/>
      <c r="AU820" s="238"/>
      <c r="AV820" s="238"/>
      <c r="AW820" s="238"/>
      <c r="AX820" s="238"/>
      <c r="AY820" s="238"/>
      <c r="AZ820" s="52"/>
      <c r="BA820" s="52"/>
      <c r="BB820" s="21"/>
      <c r="BC820" s="21"/>
      <c r="BD820" s="21"/>
      <c r="BE820" s="21"/>
      <c r="BF820" s="21"/>
      <c r="BG820" s="56"/>
      <c r="BH820" s="56"/>
      <c r="BI820" s="56"/>
      <c r="BJ820" s="56"/>
      <c r="BK820" s="56"/>
      <c r="BL820" s="56"/>
      <c r="BM820" s="56"/>
      <c r="BN820" s="56"/>
      <c r="BO820" s="36" t="s">
        <v>227</v>
      </c>
      <c r="BP820" s="501">
        <v>352022</v>
      </c>
      <c r="BQ820" s="501">
        <v>405878</v>
      </c>
      <c r="BR820" s="501">
        <v>489600</v>
      </c>
      <c r="BS820" s="501">
        <v>626688</v>
      </c>
      <c r="BT820" s="501">
        <v>698170</v>
      </c>
      <c r="BU820" s="56"/>
      <c r="BV820" s="36" t="s">
        <v>227</v>
      </c>
      <c r="BW820" s="501">
        <v>352022</v>
      </c>
      <c r="BX820" s="501">
        <v>405878</v>
      </c>
      <c r="BY820" s="501">
        <v>489600</v>
      </c>
      <c r="BZ820" s="501">
        <v>626688</v>
      </c>
      <c r="CA820" s="501">
        <v>698170</v>
      </c>
      <c r="CB820" s="61"/>
      <c r="CC820" s="61"/>
      <c r="CD820" s="61"/>
      <c r="CE820" s="61"/>
      <c r="CF820" s="61"/>
      <c r="CG820" s="61"/>
      <c r="CH820" s="61"/>
      <c r="CI820" s="61"/>
      <c r="CJ820" s="61"/>
      <c r="CK820" s="61"/>
      <c r="CL820" s="61"/>
      <c r="CM820" s="61"/>
      <c r="CN820" s="61"/>
      <c r="CO820" s="61"/>
      <c r="CP820" s="61"/>
      <c r="CQ820" s="61"/>
      <c r="CR820" s="1446"/>
      <c r="CS820" s="61"/>
      <c r="CT820" s="61"/>
      <c r="CU820" s="61"/>
      <c r="CV820" s="61"/>
      <c r="CW820" s="61"/>
      <c r="CX820" s="61"/>
      <c r="CY820" s="61"/>
      <c r="CZ820" s="61"/>
      <c r="DA820" s="61"/>
      <c r="DB820" s="61"/>
      <c r="DC820" s="61"/>
      <c r="DD820" s="61"/>
      <c r="DE820" s="61"/>
      <c r="DF820" s="61"/>
    </row>
    <row r="821" spans="1:110" s="7" customFormat="1" ht="12.95" customHeight="1">
      <c r="A821" s="12"/>
      <c r="B821" s="12"/>
      <c r="C821" s="2361" t="s">
        <v>2752</v>
      </c>
      <c r="D821" s="2362"/>
      <c r="E821" s="2362"/>
      <c r="F821" s="2362"/>
      <c r="G821" s="2362"/>
      <c r="H821" s="2362"/>
      <c r="I821" s="2362"/>
      <c r="J821" s="2362"/>
      <c r="K821" s="2362"/>
      <c r="L821" s="2362"/>
      <c r="M821" s="2362"/>
      <c r="N821" s="2362"/>
      <c r="O821" s="2362"/>
      <c r="P821" s="2362"/>
      <c r="Q821" s="2362"/>
      <c r="R821" s="2362"/>
      <c r="S821" s="2362"/>
      <c r="T821" s="2362"/>
      <c r="U821" s="2362"/>
      <c r="V821" s="2362"/>
      <c r="W821" s="2362"/>
      <c r="X821" s="2362"/>
      <c r="Y821" s="2362"/>
      <c r="Z821" s="2362"/>
      <c r="AA821" s="2362"/>
      <c r="AB821" s="2362"/>
      <c r="AC821" s="2362"/>
      <c r="AD821" s="2362"/>
      <c r="AE821" s="2362"/>
      <c r="AF821" s="2362"/>
      <c r="AG821" s="2362"/>
      <c r="AH821" s="2362"/>
      <c r="AI821" s="2362"/>
      <c r="AJ821" s="2363"/>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229</v>
      </c>
      <c r="BP821" s="503">
        <v>387110</v>
      </c>
      <c r="BQ821" s="503">
        <v>446334</v>
      </c>
      <c r="BR821" s="503">
        <v>538400</v>
      </c>
      <c r="BS821" s="503">
        <v>689152</v>
      </c>
      <c r="BT821" s="503">
        <v>767758</v>
      </c>
      <c r="BU821" s="56"/>
      <c r="BV821" s="36" t="s">
        <v>229</v>
      </c>
      <c r="BW821" s="503">
        <v>387110</v>
      </c>
      <c r="BX821" s="503">
        <v>446334</v>
      </c>
      <c r="BY821" s="503">
        <v>538400</v>
      </c>
      <c r="BZ821" s="503">
        <v>689152</v>
      </c>
      <c r="CA821" s="503">
        <v>767758</v>
      </c>
      <c r="CB821" s="61"/>
      <c r="CC821" s="61"/>
      <c r="CD821" s="61"/>
      <c r="CE821" s="61"/>
      <c r="CF821" s="61"/>
      <c r="CG821" s="61"/>
      <c r="CH821" s="61"/>
      <c r="CI821" s="61"/>
      <c r="CJ821" s="61"/>
      <c r="CK821" s="61"/>
      <c r="CL821" s="61"/>
      <c r="CM821" s="61"/>
      <c r="CN821" s="61"/>
      <c r="CO821" s="61"/>
      <c r="CP821" s="61"/>
      <c r="CQ821" s="61"/>
      <c r="CR821" s="1446"/>
      <c r="CS821" s="61"/>
      <c r="CT821" s="61"/>
      <c r="CU821" s="61"/>
      <c r="CV821" s="61"/>
      <c r="CW821" s="61"/>
      <c r="CX821" s="61"/>
      <c r="CY821" s="61"/>
      <c r="CZ821" s="61"/>
      <c r="DA821" s="61"/>
      <c r="DB821" s="61"/>
      <c r="DC821" s="61"/>
      <c r="DD821" s="61"/>
      <c r="DE821" s="61"/>
      <c r="DF821" s="61"/>
    </row>
    <row r="822" spans="1:110" s="7" customFormat="1" ht="12.95" customHeight="1">
      <c r="A822" s="12"/>
      <c r="B822" s="375"/>
      <c r="C822" s="178" t="s">
        <v>1297</v>
      </c>
      <c r="D822" s="375"/>
      <c r="E822" s="375"/>
      <c r="F822" s="375"/>
      <c r="G822" s="375"/>
      <c r="H822" s="375"/>
      <c r="I822" s="375"/>
      <c r="J822" s="375"/>
      <c r="K822" s="375"/>
      <c r="L822" s="375"/>
      <c r="M822" s="375"/>
      <c r="N822" s="375"/>
      <c r="O822" s="375"/>
      <c r="P822" s="375"/>
      <c r="Q822" s="375"/>
      <c r="R822" s="375"/>
      <c r="S822" s="375"/>
      <c r="T822" s="375"/>
      <c r="U822" s="375"/>
      <c r="V822" s="375"/>
      <c r="W822" s="375"/>
      <c r="X822" s="375"/>
      <c r="Y822" s="375"/>
      <c r="Z822" s="375"/>
      <c r="AA822" s="375"/>
      <c r="AB822" s="375"/>
      <c r="AC822" s="375"/>
      <c r="AD822" s="375"/>
      <c r="AE822" s="375"/>
      <c r="AF822" s="375"/>
      <c r="AG822" s="375"/>
      <c r="AH822" s="375"/>
      <c r="AI822" s="375"/>
      <c r="AJ822" s="375"/>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231</v>
      </c>
      <c r="BP822" s="501">
        <v>384234</v>
      </c>
      <c r="BQ822" s="501">
        <v>443018</v>
      </c>
      <c r="BR822" s="501">
        <v>534400</v>
      </c>
      <c r="BS822" s="501">
        <v>684032</v>
      </c>
      <c r="BT822" s="501">
        <v>762054</v>
      </c>
      <c r="BU822" s="56"/>
      <c r="BV822" s="36" t="s">
        <v>231</v>
      </c>
      <c r="BW822" s="501">
        <v>384234</v>
      </c>
      <c r="BX822" s="501">
        <v>443018</v>
      </c>
      <c r="BY822" s="501">
        <v>534400</v>
      </c>
      <c r="BZ822" s="501">
        <v>684032</v>
      </c>
      <c r="CA822" s="501">
        <v>762054</v>
      </c>
      <c r="CB822" s="61"/>
      <c r="CC822" s="61"/>
      <c r="CD822" s="61"/>
      <c r="CE822" s="61"/>
      <c r="CF822" s="61"/>
      <c r="CG822" s="61"/>
      <c r="CH822" s="61"/>
      <c r="CI822" s="61"/>
      <c r="CJ822" s="61"/>
      <c r="CK822" s="61"/>
      <c r="CL822" s="61"/>
      <c r="CM822" s="61"/>
      <c r="CN822" s="61"/>
      <c r="CO822" s="61"/>
      <c r="CP822" s="61"/>
      <c r="CQ822" s="61"/>
      <c r="CR822" s="1446"/>
      <c r="CS822" s="61"/>
      <c r="CT822" s="61"/>
      <c r="CU822" s="61"/>
      <c r="CV822" s="61"/>
      <c r="CW822" s="61"/>
      <c r="CX822" s="61"/>
      <c r="CY822" s="61"/>
      <c r="CZ822" s="61"/>
      <c r="DA822" s="61"/>
      <c r="DB822" s="61"/>
      <c r="DC822" s="61"/>
      <c r="DD822" s="61"/>
      <c r="DE822" s="61"/>
      <c r="DF822" s="61"/>
    </row>
    <row r="823" spans="1:110" s="51" customFormat="1" ht="12.95" customHeight="1">
      <c r="A823" s="12"/>
      <c r="B823" s="12"/>
      <c r="C823" s="50"/>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39"/>
      <c r="AN823" s="39"/>
      <c r="AO823" s="39"/>
      <c r="AP823" s="39"/>
      <c r="AQ823" s="39"/>
      <c r="AR823" s="39"/>
      <c r="AS823" s="39"/>
      <c r="AT823" s="39"/>
      <c r="AU823" s="39"/>
      <c r="AV823" s="39"/>
      <c r="AW823" s="39"/>
      <c r="AX823" s="39"/>
      <c r="AY823" s="39"/>
      <c r="AZ823" s="52"/>
      <c r="BA823" s="52"/>
      <c r="BB823" s="21"/>
      <c r="BC823" s="21"/>
      <c r="BD823" s="21"/>
      <c r="BE823" s="21"/>
      <c r="BF823" s="21"/>
      <c r="BG823" s="56"/>
      <c r="BH823" s="56"/>
      <c r="BI823" s="56"/>
      <c r="BJ823" s="56"/>
      <c r="BK823" s="56"/>
      <c r="BL823" s="56"/>
      <c r="BM823" s="56"/>
      <c r="BN823" s="56"/>
      <c r="BO823" s="36" t="s">
        <v>232</v>
      </c>
      <c r="BP823" s="503">
        <v>352022</v>
      </c>
      <c r="BQ823" s="503">
        <v>405878</v>
      </c>
      <c r="BR823" s="503">
        <v>489600</v>
      </c>
      <c r="BS823" s="503">
        <v>626688</v>
      </c>
      <c r="BT823" s="503">
        <v>698170</v>
      </c>
      <c r="BU823" s="56"/>
      <c r="BV823" s="36" t="s">
        <v>232</v>
      </c>
      <c r="BW823" s="503">
        <v>352022</v>
      </c>
      <c r="BX823" s="503">
        <v>405878</v>
      </c>
      <c r="BY823" s="503">
        <v>489600</v>
      </c>
      <c r="BZ823" s="503">
        <v>626688</v>
      </c>
      <c r="CA823" s="503">
        <v>698170</v>
      </c>
      <c r="CB823" s="107"/>
      <c r="CC823" s="107"/>
      <c r="CD823" s="107"/>
      <c r="CE823" s="107"/>
      <c r="CF823" s="107"/>
      <c r="CG823" s="107"/>
      <c r="CH823" s="107"/>
      <c r="CI823" s="107"/>
      <c r="CJ823" s="107"/>
      <c r="CK823" s="107"/>
      <c r="CL823" s="107"/>
      <c r="CM823" s="107"/>
      <c r="CN823" s="107"/>
      <c r="CO823" s="107"/>
      <c r="CP823" s="107"/>
      <c r="CQ823" s="107"/>
      <c r="CR823" s="1639"/>
      <c r="CS823" s="107"/>
      <c r="CT823" s="107"/>
      <c r="CU823" s="107"/>
      <c r="CV823" s="107"/>
      <c r="CW823" s="107"/>
      <c r="CX823" s="107"/>
      <c r="CY823" s="107"/>
      <c r="CZ823" s="107"/>
      <c r="DA823" s="107"/>
      <c r="DB823" s="107"/>
      <c r="DC823" s="107"/>
      <c r="DD823" s="107"/>
      <c r="DE823" s="107"/>
      <c r="DF823" s="107"/>
    </row>
    <row r="824" spans="1:110" s="51" customFormat="1" ht="12.95" customHeight="1">
      <c r="A824" s="50" t="s">
        <v>476</v>
      </c>
      <c r="B824" s="12"/>
      <c r="C824" s="50" t="s">
        <v>784</v>
      </c>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39"/>
      <c r="AN824" s="39"/>
      <c r="AO824" s="39"/>
      <c r="AP824" s="39"/>
      <c r="AQ824" s="39"/>
      <c r="AR824" s="39"/>
      <c r="AS824" s="39"/>
      <c r="AT824" s="39"/>
      <c r="AU824" s="39"/>
      <c r="AV824" s="39"/>
      <c r="AW824" s="39"/>
      <c r="AX824" s="39"/>
      <c r="AY824" s="39"/>
      <c r="AZ824" s="52"/>
      <c r="BA824" s="52"/>
      <c r="BB824" s="21"/>
      <c r="BC824" s="21"/>
      <c r="BD824" s="21"/>
      <c r="BE824" s="21"/>
      <c r="BF824" s="21"/>
      <c r="BG824" s="56"/>
      <c r="BH824" s="56"/>
      <c r="BI824" s="56"/>
      <c r="BJ824" s="56"/>
      <c r="BK824" s="56"/>
      <c r="BL824" s="56"/>
      <c r="BM824" s="56"/>
      <c r="BN824" s="56"/>
      <c r="BO824" s="36" t="s">
        <v>233</v>
      </c>
      <c r="BP824" s="501">
        <v>396888</v>
      </c>
      <c r="BQ824" s="501">
        <v>457608</v>
      </c>
      <c r="BR824" s="501">
        <v>552000</v>
      </c>
      <c r="BS824" s="501">
        <v>706560</v>
      </c>
      <c r="BT824" s="501">
        <v>787152</v>
      </c>
      <c r="BU824" s="56"/>
      <c r="BV824" s="36" t="s">
        <v>233</v>
      </c>
      <c r="BW824" s="501">
        <v>396888</v>
      </c>
      <c r="BX824" s="501">
        <v>457608</v>
      </c>
      <c r="BY824" s="501">
        <v>552000</v>
      </c>
      <c r="BZ824" s="501">
        <v>706560</v>
      </c>
      <c r="CA824" s="501">
        <v>787152</v>
      </c>
      <c r="CB824" s="107"/>
      <c r="CC824" s="107"/>
      <c r="CD824" s="107"/>
      <c r="CE824" s="107"/>
      <c r="CF824" s="107"/>
      <c r="CG824" s="107"/>
      <c r="CH824" s="107"/>
      <c r="CI824" s="107"/>
      <c r="CJ824" s="107"/>
      <c r="CK824" s="107"/>
      <c r="CL824" s="107"/>
      <c r="CM824" s="107"/>
      <c r="CN824" s="107"/>
      <c r="CO824" s="107"/>
      <c r="CP824" s="107"/>
      <c r="CQ824" s="107"/>
      <c r="CR824" s="1639"/>
      <c r="CS824" s="107"/>
      <c r="CT824" s="107"/>
      <c r="CU824" s="107"/>
      <c r="CV824" s="107"/>
      <c r="CW824" s="107"/>
      <c r="CX824" s="107"/>
      <c r="CY824" s="107"/>
      <c r="CZ824" s="107"/>
      <c r="DA824" s="107"/>
      <c r="DB824" s="107"/>
      <c r="DC824" s="107"/>
      <c r="DD824" s="107"/>
      <c r="DE824" s="107"/>
      <c r="DF824" s="107"/>
    </row>
    <row r="825" spans="1:110" s="51" customFormat="1" ht="12.95" customHeight="1">
      <c r="A825" s="25"/>
      <c r="B825" s="25"/>
      <c r="C825" s="25"/>
      <c r="D825" s="25"/>
      <c r="E825" s="25"/>
      <c r="F825" s="25"/>
      <c r="G825" s="3"/>
      <c r="H825" s="25"/>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39"/>
      <c r="AN825" s="39"/>
      <c r="AO825" s="39"/>
      <c r="AP825" s="39"/>
      <c r="AQ825" s="39"/>
      <c r="AR825" s="39"/>
      <c r="AS825" s="39"/>
      <c r="AT825" s="39"/>
      <c r="AU825" s="39"/>
      <c r="AV825" s="39"/>
      <c r="AW825" s="39"/>
      <c r="AX825" s="39"/>
      <c r="AY825" s="39"/>
      <c r="AZ825" s="52"/>
      <c r="BA825" s="52"/>
      <c r="BB825" s="21"/>
      <c r="BC825" s="21"/>
      <c r="BD825" s="21"/>
      <c r="BE825" s="21"/>
      <c r="BF825" s="21"/>
      <c r="BG825" s="56"/>
      <c r="BH825" s="56"/>
      <c r="BI825" s="56"/>
      <c r="BJ825" s="56"/>
      <c r="BK825" s="56"/>
      <c r="BL825" s="56"/>
      <c r="BM825" s="56"/>
      <c r="BN825" s="56"/>
      <c r="BO825" s="36" t="s">
        <v>234</v>
      </c>
      <c r="BP825" s="503">
        <v>331890</v>
      </c>
      <c r="BQ825" s="503">
        <v>382666</v>
      </c>
      <c r="BR825" s="503">
        <v>461600</v>
      </c>
      <c r="BS825" s="503">
        <v>590848</v>
      </c>
      <c r="BT825" s="503">
        <v>658242</v>
      </c>
      <c r="BU825" s="56"/>
      <c r="BV825" s="36" t="s">
        <v>234</v>
      </c>
      <c r="BW825" s="503">
        <v>331890</v>
      </c>
      <c r="BX825" s="503">
        <v>382666</v>
      </c>
      <c r="BY825" s="503">
        <v>461600</v>
      </c>
      <c r="BZ825" s="503">
        <v>590848</v>
      </c>
      <c r="CA825" s="503">
        <v>658242</v>
      </c>
      <c r="CB825" s="107"/>
      <c r="CC825" s="107"/>
      <c r="CD825" s="107"/>
      <c r="CE825" s="107"/>
      <c r="CF825" s="107"/>
      <c r="CG825" s="107"/>
      <c r="CH825" s="107"/>
      <c r="CI825" s="107"/>
      <c r="CJ825" s="107"/>
      <c r="CK825" s="107"/>
      <c r="CL825" s="107"/>
      <c r="CM825" s="107"/>
      <c r="CN825" s="107"/>
      <c r="CO825" s="107"/>
      <c r="CP825" s="107"/>
      <c r="CQ825" s="107"/>
      <c r="CR825" s="1639"/>
      <c r="CS825" s="107"/>
      <c r="CT825" s="107"/>
      <c r="CU825" s="107"/>
      <c r="CV825" s="107"/>
      <c r="CW825" s="107"/>
      <c r="CX825" s="107"/>
      <c r="CY825" s="107"/>
      <c r="CZ825" s="107"/>
      <c r="DA825" s="107"/>
      <c r="DB825" s="107"/>
      <c r="DC825" s="107"/>
      <c r="DD825" s="107"/>
      <c r="DE825" s="107"/>
      <c r="DF825" s="107"/>
    </row>
    <row r="826" spans="1:110" s="51" customFormat="1" ht="12.95" customHeight="1">
      <c r="A826" s="12"/>
      <c r="B826" s="12"/>
      <c r="C826" s="50" t="s">
        <v>344</v>
      </c>
      <c r="D826" s="12"/>
      <c r="E826" s="12"/>
      <c r="F826" s="12"/>
      <c r="G826" s="12"/>
      <c r="H826" s="12"/>
      <c r="I826" s="12"/>
      <c r="J826" s="76" t="s">
        <v>357</v>
      </c>
      <c r="K826" s="77"/>
      <c r="L826" s="77"/>
      <c r="M826" s="77"/>
      <c r="N826" s="77"/>
      <c r="O826" s="77"/>
      <c r="P826" s="77"/>
      <c r="Q826" s="77"/>
      <c r="R826" s="77"/>
      <c r="S826" s="77"/>
      <c r="T826" s="77"/>
      <c r="U826" s="77"/>
      <c r="V826" s="78"/>
      <c r="W826" s="2328">
        <v>1500</v>
      </c>
      <c r="X826" s="2329"/>
      <c r="Y826" s="2329"/>
      <c r="Z826" s="2329"/>
      <c r="AA826" s="2329"/>
      <c r="AB826" s="2329"/>
      <c r="AC826" s="2330"/>
      <c r="AD826" s="12"/>
      <c r="AE826" s="12"/>
      <c r="AF826" s="12"/>
      <c r="AG826" s="12"/>
      <c r="AH826" s="12"/>
      <c r="AI826" s="12"/>
      <c r="AJ826" s="12"/>
      <c r="AK826" s="12"/>
      <c r="AL826" s="12"/>
      <c r="AM826" s="39"/>
      <c r="AN826" s="39"/>
      <c r="AO826" s="39"/>
      <c r="AP826" s="39"/>
      <c r="AQ826" s="39"/>
      <c r="AR826" s="39"/>
      <c r="AS826" s="39"/>
      <c r="AT826" s="39"/>
      <c r="AU826" s="39"/>
      <c r="AV826" s="39"/>
      <c r="AW826" s="39"/>
      <c r="AX826" s="39"/>
      <c r="AY826" s="39"/>
      <c r="AZ826" s="52"/>
      <c r="BA826" s="52"/>
      <c r="BB826" s="21"/>
      <c r="BC826" s="21"/>
      <c r="BD826" s="21"/>
      <c r="BE826" s="21"/>
      <c r="BF826" s="21"/>
      <c r="BG826" s="56"/>
      <c r="BH826" s="56"/>
      <c r="BI826" s="56"/>
      <c r="BJ826" s="56"/>
      <c r="BK826" s="56"/>
      <c r="BL826" s="56"/>
      <c r="BM826" s="56"/>
      <c r="BN826" s="56"/>
      <c r="BO826" s="36" t="s">
        <v>236</v>
      </c>
      <c r="BP826" s="501">
        <v>352022</v>
      </c>
      <c r="BQ826" s="501">
        <v>405878</v>
      </c>
      <c r="BR826" s="501">
        <v>489600</v>
      </c>
      <c r="BS826" s="501">
        <v>626688</v>
      </c>
      <c r="BT826" s="501">
        <v>698170</v>
      </c>
      <c r="BU826" s="56"/>
      <c r="BV826" s="36" t="s">
        <v>236</v>
      </c>
      <c r="BW826" s="501">
        <v>352022</v>
      </c>
      <c r="BX826" s="501">
        <v>405878</v>
      </c>
      <c r="BY826" s="501">
        <v>489600</v>
      </c>
      <c r="BZ826" s="501">
        <v>626688</v>
      </c>
      <c r="CA826" s="501">
        <v>698170</v>
      </c>
      <c r="CB826" s="107"/>
      <c r="CC826" s="107"/>
      <c r="CD826" s="107"/>
      <c r="CE826" s="107"/>
      <c r="CF826" s="107"/>
      <c r="CG826" s="107"/>
      <c r="CH826" s="107"/>
      <c r="CI826" s="107"/>
      <c r="CJ826" s="107"/>
      <c r="CK826" s="107"/>
      <c r="CL826" s="107"/>
      <c r="CM826" s="107"/>
      <c r="CN826" s="107"/>
      <c r="CO826" s="107"/>
      <c r="CP826" s="107"/>
      <c r="CQ826" s="107"/>
      <c r="CR826" s="1639"/>
      <c r="CS826" s="107"/>
      <c r="CT826" s="107"/>
      <c r="CU826" s="107"/>
      <c r="CV826" s="107"/>
      <c r="CW826" s="107"/>
      <c r="CX826" s="107"/>
      <c r="CY826" s="107"/>
      <c r="CZ826" s="107"/>
      <c r="DA826" s="107"/>
      <c r="DB826" s="107"/>
      <c r="DC826" s="107"/>
      <c r="DD826" s="107"/>
      <c r="DE826" s="107"/>
      <c r="DF826" s="107"/>
    </row>
    <row r="827" spans="1:110" s="51" customFormat="1" ht="12.95" customHeight="1">
      <c r="A827" s="12"/>
      <c r="B827" s="12"/>
      <c r="C827" s="12"/>
      <c r="D827" s="12"/>
      <c r="E827" s="12"/>
      <c r="F827" s="12"/>
      <c r="G827" s="12"/>
      <c r="H827" s="12"/>
      <c r="I827" s="12"/>
      <c r="J827" s="76" t="s">
        <v>356</v>
      </c>
      <c r="K827" s="77"/>
      <c r="L827" s="77"/>
      <c r="M827" s="77"/>
      <c r="N827" s="77"/>
      <c r="O827" s="77"/>
      <c r="P827" s="77"/>
      <c r="Q827" s="77"/>
      <c r="R827" s="77"/>
      <c r="S827" s="77"/>
      <c r="T827" s="77"/>
      <c r="U827" s="77"/>
      <c r="V827" s="78"/>
      <c r="W827" s="2328">
        <v>1500</v>
      </c>
      <c r="X827" s="2329"/>
      <c r="Y827" s="2329"/>
      <c r="Z827" s="2329"/>
      <c r="AA827" s="2329"/>
      <c r="AB827" s="2329"/>
      <c r="AC827" s="2330"/>
      <c r="AD827" s="12"/>
      <c r="AE827" s="12"/>
      <c r="AF827" s="12"/>
      <c r="AG827" s="12"/>
      <c r="AH827" s="12"/>
      <c r="AI827" s="12"/>
      <c r="AJ827" s="12"/>
      <c r="AK827" s="12"/>
      <c r="AL827" s="12"/>
      <c r="AM827" s="39"/>
      <c r="AN827" s="39"/>
      <c r="AO827" s="39"/>
      <c r="AP827" s="39"/>
      <c r="AQ827" s="39"/>
      <c r="AR827" s="39"/>
      <c r="AS827" s="39"/>
      <c r="AT827" s="39"/>
      <c r="AU827" s="39"/>
      <c r="AV827" s="39"/>
      <c r="AW827" s="39"/>
      <c r="AX827" s="39"/>
      <c r="AY827" s="39"/>
      <c r="BF827" s="21"/>
      <c r="BG827" s="56"/>
      <c r="BH827" s="56"/>
      <c r="BI827" s="56"/>
      <c r="BJ827" s="56"/>
      <c r="BK827" s="56"/>
      <c r="BL827" s="56"/>
      <c r="BM827" s="56"/>
      <c r="BN827" s="56"/>
      <c r="BO827" s="36" t="s">
        <v>237</v>
      </c>
      <c r="BP827" s="503">
        <v>314634</v>
      </c>
      <c r="BQ827" s="503">
        <v>362770</v>
      </c>
      <c r="BR827" s="503">
        <v>437600</v>
      </c>
      <c r="BS827" s="503">
        <v>560128</v>
      </c>
      <c r="BT827" s="503">
        <v>624018</v>
      </c>
      <c r="BU827" s="56"/>
      <c r="BV827" s="36" t="s">
        <v>237</v>
      </c>
      <c r="BW827" s="503">
        <v>314634</v>
      </c>
      <c r="BX827" s="503">
        <v>362770</v>
      </c>
      <c r="BY827" s="503">
        <v>437600</v>
      </c>
      <c r="BZ827" s="503">
        <v>560128</v>
      </c>
      <c r="CA827" s="503">
        <v>624018</v>
      </c>
      <c r="CB827" s="107"/>
      <c r="CC827" s="107"/>
      <c r="CD827" s="107"/>
      <c r="CE827" s="107"/>
      <c r="CF827" s="107"/>
      <c r="CG827" s="107"/>
      <c r="CH827" s="107"/>
      <c r="CI827" s="107"/>
      <c r="CJ827" s="107"/>
      <c r="CK827" s="107"/>
      <c r="CL827" s="107"/>
      <c r="CM827" s="107"/>
      <c r="CN827" s="107"/>
      <c r="CO827" s="107"/>
      <c r="CP827" s="107"/>
      <c r="CQ827" s="107"/>
      <c r="CR827" s="1639"/>
      <c r="CS827" s="107"/>
      <c r="CT827" s="107"/>
      <c r="CU827" s="107"/>
      <c r="CV827" s="107"/>
      <c r="CW827" s="107"/>
      <c r="CX827" s="107"/>
      <c r="CY827" s="107"/>
      <c r="CZ827" s="107"/>
      <c r="DA827" s="107"/>
      <c r="DB827" s="107"/>
      <c r="DC827" s="107"/>
      <c r="DD827" s="107"/>
      <c r="DE827" s="107"/>
      <c r="DF827" s="107"/>
    </row>
    <row r="828" spans="1:110" s="51" customFormat="1" ht="12.95" customHeight="1">
      <c r="A828" s="12"/>
      <c r="B828" s="12"/>
      <c r="C828" s="12"/>
      <c r="D828" s="12"/>
      <c r="E828" s="12"/>
      <c r="F828" s="12"/>
      <c r="G828" s="12"/>
      <c r="H828" s="12"/>
      <c r="I828" s="12"/>
      <c r="J828" s="76" t="s">
        <v>355</v>
      </c>
      <c r="K828" s="77"/>
      <c r="L828" s="77"/>
      <c r="M828" s="77"/>
      <c r="N828" s="77"/>
      <c r="O828" s="77"/>
      <c r="P828" s="77"/>
      <c r="Q828" s="77"/>
      <c r="R828" s="77"/>
      <c r="S828" s="77"/>
      <c r="T828" s="77"/>
      <c r="U828" s="77"/>
      <c r="V828" s="78"/>
      <c r="W828" s="2328">
        <v>15000</v>
      </c>
      <c r="X828" s="2329"/>
      <c r="Y828" s="2329"/>
      <c r="Z828" s="2329"/>
      <c r="AA828" s="2329"/>
      <c r="AB828" s="2329"/>
      <c r="AC828" s="2330"/>
      <c r="AD828" s="12"/>
      <c r="AE828" s="12"/>
      <c r="AF828" s="12"/>
      <c r="AG828" s="12"/>
      <c r="AH828" s="12"/>
      <c r="AI828" s="12"/>
      <c r="AJ828" s="12"/>
      <c r="AK828" s="12"/>
      <c r="AL828" s="12"/>
      <c r="AM828" s="39"/>
      <c r="AN828" s="39"/>
      <c r="AO828" s="39"/>
      <c r="AP828" s="39"/>
      <c r="AQ828" s="39"/>
      <c r="AR828" s="39"/>
      <c r="AS828" s="39"/>
      <c r="AT828" s="39"/>
      <c r="AU828" s="39"/>
      <c r="AV828" s="39"/>
      <c r="AW828" s="39"/>
      <c r="AX828" s="39"/>
      <c r="AY828" s="39"/>
      <c r="BF828" s="21"/>
      <c r="BG828" s="56"/>
      <c r="BH828" s="56"/>
      <c r="BI828" s="56"/>
      <c r="BJ828" s="56"/>
      <c r="BK828" s="56"/>
      <c r="BL828" s="56"/>
      <c r="BM828" s="56"/>
      <c r="BN828" s="56"/>
      <c r="BO828" s="36" t="s">
        <v>644</v>
      </c>
      <c r="BP828" s="501">
        <v>331890</v>
      </c>
      <c r="BQ828" s="501">
        <v>382666</v>
      </c>
      <c r="BR828" s="501">
        <v>461600</v>
      </c>
      <c r="BS828" s="501">
        <v>590848</v>
      </c>
      <c r="BT828" s="501">
        <v>658242</v>
      </c>
      <c r="BU828" s="56"/>
      <c r="BV828" s="36" t="s">
        <v>644</v>
      </c>
      <c r="BW828" s="501">
        <v>331890</v>
      </c>
      <c r="BX828" s="501">
        <v>382666</v>
      </c>
      <c r="BY828" s="501">
        <v>461600</v>
      </c>
      <c r="BZ828" s="501">
        <v>590848</v>
      </c>
      <c r="CA828" s="501">
        <v>658242</v>
      </c>
      <c r="CB828" s="107"/>
      <c r="CC828" s="107"/>
      <c r="CD828" s="107"/>
      <c r="CE828" s="107"/>
      <c r="CF828" s="107"/>
      <c r="CG828" s="107"/>
      <c r="CH828" s="107"/>
      <c r="CI828" s="107"/>
      <c r="CJ828" s="107"/>
      <c r="CK828" s="107"/>
      <c r="CL828" s="107"/>
      <c r="CM828" s="107"/>
      <c r="CN828" s="107"/>
      <c r="CO828" s="107"/>
      <c r="CP828" s="107"/>
      <c r="CQ828" s="107"/>
      <c r="CR828" s="1639"/>
      <c r="CS828" s="107"/>
      <c r="CT828" s="107"/>
      <c r="CU828" s="107"/>
      <c r="CV828" s="107"/>
      <c r="CW828" s="107"/>
      <c r="CX828" s="107"/>
      <c r="CY828" s="107"/>
      <c r="CZ828" s="107"/>
      <c r="DA828" s="107"/>
      <c r="DB828" s="107"/>
      <c r="DC828" s="107"/>
      <c r="DD828" s="107"/>
      <c r="DE828" s="107"/>
      <c r="DF828" s="107"/>
    </row>
    <row r="829" spans="1:110" s="51" customFormat="1" ht="12.95" customHeight="1">
      <c r="A829" s="12"/>
      <c r="B829" s="12"/>
      <c r="C829" s="12"/>
      <c r="D829" s="12"/>
      <c r="E829" s="12"/>
      <c r="F829" s="12"/>
      <c r="G829" s="12"/>
      <c r="H829" s="12"/>
      <c r="I829" s="12"/>
      <c r="J829" s="76" t="s">
        <v>354</v>
      </c>
      <c r="K829" s="77"/>
      <c r="L829" s="77"/>
      <c r="M829" s="77"/>
      <c r="N829" s="77"/>
      <c r="O829" s="77"/>
      <c r="P829" s="77"/>
      <c r="Q829" s="77"/>
      <c r="R829" s="77"/>
      <c r="S829" s="77"/>
      <c r="T829" s="77"/>
      <c r="U829" s="77"/>
      <c r="V829" s="78"/>
      <c r="W829" s="2328">
        <v>15000</v>
      </c>
      <c r="X829" s="2329"/>
      <c r="Y829" s="2329"/>
      <c r="Z829" s="2329"/>
      <c r="AA829" s="2329"/>
      <c r="AB829" s="2329"/>
      <c r="AC829" s="2330"/>
      <c r="AD829" s="12"/>
      <c r="AE829" s="12"/>
      <c r="AF829" s="12"/>
      <c r="AG829" s="12"/>
      <c r="AH829" s="12"/>
      <c r="AI829" s="12"/>
      <c r="AJ829" s="12"/>
      <c r="AK829" s="12"/>
      <c r="AL829" s="12"/>
      <c r="AM829" s="39"/>
      <c r="AN829" s="39"/>
      <c r="AO829" s="39"/>
      <c r="AP829" s="39"/>
      <c r="AQ829" s="39"/>
      <c r="AR829" s="39"/>
      <c r="AS829" s="39"/>
      <c r="AT829" s="39"/>
      <c r="AU829" s="39"/>
      <c r="AV829" s="39"/>
      <c r="AW829" s="39"/>
      <c r="AX829" s="39"/>
      <c r="AY829" s="39"/>
      <c r="BF829" s="21"/>
      <c r="BG829" s="56"/>
      <c r="BM829" s="56"/>
      <c r="BN829" s="56"/>
      <c r="BO829" s="36" t="s">
        <v>698</v>
      </c>
      <c r="BP829" s="503">
        <v>352022</v>
      </c>
      <c r="BQ829" s="503">
        <v>405878</v>
      </c>
      <c r="BR829" s="503">
        <v>489600</v>
      </c>
      <c r="BS829" s="503">
        <v>626688</v>
      </c>
      <c r="BT829" s="503">
        <v>698170</v>
      </c>
      <c r="BU829" s="56"/>
      <c r="BV829" s="36" t="s">
        <v>698</v>
      </c>
      <c r="BW829" s="503">
        <v>352022</v>
      </c>
      <c r="BX829" s="503">
        <v>405878</v>
      </c>
      <c r="BY829" s="503">
        <v>489600</v>
      </c>
      <c r="BZ829" s="503">
        <v>626688</v>
      </c>
      <c r="CA829" s="503">
        <v>698170</v>
      </c>
      <c r="CB829" s="107"/>
      <c r="CC829" s="107"/>
      <c r="CD829" s="107"/>
      <c r="CE829" s="107"/>
      <c r="CF829" s="107"/>
      <c r="CG829" s="107"/>
      <c r="CH829" s="107"/>
      <c r="CI829" s="107"/>
      <c r="CJ829" s="107"/>
      <c r="CK829" s="107"/>
      <c r="CL829" s="107"/>
      <c r="CM829" s="107"/>
      <c r="CN829" s="107"/>
      <c r="CO829" s="107"/>
      <c r="CP829" s="107"/>
      <c r="CQ829" s="107"/>
      <c r="CR829" s="1639"/>
      <c r="CS829" s="107"/>
      <c r="CT829" s="107"/>
      <c r="CU829" s="107"/>
      <c r="CV829" s="107"/>
      <c r="CW829" s="107"/>
      <c r="CX829" s="107"/>
      <c r="CY829" s="107"/>
      <c r="CZ829" s="107"/>
      <c r="DA829" s="107"/>
      <c r="DB829" s="107"/>
      <c r="DC829" s="107"/>
      <c r="DD829" s="107"/>
      <c r="DE829" s="107"/>
      <c r="DF829" s="107"/>
    </row>
    <row r="830" spans="1:110" s="51" customFormat="1" ht="12.95" customHeight="1">
      <c r="A830" s="12"/>
      <c r="B830" s="12"/>
      <c r="C830" s="12"/>
      <c r="D830" s="12"/>
      <c r="E830" s="12"/>
      <c r="F830" s="12"/>
      <c r="G830" s="12"/>
      <c r="H830" s="12"/>
      <c r="I830" s="12"/>
      <c r="J830" s="76" t="s">
        <v>170</v>
      </c>
      <c r="K830" s="77"/>
      <c r="L830" s="77"/>
      <c r="M830" s="2325" t="s">
        <v>2753</v>
      </c>
      <c r="N830" s="2326"/>
      <c r="O830" s="2326"/>
      <c r="P830" s="2326"/>
      <c r="Q830" s="2326"/>
      <c r="R830" s="2326"/>
      <c r="S830" s="2326"/>
      <c r="T830" s="2326"/>
      <c r="U830" s="2326"/>
      <c r="V830" s="2327"/>
      <c r="W830" s="2328">
        <v>14324</v>
      </c>
      <c r="X830" s="2329"/>
      <c r="Y830" s="2329"/>
      <c r="Z830" s="2329"/>
      <c r="AA830" s="2329"/>
      <c r="AB830" s="2329"/>
      <c r="AC830" s="2330"/>
      <c r="AD830" s="12"/>
      <c r="AE830" s="12"/>
      <c r="AF830" s="12"/>
      <c r="AG830" s="12"/>
      <c r="AH830" s="12"/>
      <c r="AI830" s="12"/>
      <c r="AJ830" s="12"/>
      <c r="AK830" s="12"/>
      <c r="AL830" s="12"/>
      <c r="AM830" s="39"/>
      <c r="AN830" s="39"/>
      <c r="AO830" s="39"/>
      <c r="AP830" s="39"/>
      <c r="AQ830" s="39"/>
      <c r="AR830" s="39"/>
      <c r="AS830" s="39"/>
      <c r="AT830" s="39"/>
      <c r="AU830" s="39"/>
      <c r="AV830" s="39"/>
      <c r="AW830" s="39"/>
      <c r="AX830" s="39"/>
      <c r="AY830" s="39"/>
      <c r="BF830" s="21"/>
      <c r="BG830" s="56"/>
      <c r="BI830" s="2460">
        <f>ROUNDDOWN(BC918*2,2)</f>
        <v>0</v>
      </c>
      <c r="BJ830" s="2460"/>
      <c r="BK830" s="2460"/>
      <c r="BL830" s="2460"/>
      <c r="BM830" s="56"/>
      <c r="BN830" s="56"/>
      <c r="BO830" s="36" t="s">
        <v>699</v>
      </c>
      <c r="BP830" s="501">
        <v>314634</v>
      </c>
      <c r="BQ830" s="501">
        <v>362770</v>
      </c>
      <c r="BR830" s="501">
        <v>437600</v>
      </c>
      <c r="BS830" s="501">
        <v>560128</v>
      </c>
      <c r="BT830" s="501">
        <v>624018</v>
      </c>
      <c r="BU830" s="56"/>
      <c r="BV830" s="36" t="s">
        <v>699</v>
      </c>
      <c r="BW830" s="501">
        <v>314634</v>
      </c>
      <c r="BX830" s="501">
        <v>362770</v>
      </c>
      <c r="BY830" s="501">
        <v>437600</v>
      </c>
      <c r="BZ830" s="501">
        <v>560128</v>
      </c>
      <c r="CA830" s="501">
        <v>624018</v>
      </c>
      <c r="CB830" s="107"/>
      <c r="CC830" s="107"/>
      <c r="CD830" s="107"/>
      <c r="CE830" s="107"/>
      <c r="CF830" s="107"/>
      <c r="CG830" s="107"/>
      <c r="CH830" s="107"/>
      <c r="CI830" s="107"/>
      <c r="CJ830" s="107"/>
      <c r="CK830" s="107"/>
      <c r="CL830" s="107"/>
      <c r="CM830" s="107"/>
      <c r="CN830" s="107"/>
      <c r="CO830" s="107"/>
      <c r="CP830" s="107"/>
      <c r="CQ830" s="107"/>
      <c r="CR830" s="1639"/>
      <c r="CS830" s="107"/>
      <c r="CT830" s="107"/>
      <c r="CU830" s="107"/>
      <c r="CV830" s="107"/>
      <c r="CW830" s="107"/>
      <c r="CX830" s="107"/>
      <c r="CY830" s="107"/>
      <c r="CZ830" s="107"/>
      <c r="DA830" s="107"/>
      <c r="DB830" s="107"/>
      <c r="DC830" s="107"/>
      <c r="DD830" s="107"/>
      <c r="DE830" s="107"/>
      <c r="DF830" s="107"/>
    </row>
    <row r="831" spans="1:110" s="51" customFormat="1" ht="12.95" customHeight="1">
      <c r="A831" s="12"/>
      <c r="B831" s="12"/>
      <c r="C831" s="12"/>
      <c r="D831" s="12"/>
      <c r="E831" s="12"/>
      <c r="F831" s="12"/>
      <c r="G831" s="12"/>
      <c r="H831" s="12"/>
      <c r="I831" s="12"/>
      <c r="J831" s="76"/>
      <c r="K831" s="77"/>
      <c r="L831" s="77"/>
      <c r="M831" s="77"/>
      <c r="N831" s="77"/>
      <c r="O831" s="77"/>
      <c r="P831" s="77"/>
      <c r="Q831" s="77"/>
      <c r="R831" s="77"/>
      <c r="S831" s="77"/>
      <c r="T831" s="77"/>
      <c r="U831" s="77"/>
      <c r="V831" s="86" t="s">
        <v>343</v>
      </c>
      <c r="W831" s="2243">
        <f>SUM(W826:AC830)</f>
        <v>47324</v>
      </c>
      <c r="X831" s="2244"/>
      <c r="Y831" s="2244"/>
      <c r="Z831" s="2244"/>
      <c r="AA831" s="2244"/>
      <c r="AB831" s="2244"/>
      <c r="AC831" s="2245"/>
      <c r="AD831" s="12"/>
      <c r="AE831" s="12"/>
      <c r="AF831" s="12"/>
      <c r="AG831" s="12"/>
      <c r="AH831" s="12"/>
      <c r="AI831" s="12"/>
      <c r="AJ831" s="12"/>
      <c r="AK831" s="12"/>
      <c r="AL831" s="12"/>
      <c r="AM831" s="39"/>
      <c r="AN831" s="39"/>
      <c r="AO831" s="39"/>
      <c r="AP831" s="39"/>
      <c r="AQ831" s="39"/>
      <c r="AR831" s="39"/>
      <c r="AS831" s="39"/>
      <c r="AT831" s="39"/>
      <c r="AU831" s="39"/>
      <c r="AV831" s="39"/>
      <c r="AW831" s="39"/>
      <c r="AX831" s="39"/>
      <c r="AY831" s="39"/>
      <c r="AZ831" s="52"/>
      <c r="BA831" s="52"/>
      <c r="BB831" s="21"/>
      <c r="BC831" s="21"/>
      <c r="BD831" s="21"/>
      <c r="BE831" s="21"/>
      <c r="BF831" s="21"/>
      <c r="BG831" s="56"/>
      <c r="BH831" s="56"/>
      <c r="BI831" s="56"/>
      <c r="BJ831" s="56"/>
      <c r="BK831" s="56"/>
      <c r="BL831" s="56"/>
      <c r="BM831" s="56"/>
      <c r="BN831" s="56"/>
      <c r="BO831" s="36" t="s">
        <v>700</v>
      </c>
      <c r="BP831" s="503">
        <v>353173</v>
      </c>
      <c r="BQ831" s="503">
        <v>407205</v>
      </c>
      <c r="BR831" s="503">
        <v>491200</v>
      </c>
      <c r="BS831" s="503">
        <v>628736</v>
      </c>
      <c r="BT831" s="503">
        <v>700451</v>
      </c>
      <c r="BU831" s="56"/>
      <c r="BV831" s="36" t="s">
        <v>700</v>
      </c>
      <c r="BW831" s="503">
        <v>353173</v>
      </c>
      <c r="BX831" s="503">
        <v>407205</v>
      </c>
      <c r="BY831" s="503">
        <v>491200</v>
      </c>
      <c r="BZ831" s="503">
        <v>628736</v>
      </c>
      <c r="CA831" s="503">
        <v>700451</v>
      </c>
      <c r="CB831" s="107"/>
      <c r="CC831" s="107"/>
      <c r="CD831" s="107"/>
      <c r="CE831" s="107"/>
      <c r="CF831" s="107"/>
      <c r="CG831" s="107"/>
      <c r="CH831" s="107"/>
      <c r="CI831" s="107"/>
      <c r="CJ831" s="107"/>
      <c r="CK831" s="107"/>
      <c r="CL831" s="107"/>
      <c r="CM831" s="107"/>
      <c r="CN831" s="107"/>
      <c r="CO831" s="107"/>
      <c r="CP831" s="107"/>
      <c r="CQ831" s="107"/>
      <c r="CR831" s="1639"/>
      <c r="CS831" s="107"/>
      <c r="CT831" s="107"/>
      <c r="CU831" s="107"/>
      <c r="CV831" s="107"/>
      <c r="CW831" s="107"/>
      <c r="CX831" s="107"/>
      <c r="CY831" s="107"/>
      <c r="CZ831" s="107"/>
      <c r="DA831" s="107"/>
      <c r="DB831" s="107"/>
      <c r="DC831" s="107"/>
      <c r="DD831" s="107"/>
      <c r="DE831" s="107"/>
      <c r="DF831" s="107"/>
    </row>
    <row r="832" spans="1:110" s="51" customFormat="1" ht="12.9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39"/>
      <c r="AN832" s="39"/>
      <c r="AO832" s="39"/>
      <c r="AP832" s="39"/>
      <c r="AQ832" s="39"/>
      <c r="AR832" s="39"/>
      <c r="AS832" s="39"/>
      <c r="AT832" s="39"/>
      <c r="AU832" s="39"/>
      <c r="AV832" s="39"/>
      <c r="AW832" s="39"/>
      <c r="AX832" s="39"/>
      <c r="AY832" s="39"/>
      <c r="AZ832" s="52">
        <f>IF(AJ994&gt;1,0.025,0)</f>
        <v>0</v>
      </c>
      <c r="BA832" s="52"/>
      <c r="BB832" s="21"/>
      <c r="BC832" s="21"/>
      <c r="BD832" s="21"/>
      <c r="BE832" s="21"/>
      <c r="BF832" s="21"/>
      <c r="BG832" s="56"/>
      <c r="BH832" s="56"/>
      <c r="BI832" s="56"/>
      <c r="BJ832" s="56"/>
      <c r="BK832" s="56"/>
      <c r="BL832" s="56"/>
      <c r="BM832" s="56"/>
      <c r="BN832" s="56"/>
      <c r="BO832" s="36" t="s">
        <v>701</v>
      </c>
      <c r="BP832" s="501">
        <v>689665</v>
      </c>
      <c r="BQ832" s="501">
        <v>795177</v>
      </c>
      <c r="BR832" s="501">
        <v>959200</v>
      </c>
      <c r="BS832" s="501">
        <v>1227776</v>
      </c>
      <c r="BT832" s="501">
        <v>1367819</v>
      </c>
      <c r="BU832" s="56"/>
      <c r="BV832" s="36" t="s">
        <v>701</v>
      </c>
      <c r="BW832" s="501">
        <v>689665</v>
      </c>
      <c r="BX832" s="501">
        <v>795177</v>
      </c>
      <c r="BY832" s="501">
        <v>959200</v>
      </c>
      <c r="BZ832" s="501">
        <v>1227776</v>
      </c>
      <c r="CA832" s="501">
        <v>1367819</v>
      </c>
      <c r="CB832" s="107"/>
      <c r="CC832" s="107"/>
      <c r="CD832" s="107"/>
      <c r="CE832" s="107"/>
      <c r="CF832" s="107"/>
      <c r="CG832" s="107"/>
      <c r="CH832" s="107"/>
      <c r="CI832" s="107"/>
      <c r="CJ832" s="107"/>
      <c r="CK832" s="107"/>
      <c r="CL832" s="107"/>
      <c r="CM832" s="107"/>
      <c r="CN832" s="107"/>
      <c r="CO832" s="107"/>
      <c r="CP832" s="107"/>
      <c r="CQ832" s="107"/>
      <c r="CR832" s="1639"/>
      <c r="CS832" s="107"/>
      <c r="CT832" s="107"/>
      <c r="CU832" s="107"/>
      <c r="CV832" s="107"/>
      <c r="CW832" s="107"/>
      <c r="CX832" s="107"/>
      <c r="CY832" s="107"/>
      <c r="CZ832" s="107"/>
      <c r="DA832" s="107"/>
      <c r="DB832" s="107"/>
      <c r="DC832" s="107"/>
      <c r="DD832" s="107"/>
      <c r="DE832" s="107"/>
      <c r="DF832" s="107"/>
    </row>
    <row r="833" spans="1:110" s="51" customFormat="1" ht="12.95" customHeight="1">
      <c r="A833" s="12"/>
      <c r="B833" s="12"/>
      <c r="C833" s="50" t="s">
        <v>345</v>
      </c>
      <c r="D833" s="12"/>
      <c r="E833" s="12"/>
      <c r="F833" s="12"/>
      <c r="G833" s="12"/>
      <c r="H833" s="12"/>
      <c r="I833" s="12"/>
      <c r="J833" s="2305" t="s">
        <v>346</v>
      </c>
      <c r="K833" s="2306"/>
      <c r="L833" s="2306"/>
      <c r="M833" s="2306"/>
      <c r="N833" s="2306"/>
      <c r="O833" s="2306"/>
      <c r="P833" s="2306"/>
      <c r="Q833" s="2306"/>
      <c r="R833" s="2306"/>
      <c r="S833" s="2306"/>
      <c r="T833" s="2306"/>
      <c r="U833" s="2306"/>
      <c r="V833" s="2308"/>
      <c r="W833" s="2328">
        <v>46920</v>
      </c>
      <c r="X833" s="2329"/>
      <c r="Y833" s="2329"/>
      <c r="Z833" s="2329"/>
      <c r="AA833" s="2329"/>
      <c r="AB833" s="2329"/>
      <c r="AC833" s="2330"/>
      <c r="AD833" s="899"/>
      <c r="AE833" s="12"/>
      <c r="AF833" s="12"/>
      <c r="AG833" s="12"/>
      <c r="AH833" s="12"/>
      <c r="AI833" s="12"/>
      <c r="AJ833" s="12"/>
      <c r="AK833" s="12"/>
      <c r="AL833" s="12"/>
      <c r="AM833" s="39"/>
      <c r="AN833" s="39"/>
      <c r="AO833" s="39"/>
      <c r="AP833" s="39"/>
      <c r="AQ833" s="39"/>
      <c r="AR833" s="39"/>
      <c r="AS833" s="39"/>
      <c r="AT833" s="39"/>
      <c r="AU833" s="39"/>
      <c r="AV833" s="39"/>
      <c r="AW833" s="39"/>
      <c r="AX833" s="39"/>
      <c r="AY833" s="39"/>
      <c r="AZ833" s="52"/>
      <c r="BA833" s="52"/>
      <c r="BB833" s="21"/>
      <c r="BC833" s="21"/>
      <c r="BD833" s="21"/>
      <c r="BE833" s="21"/>
      <c r="BF833" s="21"/>
      <c r="BG833" s="56"/>
      <c r="BH833" s="56"/>
      <c r="BI833" s="56"/>
      <c r="BJ833" s="56"/>
      <c r="BK833" s="56"/>
      <c r="BL833" s="56"/>
      <c r="BM833" s="56"/>
      <c r="BN833" s="56"/>
      <c r="BO833" s="36" t="s">
        <v>243</v>
      </c>
      <c r="BP833" s="503">
        <v>307732</v>
      </c>
      <c r="BQ833" s="503">
        <v>354812</v>
      </c>
      <c r="BR833" s="503">
        <v>428000</v>
      </c>
      <c r="BS833" s="503">
        <v>547840</v>
      </c>
      <c r="BT833" s="503">
        <v>610328</v>
      </c>
      <c r="BU833" s="56"/>
      <c r="BV833" s="36" t="s">
        <v>243</v>
      </c>
      <c r="BW833" s="503">
        <v>307732</v>
      </c>
      <c r="BX833" s="503">
        <v>354812</v>
      </c>
      <c r="BY833" s="503">
        <v>428000</v>
      </c>
      <c r="BZ833" s="503">
        <v>547840</v>
      </c>
      <c r="CA833" s="503">
        <v>610328</v>
      </c>
      <c r="CB833" s="107"/>
      <c r="CC833" s="107"/>
      <c r="CD833" s="107"/>
      <c r="CE833" s="107"/>
      <c r="CF833" s="107"/>
      <c r="CG833" s="107"/>
      <c r="CH833" s="107"/>
      <c r="CI833" s="107"/>
      <c r="CJ833" s="107"/>
      <c r="CK833" s="107"/>
      <c r="CL833" s="107"/>
      <c r="CM833" s="107"/>
      <c r="CN833" s="107"/>
      <c r="CO833" s="107"/>
      <c r="CP833" s="107"/>
      <c r="CQ833" s="107"/>
      <c r="CR833" s="1639"/>
      <c r="CS833" s="107"/>
      <c r="CT833" s="107"/>
      <c r="CU833" s="107"/>
      <c r="CV833" s="107"/>
      <c r="CW833" s="107"/>
      <c r="CX833" s="107"/>
      <c r="CY833" s="107"/>
      <c r="CZ833" s="107"/>
      <c r="DA833" s="107"/>
      <c r="DB833" s="107"/>
      <c r="DC833" s="107"/>
      <c r="DD833" s="107"/>
      <c r="DE833" s="107"/>
      <c r="DF833" s="107"/>
    </row>
    <row r="834" spans="1:110" s="51" customFormat="1" ht="12.9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899"/>
      <c r="AE834" s="12"/>
      <c r="AF834" s="12"/>
      <c r="AG834" s="12"/>
      <c r="AH834" s="12"/>
      <c r="AI834" s="12"/>
      <c r="AJ834" s="12"/>
      <c r="AK834" s="12"/>
      <c r="AL834" s="12"/>
      <c r="AM834" s="39"/>
      <c r="AN834" s="39"/>
      <c r="AO834" s="39"/>
      <c r="AP834" s="39"/>
      <c r="AQ834" s="39"/>
      <c r="AR834" s="39"/>
      <c r="AS834" s="39"/>
      <c r="AT834" s="39"/>
      <c r="AU834" s="39"/>
      <c r="AV834" s="39"/>
      <c r="AW834" s="39"/>
      <c r="AX834" s="39"/>
      <c r="AY834" s="39"/>
      <c r="AZ834" s="52"/>
      <c r="BA834" s="52"/>
      <c r="BB834" s="21"/>
      <c r="BC834" s="21"/>
      <c r="BD834" s="21"/>
      <c r="BE834" s="21"/>
      <c r="BF834" s="21"/>
      <c r="BG834" s="56"/>
      <c r="BH834" s="56"/>
      <c r="BI834" s="56"/>
      <c r="BJ834" s="56"/>
      <c r="BK834" s="56"/>
      <c r="BL834" s="56"/>
      <c r="BM834" s="56"/>
      <c r="BN834" s="56"/>
      <c r="BO834" s="36" t="s">
        <v>244</v>
      </c>
      <c r="BP834" s="501">
        <v>387110</v>
      </c>
      <c r="BQ834" s="501">
        <v>446334</v>
      </c>
      <c r="BR834" s="501">
        <v>538400</v>
      </c>
      <c r="BS834" s="501">
        <v>689152</v>
      </c>
      <c r="BT834" s="501">
        <v>767758</v>
      </c>
      <c r="BU834" s="56"/>
      <c r="BV834" s="36" t="s">
        <v>244</v>
      </c>
      <c r="BW834" s="501">
        <v>387110</v>
      </c>
      <c r="BX834" s="501">
        <v>446334</v>
      </c>
      <c r="BY834" s="501">
        <v>538400</v>
      </c>
      <c r="BZ834" s="501">
        <v>689152</v>
      </c>
      <c r="CA834" s="501">
        <v>767758</v>
      </c>
      <c r="CB834" s="107"/>
      <c r="CC834" s="107"/>
      <c r="CD834" s="107"/>
      <c r="CE834" s="107"/>
      <c r="CF834" s="107"/>
      <c r="CG834" s="107"/>
      <c r="CH834" s="107"/>
      <c r="CI834" s="107"/>
      <c r="CJ834" s="107"/>
      <c r="CK834" s="107"/>
      <c r="CL834" s="107"/>
      <c r="CM834" s="107"/>
      <c r="CN834" s="107"/>
      <c r="CO834" s="107"/>
      <c r="CP834" s="107"/>
      <c r="CQ834" s="107"/>
      <c r="CR834" s="1639"/>
      <c r="CS834" s="107"/>
      <c r="CT834" s="107"/>
      <c r="CU834" s="107"/>
      <c r="CV834" s="107"/>
      <c r="CW834" s="107"/>
      <c r="CX834" s="107"/>
      <c r="CY834" s="107"/>
      <c r="CZ834" s="107"/>
      <c r="DA834" s="107"/>
      <c r="DB834" s="107"/>
      <c r="DC834" s="107"/>
      <c r="DD834" s="107"/>
      <c r="DE834" s="107"/>
      <c r="DF834" s="107"/>
    </row>
    <row r="835" spans="1:110" s="51" customFormat="1" ht="12.95" customHeight="1">
      <c r="A835" s="12"/>
      <c r="B835" s="12"/>
      <c r="C835" s="50" t="s">
        <v>570</v>
      </c>
      <c r="D835" s="12"/>
      <c r="E835" s="12"/>
      <c r="F835" s="12"/>
      <c r="G835" s="12"/>
      <c r="H835" s="12"/>
      <c r="I835" s="12"/>
      <c r="J835" s="76" t="s">
        <v>353</v>
      </c>
      <c r="K835" s="77"/>
      <c r="L835" s="77"/>
      <c r="M835" s="77"/>
      <c r="N835" s="77"/>
      <c r="O835" s="77"/>
      <c r="P835" s="77"/>
      <c r="Q835" s="77"/>
      <c r="R835" s="77"/>
      <c r="S835" s="77"/>
      <c r="T835" s="77"/>
      <c r="U835" s="77"/>
      <c r="V835" s="78"/>
      <c r="W835" s="2331"/>
      <c r="X835" s="2331"/>
      <c r="Y835" s="2331"/>
      <c r="Z835" s="2331"/>
      <c r="AA835" s="2331"/>
      <c r="AB835" s="2331"/>
      <c r="AC835" s="2331"/>
      <c r="AD835" s="12"/>
      <c r="AE835" s="12"/>
      <c r="AF835" s="12"/>
      <c r="AG835" s="12"/>
      <c r="AH835" s="12"/>
      <c r="AI835" s="12"/>
      <c r="AJ835" s="12"/>
      <c r="AK835" s="12"/>
      <c r="AL835" s="12"/>
      <c r="AM835" s="39"/>
      <c r="AN835" s="39"/>
      <c r="AO835" s="39"/>
      <c r="AP835" s="39"/>
      <c r="AQ835" s="39"/>
      <c r="AR835" s="39"/>
      <c r="AS835" s="39"/>
      <c r="AT835" s="39"/>
      <c r="AU835" s="39"/>
      <c r="AV835" s="39"/>
      <c r="AW835" s="39"/>
      <c r="AX835" s="39"/>
      <c r="AY835" s="39"/>
      <c r="AZ835" s="52">
        <f>IF(AJ994&gt;1,0.05,0)</f>
        <v>0</v>
      </c>
      <c r="BA835" s="52"/>
      <c r="BB835" s="21"/>
      <c r="BC835" s="21"/>
      <c r="BD835" s="21"/>
      <c r="BE835" s="21"/>
      <c r="BF835" s="21"/>
      <c r="BG835" s="56"/>
      <c r="BH835" s="56"/>
      <c r="BI835" s="56"/>
      <c r="BJ835" s="56"/>
      <c r="BK835" s="56"/>
      <c r="BL835" s="56"/>
      <c r="BM835" s="56"/>
      <c r="BN835" s="56"/>
      <c r="BO835" s="36" t="s">
        <v>245</v>
      </c>
      <c r="BP835" s="502">
        <v>532060</v>
      </c>
      <c r="BQ835" s="502">
        <v>613460</v>
      </c>
      <c r="BR835" s="503">
        <v>740000</v>
      </c>
      <c r="BS835" s="502">
        <v>947200</v>
      </c>
      <c r="BT835" s="502">
        <v>1055240</v>
      </c>
      <c r="BU835" s="56"/>
      <c r="BV835" s="36" t="s">
        <v>245</v>
      </c>
      <c r="BW835" s="502">
        <v>532060</v>
      </c>
      <c r="BX835" s="502">
        <v>613460</v>
      </c>
      <c r="BY835" s="502">
        <v>740000</v>
      </c>
      <c r="BZ835" s="502">
        <v>947200</v>
      </c>
      <c r="CA835" s="502">
        <v>1055240</v>
      </c>
      <c r="CB835" s="107"/>
      <c r="CC835" s="107"/>
      <c r="CD835" s="107"/>
      <c r="CE835" s="107"/>
      <c r="CF835" s="107"/>
      <c r="CG835" s="107"/>
      <c r="CH835" s="107"/>
      <c r="CI835" s="107"/>
      <c r="CJ835" s="107"/>
      <c r="CK835" s="107"/>
      <c r="CL835" s="107"/>
      <c r="CM835" s="107"/>
      <c r="CN835" s="107"/>
      <c r="CO835" s="107"/>
      <c r="CP835" s="107"/>
      <c r="CQ835" s="107"/>
      <c r="CR835" s="1639"/>
      <c r="CS835" s="107"/>
      <c r="CT835" s="107"/>
      <c r="CU835" s="107"/>
      <c r="CV835" s="107"/>
      <c r="CW835" s="107"/>
      <c r="CX835" s="107"/>
      <c r="CY835" s="107"/>
      <c r="CZ835" s="107"/>
      <c r="DA835" s="107"/>
      <c r="DB835" s="107"/>
      <c r="DC835" s="107"/>
      <c r="DD835" s="107"/>
      <c r="DE835" s="107"/>
      <c r="DF835" s="107"/>
    </row>
    <row r="836" spans="1:110" s="51" customFormat="1" ht="12.95" customHeight="1">
      <c r="A836" s="12"/>
      <c r="B836" s="12"/>
      <c r="C836" s="12"/>
      <c r="D836" s="12"/>
      <c r="E836" s="12"/>
      <c r="F836" s="12"/>
      <c r="G836" s="12"/>
      <c r="H836" s="12"/>
      <c r="I836" s="12"/>
      <c r="J836" s="76" t="s">
        <v>352</v>
      </c>
      <c r="K836" s="77"/>
      <c r="L836" s="77"/>
      <c r="M836" s="77"/>
      <c r="N836" s="77"/>
      <c r="O836" s="77"/>
      <c r="P836" s="77"/>
      <c r="Q836" s="77"/>
      <c r="R836" s="77"/>
      <c r="S836" s="77"/>
      <c r="T836" s="77"/>
      <c r="U836" s="77"/>
      <c r="V836" s="78"/>
      <c r="W836" s="2331">
        <v>10650</v>
      </c>
      <c r="X836" s="2331"/>
      <c r="Y836" s="2331"/>
      <c r="Z836" s="2331"/>
      <c r="AA836" s="2331"/>
      <c r="AB836" s="2331"/>
      <c r="AC836" s="2331"/>
      <c r="AD836" s="12"/>
      <c r="AE836" s="12"/>
      <c r="AF836" s="12"/>
      <c r="AG836" s="12"/>
      <c r="AH836" s="12"/>
      <c r="AI836" s="12"/>
      <c r="AJ836" s="12"/>
      <c r="AK836" s="12"/>
      <c r="AL836" s="12"/>
      <c r="AM836" s="39"/>
      <c r="AN836" s="39"/>
      <c r="AO836" s="39"/>
      <c r="AP836" s="39"/>
      <c r="AQ836" s="39"/>
      <c r="AR836" s="39"/>
      <c r="AS836" s="39"/>
      <c r="AT836" s="39"/>
      <c r="AU836" s="39"/>
      <c r="AV836" s="39"/>
      <c r="AW836" s="39"/>
      <c r="AX836" s="39"/>
      <c r="AY836" s="39"/>
      <c r="AZ836" s="127"/>
      <c r="BA836" s="127"/>
      <c r="BB836" s="21"/>
      <c r="BC836" s="21"/>
      <c r="BD836" s="21"/>
      <c r="BE836" s="21"/>
      <c r="BF836" s="21"/>
      <c r="BG836" s="56"/>
      <c r="BH836" s="56"/>
      <c r="BI836" s="56"/>
      <c r="BJ836" s="56"/>
      <c r="BK836" s="56"/>
      <c r="BL836" s="56"/>
      <c r="BM836" s="56"/>
      <c r="BN836" s="56"/>
      <c r="BO836" s="36" t="s">
        <v>707</v>
      </c>
      <c r="BP836" s="501">
        <v>387110</v>
      </c>
      <c r="BQ836" s="501">
        <v>446334</v>
      </c>
      <c r="BR836" s="501">
        <v>538400</v>
      </c>
      <c r="BS836" s="501">
        <v>689152</v>
      </c>
      <c r="BT836" s="501">
        <v>767758</v>
      </c>
      <c r="BU836" s="56"/>
      <c r="BV836" s="36" t="s">
        <v>707</v>
      </c>
      <c r="BW836" s="501">
        <v>387110</v>
      </c>
      <c r="BX836" s="501">
        <v>446334</v>
      </c>
      <c r="BY836" s="501">
        <v>538400</v>
      </c>
      <c r="BZ836" s="501">
        <v>689152</v>
      </c>
      <c r="CA836" s="501">
        <v>767758</v>
      </c>
      <c r="CB836" s="107"/>
      <c r="CC836" s="107"/>
      <c r="CD836" s="107"/>
      <c r="CE836" s="107"/>
      <c r="CF836" s="107"/>
      <c r="CG836" s="107"/>
      <c r="CH836" s="107"/>
      <c r="CI836" s="107"/>
      <c r="CJ836" s="107"/>
      <c r="CK836" s="107"/>
      <c r="CL836" s="107"/>
      <c r="CM836" s="107"/>
      <c r="CN836" s="107"/>
      <c r="CO836" s="107"/>
      <c r="CP836" s="107"/>
      <c r="CQ836" s="107"/>
      <c r="CR836" s="1639"/>
      <c r="CS836" s="107"/>
      <c r="CT836" s="107"/>
      <c r="CU836" s="107"/>
      <c r="CV836" s="107"/>
      <c r="CW836" s="107"/>
      <c r="CX836" s="107"/>
      <c r="CY836" s="107"/>
      <c r="CZ836" s="107"/>
      <c r="DA836" s="107"/>
      <c r="DB836" s="107"/>
      <c r="DC836" s="107"/>
      <c r="DD836" s="107"/>
      <c r="DE836" s="107"/>
      <c r="DF836" s="107"/>
    </row>
    <row r="837" spans="1:110" s="51" customFormat="1" ht="12.95" customHeight="1">
      <c r="A837" s="12"/>
      <c r="B837" s="12"/>
      <c r="C837" s="12"/>
      <c r="D837" s="12"/>
      <c r="E837" s="12"/>
      <c r="F837" s="12"/>
      <c r="G837" s="12"/>
      <c r="H837" s="12"/>
      <c r="I837" s="12"/>
      <c r="J837" s="76" t="s">
        <v>468</v>
      </c>
      <c r="K837" s="77"/>
      <c r="L837" s="77"/>
      <c r="M837" s="77"/>
      <c r="N837" s="77"/>
      <c r="O837" s="77"/>
      <c r="P837" s="77"/>
      <c r="Q837" s="77"/>
      <c r="R837" s="77"/>
      <c r="S837" s="77"/>
      <c r="T837" s="77"/>
      <c r="U837" s="77"/>
      <c r="V837" s="78"/>
      <c r="W837" s="2331">
        <v>21300</v>
      </c>
      <c r="X837" s="2331"/>
      <c r="Y837" s="2331"/>
      <c r="Z837" s="2331"/>
      <c r="AA837" s="2331"/>
      <c r="AB837" s="2331"/>
      <c r="AC837" s="2331"/>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127"/>
      <c r="BA837" s="127"/>
      <c r="BB837" s="21"/>
      <c r="BC837" s="21"/>
      <c r="BD837" s="21"/>
      <c r="BE837" s="21"/>
      <c r="BF837" s="21"/>
      <c r="BG837" s="2366"/>
      <c r="BH837" s="2366"/>
      <c r="BI837" s="2366"/>
      <c r="BJ837" s="2366"/>
      <c r="BK837" s="2366"/>
      <c r="BL837" s="2366"/>
      <c r="BM837" s="56"/>
      <c r="BN837" s="56"/>
      <c r="BO837" s="36" t="s">
        <v>708</v>
      </c>
      <c r="BP837" s="502">
        <v>532060</v>
      </c>
      <c r="BQ837" s="502">
        <v>613460</v>
      </c>
      <c r="BR837" s="502">
        <v>740000</v>
      </c>
      <c r="BS837" s="502">
        <v>947200</v>
      </c>
      <c r="BT837" s="502">
        <v>1055240</v>
      </c>
      <c r="BU837" s="56"/>
      <c r="BV837" s="36" t="s">
        <v>708</v>
      </c>
      <c r="BW837" s="502">
        <v>532060</v>
      </c>
      <c r="BX837" s="502">
        <v>613460</v>
      </c>
      <c r="BY837" s="502">
        <v>740000</v>
      </c>
      <c r="BZ837" s="502">
        <v>947200</v>
      </c>
      <c r="CA837" s="502">
        <v>1055240</v>
      </c>
      <c r="CB837" s="107"/>
      <c r="CC837" s="107"/>
      <c r="CD837" s="107"/>
      <c r="CE837" s="107"/>
      <c r="CF837" s="107"/>
      <c r="CG837" s="107"/>
      <c r="CH837" s="107"/>
      <c r="CI837" s="107"/>
      <c r="CJ837" s="107"/>
      <c r="CK837" s="107"/>
      <c r="CL837" s="107"/>
      <c r="CM837" s="107"/>
      <c r="CN837" s="107"/>
      <c r="CO837" s="107"/>
      <c r="CP837" s="107"/>
      <c r="CQ837" s="107"/>
      <c r="CR837" s="1639"/>
      <c r="CS837" s="107"/>
      <c r="CT837" s="107"/>
      <c r="CU837" s="107"/>
      <c r="CV837" s="107"/>
      <c r="CW837" s="107"/>
      <c r="CX837" s="107"/>
      <c r="CY837" s="107"/>
      <c r="CZ837" s="107"/>
      <c r="DA837" s="107"/>
      <c r="DB837" s="107"/>
      <c r="DC837" s="107"/>
      <c r="DD837" s="107"/>
      <c r="DE837" s="107"/>
      <c r="DF837" s="107"/>
    </row>
    <row r="838" spans="1:110" s="51" customFormat="1" ht="12.95" customHeight="1">
      <c r="A838" s="12"/>
      <c r="B838" s="12"/>
      <c r="C838" s="12"/>
      <c r="D838" s="12"/>
      <c r="E838" s="12"/>
      <c r="F838" s="12"/>
      <c r="G838" s="12"/>
      <c r="H838" s="12"/>
      <c r="I838" s="12"/>
      <c r="J838" s="98" t="s">
        <v>629</v>
      </c>
      <c r="K838" s="77"/>
      <c r="L838" s="77"/>
      <c r="M838" s="77"/>
      <c r="N838" s="77"/>
      <c r="O838" s="77"/>
      <c r="P838" s="77"/>
      <c r="Q838" s="77"/>
      <c r="R838" s="77"/>
      <c r="S838" s="77"/>
      <c r="T838" s="77"/>
      <c r="U838" s="77"/>
      <c r="V838" s="78"/>
      <c r="W838" s="2331">
        <v>25850</v>
      </c>
      <c r="X838" s="2331"/>
      <c r="Y838" s="2331"/>
      <c r="Z838" s="2331"/>
      <c r="AA838" s="2331"/>
      <c r="AB838" s="2331"/>
      <c r="AC838" s="2331"/>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127"/>
      <c r="BA838" s="127"/>
      <c r="BB838" s="21"/>
      <c r="BC838" s="21"/>
      <c r="BD838" s="21"/>
      <c r="BE838" s="21"/>
      <c r="BF838" s="21"/>
      <c r="BG838" s="129"/>
      <c r="BH838" s="129"/>
      <c r="BI838" s="129"/>
      <c r="BJ838" s="129"/>
      <c r="BK838" s="129"/>
      <c r="BL838" s="129"/>
      <c r="BM838" s="56"/>
      <c r="BN838" s="56"/>
      <c r="BO838" s="36" t="s">
        <v>709</v>
      </c>
      <c r="BP838" s="501">
        <v>387110</v>
      </c>
      <c r="BQ838" s="501">
        <v>446334</v>
      </c>
      <c r="BR838" s="501">
        <v>538400</v>
      </c>
      <c r="BS838" s="501">
        <v>689152</v>
      </c>
      <c r="BT838" s="501">
        <v>767758</v>
      </c>
      <c r="BU838" s="56"/>
      <c r="BV838" s="36" t="s">
        <v>709</v>
      </c>
      <c r="BW838" s="501">
        <v>387110</v>
      </c>
      <c r="BX838" s="501">
        <v>446334</v>
      </c>
      <c r="BY838" s="501">
        <v>538400</v>
      </c>
      <c r="BZ838" s="501">
        <v>689152</v>
      </c>
      <c r="CA838" s="501">
        <v>767758</v>
      </c>
      <c r="CB838" s="107"/>
      <c r="CC838" s="107"/>
      <c r="CD838" s="107"/>
      <c r="CE838" s="107"/>
      <c r="CF838" s="107"/>
      <c r="CG838" s="107"/>
      <c r="CH838" s="107"/>
      <c r="CI838" s="107"/>
      <c r="CJ838" s="107"/>
      <c r="CK838" s="107"/>
      <c r="CL838" s="107"/>
      <c r="CM838" s="107"/>
      <c r="CN838" s="107"/>
      <c r="CO838" s="107"/>
      <c r="CP838" s="107"/>
      <c r="CQ838" s="107"/>
      <c r="CR838" s="1639"/>
      <c r="CS838" s="107"/>
      <c r="CT838" s="107"/>
      <c r="CU838" s="107"/>
      <c r="CV838" s="107"/>
      <c r="CW838" s="107"/>
      <c r="CX838" s="107"/>
      <c r="CY838" s="107"/>
      <c r="CZ838" s="107"/>
      <c r="DA838" s="107"/>
      <c r="DB838" s="107"/>
      <c r="DC838" s="107"/>
      <c r="DD838" s="107"/>
      <c r="DE838" s="107"/>
      <c r="DF838" s="107"/>
    </row>
    <row r="839" spans="1:110" s="51" customFormat="1" ht="12.95" customHeight="1">
      <c r="A839" s="12"/>
      <c r="B839" s="12"/>
      <c r="C839" s="12"/>
      <c r="D839" s="12"/>
      <c r="E839" s="12"/>
      <c r="F839" s="12"/>
      <c r="G839" s="12"/>
      <c r="H839" s="12"/>
      <c r="I839" s="12"/>
      <c r="J839" s="99"/>
      <c r="K839" s="80"/>
      <c r="L839" s="80"/>
      <c r="M839" s="80"/>
      <c r="N839" s="80"/>
      <c r="O839" s="80"/>
      <c r="P839" s="80"/>
      <c r="Q839" s="80"/>
      <c r="R839" s="80"/>
      <c r="S839" s="80"/>
      <c r="T839" s="80"/>
      <c r="U839" s="80"/>
      <c r="V839" s="86" t="s">
        <v>273</v>
      </c>
      <c r="W839" s="2399">
        <f>SUM(W835:AC838)</f>
        <v>57800</v>
      </c>
      <c r="X839" s="2399"/>
      <c r="Y839" s="2399"/>
      <c r="Z839" s="2399"/>
      <c r="AA839" s="2399"/>
      <c r="AB839" s="2399"/>
      <c r="AC839" s="2399"/>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127"/>
      <c r="BA839" s="127"/>
      <c r="BB839" s="21"/>
      <c r="BC839" s="21"/>
      <c r="BD839" s="21"/>
      <c r="BE839" s="21"/>
      <c r="BF839" s="21"/>
      <c r="BG839" s="129"/>
      <c r="BH839" s="129"/>
      <c r="BI839" s="129"/>
      <c r="BJ839" s="129"/>
      <c r="BK839" s="129"/>
      <c r="BL839" s="129"/>
      <c r="BM839" s="56"/>
      <c r="BN839" s="56"/>
      <c r="BO839" s="36" t="s">
        <v>710</v>
      </c>
      <c r="BP839" s="503">
        <v>319236</v>
      </c>
      <c r="BQ839" s="503">
        <v>368076</v>
      </c>
      <c r="BR839" s="503">
        <v>444000</v>
      </c>
      <c r="BS839" s="503">
        <v>568320</v>
      </c>
      <c r="BT839" s="503">
        <v>633144</v>
      </c>
      <c r="BU839" s="56"/>
      <c r="BV839" s="36" t="s">
        <v>710</v>
      </c>
      <c r="BW839" s="503">
        <v>319236</v>
      </c>
      <c r="BX839" s="503">
        <v>368076</v>
      </c>
      <c r="BY839" s="503">
        <v>444000</v>
      </c>
      <c r="BZ839" s="503">
        <v>568320</v>
      </c>
      <c r="CA839" s="503">
        <v>633144</v>
      </c>
      <c r="CB839" s="107"/>
      <c r="CC839" s="107"/>
      <c r="CD839" s="107"/>
      <c r="CE839" s="107"/>
      <c r="CF839" s="107"/>
      <c r="CG839" s="107"/>
      <c r="CH839" s="107"/>
      <c r="CI839" s="107"/>
      <c r="CJ839" s="107"/>
      <c r="CK839" s="107"/>
      <c r="CL839" s="107"/>
      <c r="CM839" s="107"/>
      <c r="CN839" s="107"/>
      <c r="CO839" s="107"/>
      <c r="CP839" s="107"/>
      <c r="CQ839" s="107"/>
      <c r="CR839" s="1639"/>
      <c r="CS839" s="107"/>
      <c r="CT839" s="107"/>
      <c r="CU839" s="107"/>
      <c r="CV839" s="107"/>
      <c r="CW839" s="107"/>
      <c r="CX839" s="107"/>
      <c r="CY839" s="107"/>
      <c r="CZ839" s="107"/>
      <c r="DA839" s="107"/>
      <c r="DB839" s="107"/>
      <c r="DC839" s="107"/>
      <c r="DD839" s="107"/>
      <c r="DE839" s="107"/>
      <c r="DF839" s="107"/>
    </row>
    <row r="840" spans="1:110" s="51" customFormat="1" ht="12.9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2360">
        <f>SUM(AZ807:AZ835)</f>
        <v>0</v>
      </c>
      <c r="BA840" s="2360"/>
      <c r="BB840" s="21"/>
      <c r="BC840" s="21"/>
      <c r="BD840" s="21"/>
      <c r="BO840" s="36" t="s">
        <v>711</v>
      </c>
      <c r="BP840" s="501">
        <v>352022</v>
      </c>
      <c r="BQ840" s="501">
        <v>405878</v>
      </c>
      <c r="BR840" s="501">
        <v>489600</v>
      </c>
      <c r="BS840" s="501">
        <v>626688</v>
      </c>
      <c r="BT840" s="501">
        <v>698170</v>
      </c>
      <c r="BU840" s="56"/>
      <c r="BV840" s="36" t="s">
        <v>711</v>
      </c>
      <c r="BW840" s="501">
        <v>352022</v>
      </c>
      <c r="BX840" s="501">
        <v>405878</v>
      </c>
      <c r="BY840" s="501">
        <v>489600</v>
      </c>
      <c r="BZ840" s="501">
        <v>626688</v>
      </c>
      <c r="CA840" s="501">
        <v>698170</v>
      </c>
      <c r="CB840" s="107"/>
      <c r="CC840" s="107"/>
      <c r="CD840" s="107"/>
      <c r="CE840" s="107"/>
      <c r="CF840" s="107"/>
      <c r="CG840" s="107"/>
      <c r="CH840" s="107"/>
      <c r="CI840" s="107"/>
      <c r="CJ840" s="107"/>
      <c r="CK840" s="107"/>
      <c r="CL840" s="107"/>
      <c r="CM840" s="107"/>
      <c r="CN840" s="107"/>
      <c r="CO840" s="107"/>
      <c r="CP840" s="107"/>
      <c r="CQ840" s="107"/>
      <c r="CR840" s="1639"/>
      <c r="CS840" s="107"/>
      <c r="CT840" s="107"/>
      <c r="CU840" s="107"/>
      <c r="CV840" s="107"/>
      <c r="CW840" s="107"/>
      <c r="CX840" s="107"/>
      <c r="CY840" s="107"/>
      <c r="CZ840" s="107"/>
      <c r="DA840" s="107"/>
      <c r="DB840" s="107"/>
      <c r="DC840" s="107"/>
      <c r="DD840" s="107"/>
      <c r="DE840" s="107"/>
      <c r="DF840" s="107"/>
    </row>
    <row r="841" spans="1:110" s="51" customFormat="1" ht="12.95" customHeight="1">
      <c r="A841" s="12"/>
      <c r="B841" s="12"/>
      <c r="C841" s="50" t="s">
        <v>347</v>
      </c>
      <c r="D841" s="12"/>
      <c r="E841" s="12"/>
      <c r="F841" s="12"/>
      <c r="G841" s="12"/>
      <c r="H841" s="12"/>
      <c r="I841" s="12"/>
      <c r="J841" s="76" t="s">
        <v>628</v>
      </c>
      <c r="K841" s="77"/>
      <c r="L841" s="77"/>
      <c r="M841" s="77"/>
      <c r="N841" s="77"/>
      <c r="O841" s="77"/>
      <c r="P841" s="77"/>
      <c r="Q841" s="77"/>
      <c r="R841" s="77"/>
      <c r="S841" s="77"/>
      <c r="T841" s="77"/>
      <c r="U841" s="77"/>
      <c r="V841" s="78"/>
      <c r="W841" s="2336">
        <v>55000</v>
      </c>
      <c r="X841" s="2337"/>
      <c r="Y841" s="2337"/>
      <c r="Z841" s="2337"/>
      <c r="AA841" s="2337"/>
      <c r="AB841" s="2337"/>
      <c r="AC841" s="2338"/>
      <c r="AD841" s="902"/>
      <c r="AE841" s="12"/>
      <c r="AF841" s="12"/>
      <c r="AG841" s="12"/>
      <c r="AH841" s="12"/>
      <c r="AI841" s="12"/>
      <c r="AJ841" s="12"/>
      <c r="AK841" s="12"/>
      <c r="AL841" s="12"/>
      <c r="AM841" s="39"/>
      <c r="AN841" s="39"/>
      <c r="AO841" s="39"/>
      <c r="AP841" s="39"/>
      <c r="AQ841" s="39"/>
      <c r="AR841" s="39"/>
      <c r="AS841" s="39"/>
      <c r="AT841" s="39"/>
      <c r="AU841" s="39"/>
      <c r="AV841" s="39"/>
      <c r="AW841" s="39"/>
      <c r="AX841" s="39"/>
      <c r="AY841" s="39"/>
      <c r="AZ841" s="52"/>
      <c r="BA841" s="52"/>
      <c r="BB841" s="21"/>
      <c r="BC841" s="21"/>
      <c r="BD841" s="21"/>
      <c r="BO841" s="36" t="s">
        <v>712</v>
      </c>
      <c r="BP841" s="503">
        <v>352022</v>
      </c>
      <c r="BQ841" s="503">
        <v>405878</v>
      </c>
      <c r="BR841" s="503">
        <v>489600</v>
      </c>
      <c r="BS841" s="503">
        <v>626688</v>
      </c>
      <c r="BT841" s="503">
        <v>698170</v>
      </c>
      <c r="BU841" s="56"/>
      <c r="BV841" s="36" t="s">
        <v>712</v>
      </c>
      <c r="BW841" s="503">
        <v>352022</v>
      </c>
      <c r="BX841" s="503">
        <v>405878</v>
      </c>
      <c r="BY841" s="503">
        <v>489600</v>
      </c>
      <c r="BZ841" s="503">
        <v>626688</v>
      </c>
      <c r="CA841" s="503">
        <v>698170</v>
      </c>
      <c r="CB841" s="107"/>
      <c r="CC841" s="107"/>
      <c r="CD841" s="107"/>
      <c r="CE841" s="107"/>
      <c r="CF841" s="107"/>
      <c r="CG841" s="107"/>
      <c r="CH841" s="107"/>
      <c r="CI841" s="107"/>
      <c r="CJ841" s="107"/>
      <c r="CK841" s="107"/>
      <c r="CL841" s="107"/>
      <c r="CM841" s="107"/>
      <c r="CN841" s="107"/>
      <c r="CO841" s="107"/>
      <c r="CP841" s="107"/>
      <c r="CQ841" s="107"/>
      <c r="CR841" s="1639"/>
      <c r="CS841" s="107"/>
      <c r="CT841" s="107"/>
      <c r="CU841" s="107"/>
      <c r="CV841" s="107"/>
      <c r="CW841" s="107"/>
      <c r="CX841" s="107"/>
      <c r="CY841" s="107"/>
      <c r="CZ841" s="107"/>
      <c r="DA841" s="107"/>
      <c r="DB841" s="107"/>
      <c r="DC841" s="107"/>
      <c r="DD841" s="107"/>
      <c r="DE841" s="107"/>
      <c r="DF841" s="107"/>
    </row>
    <row r="842" spans="1:110" s="51" customFormat="1" ht="12.95" customHeight="1">
      <c r="A842" s="708"/>
      <c r="B842" s="708"/>
      <c r="C842" s="50" t="s">
        <v>348</v>
      </c>
      <c r="D842" s="708"/>
      <c r="E842" s="708"/>
      <c r="F842" s="708"/>
      <c r="G842" s="708"/>
      <c r="H842" s="708"/>
      <c r="I842" s="708"/>
      <c r="J842" s="185" t="s">
        <v>1834</v>
      </c>
      <c r="K842" s="77"/>
      <c r="L842" s="77"/>
      <c r="M842" s="77"/>
      <c r="N842" s="77"/>
      <c r="O842" s="77"/>
      <c r="P842" s="77"/>
      <c r="Q842" s="77"/>
      <c r="R842" s="77"/>
      <c r="S842" s="77"/>
      <c r="T842" s="2395">
        <v>2</v>
      </c>
      <c r="U842" s="2247"/>
      <c r="V842" s="2396"/>
      <c r="W842" s="1380"/>
      <c r="X842" s="1381"/>
      <c r="Y842" s="1381"/>
      <c r="Z842" s="1381"/>
      <c r="AA842" s="1381"/>
      <c r="AB842" s="1381"/>
      <c r="AC842" s="1382"/>
      <c r="AD842" s="902"/>
      <c r="AE842" s="708"/>
      <c r="AF842" s="708"/>
      <c r="AG842" s="708"/>
      <c r="AH842" s="708"/>
      <c r="AI842" s="708"/>
      <c r="AJ842" s="708"/>
      <c r="AK842" s="708"/>
      <c r="AL842" s="708"/>
      <c r="AM842" s="39"/>
      <c r="AN842" s="39"/>
      <c r="AO842" s="39"/>
      <c r="AP842" s="39"/>
      <c r="AQ842" s="39"/>
      <c r="AR842" s="39"/>
      <c r="AS842" s="39"/>
      <c r="AT842" s="39"/>
      <c r="AU842" s="39"/>
      <c r="AV842" s="39"/>
      <c r="AW842" s="39"/>
      <c r="AX842" s="39"/>
      <c r="AY842" s="39"/>
      <c r="AZ842" s="52"/>
      <c r="BA842" s="52"/>
      <c r="BB842" s="21"/>
      <c r="BC842" s="21"/>
      <c r="BD842" s="21"/>
      <c r="BE842" s="21"/>
      <c r="BF842" s="21"/>
      <c r="BG842" s="56"/>
      <c r="BH842" s="56"/>
      <c r="BI842" s="56"/>
      <c r="BJ842" s="56"/>
      <c r="BK842" s="56"/>
      <c r="BL842" s="56"/>
      <c r="BM842" s="56"/>
      <c r="BN842" s="56"/>
      <c r="BO842" s="36" t="s">
        <v>713</v>
      </c>
      <c r="BP842" s="501">
        <v>384234</v>
      </c>
      <c r="BQ842" s="501">
        <v>443018</v>
      </c>
      <c r="BR842" s="501">
        <v>534400</v>
      </c>
      <c r="BS842" s="501">
        <v>684032</v>
      </c>
      <c r="BT842" s="501">
        <v>762054</v>
      </c>
      <c r="BU842" s="56"/>
      <c r="BV842" s="36" t="s">
        <v>713</v>
      </c>
      <c r="BW842" s="501">
        <v>384234</v>
      </c>
      <c r="BX842" s="501">
        <v>443018</v>
      </c>
      <c r="BY842" s="501">
        <v>534400</v>
      </c>
      <c r="BZ842" s="501">
        <v>684032</v>
      </c>
      <c r="CA842" s="501">
        <v>762054</v>
      </c>
      <c r="CB842" s="107"/>
      <c r="CC842" s="107"/>
      <c r="CD842" s="107"/>
      <c r="CE842" s="107"/>
      <c r="CF842" s="107"/>
      <c r="CG842" s="107"/>
      <c r="CH842" s="107"/>
      <c r="CI842" s="107"/>
      <c r="CJ842" s="107"/>
      <c r="CK842" s="107"/>
      <c r="CL842" s="107"/>
      <c r="CM842" s="107"/>
      <c r="CN842" s="107"/>
      <c r="CO842" s="107"/>
      <c r="CP842" s="107"/>
      <c r="CQ842" s="107"/>
      <c r="CR842" s="1639"/>
      <c r="CS842" s="107"/>
      <c r="CT842" s="107"/>
      <c r="CU842" s="107"/>
      <c r="CV842" s="107"/>
      <c r="CW842" s="107"/>
      <c r="CX842" s="107"/>
      <c r="CY842" s="107"/>
      <c r="CZ842" s="107"/>
      <c r="DA842" s="107"/>
      <c r="DB842" s="107"/>
      <c r="DC842" s="107"/>
      <c r="DD842" s="107"/>
      <c r="DE842" s="107"/>
      <c r="DF842" s="107"/>
    </row>
    <row r="843" spans="1:110" ht="12.95" customHeight="1">
      <c r="C843" s="50"/>
      <c r="J843" s="76" t="s">
        <v>627</v>
      </c>
      <c r="K843" s="77"/>
      <c r="L843" s="77"/>
      <c r="M843" s="77"/>
      <c r="N843" s="77"/>
      <c r="O843" s="77"/>
      <c r="P843" s="77"/>
      <c r="Q843" s="77"/>
      <c r="R843" s="77"/>
      <c r="S843" s="77"/>
      <c r="T843" s="77"/>
      <c r="U843" s="77"/>
      <c r="V843" s="78"/>
      <c r="W843" s="2336">
        <v>35000</v>
      </c>
      <c r="X843" s="2337"/>
      <c r="Y843" s="2337"/>
      <c r="Z843" s="2337"/>
      <c r="AA843" s="2337"/>
      <c r="AB843" s="2337"/>
      <c r="AC843" s="2338"/>
      <c r="AD843" s="899"/>
      <c r="AZ843" s="61"/>
      <c r="BA843" s="61"/>
      <c r="BB843" s="61"/>
      <c r="BC843" s="61"/>
      <c r="BD843" s="61"/>
      <c r="BE843" s="61"/>
      <c r="BF843" s="61"/>
      <c r="BG843" s="61"/>
      <c r="BH843" s="61"/>
      <c r="BI843" s="61"/>
      <c r="BJ843" s="61"/>
      <c r="BK843" s="61"/>
      <c r="BL843" s="61"/>
      <c r="BM843" s="61"/>
      <c r="BN843" s="61"/>
      <c r="BO843" s="36" t="s">
        <v>110</v>
      </c>
      <c r="BP843" s="503">
        <v>384234</v>
      </c>
      <c r="BQ843" s="503">
        <v>443018</v>
      </c>
      <c r="BR843" s="503">
        <v>534400</v>
      </c>
      <c r="BS843" s="503">
        <v>684032</v>
      </c>
      <c r="BT843" s="503">
        <v>762054</v>
      </c>
      <c r="BU843" s="56"/>
      <c r="BV843" s="36" t="s">
        <v>110</v>
      </c>
      <c r="BW843" s="503">
        <v>384234</v>
      </c>
      <c r="BX843" s="503">
        <v>443018</v>
      </c>
      <c r="BY843" s="503">
        <v>534400</v>
      </c>
      <c r="BZ843" s="503">
        <v>684032</v>
      </c>
      <c r="CA843" s="503">
        <v>762054</v>
      </c>
      <c r="CB843" s="61"/>
      <c r="CC843" s="61"/>
      <c r="CD843" s="61"/>
      <c r="CE843" s="61"/>
      <c r="CF843" s="61"/>
      <c r="CG843" s="61"/>
      <c r="CH843" s="61"/>
      <c r="CI843" s="61"/>
      <c r="CJ843" s="61"/>
      <c r="CK843" s="61"/>
      <c r="CL843" s="61"/>
      <c r="CM843" s="61"/>
      <c r="CN843" s="61"/>
      <c r="CO843" s="61"/>
      <c r="CP843" s="61"/>
      <c r="CQ843" s="61"/>
      <c r="CR843" s="1446"/>
      <c r="CS843" s="61"/>
      <c r="CT843" s="61"/>
      <c r="CU843" s="61"/>
      <c r="CV843" s="61"/>
      <c r="CW843" s="61"/>
      <c r="CX843" s="61"/>
      <c r="CY843" s="61"/>
      <c r="CZ843" s="61"/>
      <c r="DA843" s="61"/>
      <c r="DB843" s="61"/>
      <c r="DC843" s="61"/>
      <c r="DD843" s="61"/>
      <c r="DE843" s="61"/>
      <c r="DF843" s="61"/>
    </row>
    <row r="844" spans="1:110" s="708" customFormat="1" ht="12.95" customHeight="1">
      <c r="C844" s="50"/>
      <c r="J844" s="185" t="s">
        <v>1835</v>
      </c>
      <c r="K844" s="77"/>
      <c r="L844" s="77"/>
      <c r="M844" s="77"/>
      <c r="N844" s="77"/>
      <c r="O844" s="77"/>
      <c r="P844" s="77"/>
      <c r="Q844" s="77"/>
      <c r="R844" s="77"/>
      <c r="S844" s="77"/>
      <c r="T844" s="2395"/>
      <c r="U844" s="2247"/>
      <c r="V844" s="2396"/>
      <c r="W844" s="1380"/>
      <c r="X844" s="1381"/>
      <c r="Y844" s="1381"/>
      <c r="Z844" s="1381"/>
      <c r="AA844" s="1381"/>
      <c r="AB844" s="1381"/>
      <c r="AC844" s="1382"/>
      <c r="AD844" s="899"/>
      <c r="AM844" s="39"/>
      <c r="AN844" s="39"/>
      <c r="AO844" s="39"/>
      <c r="AP844" s="39"/>
      <c r="AQ844" s="39"/>
      <c r="AR844" s="39"/>
      <c r="AS844" s="39"/>
      <c r="AT844" s="39"/>
      <c r="AU844" s="39"/>
      <c r="AV844" s="39"/>
      <c r="AW844" s="39"/>
      <c r="AX844" s="39"/>
      <c r="AY844" s="39"/>
      <c r="AZ844" s="61"/>
      <c r="BA844" s="61"/>
      <c r="BB844" s="61"/>
      <c r="BC844" s="61"/>
      <c r="BD844" s="61"/>
      <c r="BE844" s="61"/>
      <c r="BF844" s="61"/>
      <c r="BG844" s="61"/>
      <c r="BH844" s="61"/>
      <c r="BI844" s="61"/>
      <c r="BJ844" s="61"/>
      <c r="BK844" s="61"/>
      <c r="BL844" s="61"/>
      <c r="BM844" s="61"/>
      <c r="BN844" s="61"/>
      <c r="BO844" s="36" t="s">
        <v>111</v>
      </c>
      <c r="BP844" s="501">
        <v>307732</v>
      </c>
      <c r="BQ844" s="501">
        <v>354812</v>
      </c>
      <c r="BR844" s="501">
        <v>428000</v>
      </c>
      <c r="BS844" s="501">
        <v>547840</v>
      </c>
      <c r="BT844" s="501">
        <v>610328</v>
      </c>
      <c r="BU844" s="56"/>
      <c r="BV844" s="36" t="s">
        <v>111</v>
      </c>
      <c r="BW844" s="501">
        <v>307732</v>
      </c>
      <c r="BX844" s="501">
        <v>354812</v>
      </c>
      <c r="BY844" s="501">
        <v>428000</v>
      </c>
      <c r="BZ844" s="501">
        <v>547840</v>
      </c>
      <c r="CA844" s="501">
        <v>610328</v>
      </c>
      <c r="CB844" s="61"/>
      <c r="CC844" s="61"/>
      <c r="CD844" s="61"/>
      <c r="CE844" s="61"/>
      <c r="CF844" s="61"/>
      <c r="CG844" s="61"/>
      <c r="CH844" s="61"/>
      <c r="CI844" s="61"/>
      <c r="CJ844" s="61"/>
      <c r="CK844" s="61"/>
      <c r="CL844" s="61"/>
      <c r="CM844" s="61"/>
      <c r="CN844" s="61"/>
      <c r="CO844" s="61"/>
      <c r="CP844" s="61"/>
      <c r="CQ844" s="61"/>
      <c r="CR844" s="1446"/>
      <c r="CS844" s="61"/>
      <c r="CT844" s="61"/>
      <c r="CU844" s="61"/>
      <c r="CV844" s="61"/>
      <c r="CW844" s="61"/>
      <c r="CX844" s="61"/>
      <c r="CY844" s="61"/>
      <c r="CZ844" s="61"/>
      <c r="DA844" s="61"/>
      <c r="DB844" s="61"/>
      <c r="DC844" s="61"/>
      <c r="DD844" s="61"/>
      <c r="DE844" s="61"/>
      <c r="DF844" s="61"/>
    </row>
    <row r="845" spans="1:110" ht="12.95" customHeight="1">
      <c r="J845" s="76" t="s">
        <v>170</v>
      </c>
      <c r="K845" s="77"/>
      <c r="L845" s="77"/>
      <c r="M845" s="2325" t="s">
        <v>2759</v>
      </c>
      <c r="N845" s="2326"/>
      <c r="O845" s="2326"/>
      <c r="P845" s="2326"/>
      <c r="Q845" s="2326"/>
      <c r="R845" s="2326"/>
      <c r="S845" s="2326"/>
      <c r="T845" s="2326"/>
      <c r="U845" s="2326"/>
      <c r="V845" s="2327"/>
      <c r="W845" s="2336">
        <v>25200</v>
      </c>
      <c r="X845" s="2337"/>
      <c r="Y845" s="2337"/>
      <c r="Z845" s="2337"/>
      <c r="AA845" s="2337"/>
      <c r="AB845" s="2337"/>
      <c r="AC845" s="2338"/>
      <c r="AD845" s="902"/>
      <c r="AZ845" s="61"/>
      <c r="BA845" s="61"/>
      <c r="BB845" s="61"/>
      <c r="BC845" s="61"/>
      <c r="BD845" s="61"/>
      <c r="BE845" s="61"/>
      <c r="BF845" s="61"/>
      <c r="BG845" s="61"/>
      <c r="BH845" s="61"/>
      <c r="BI845" s="61"/>
      <c r="BJ845" s="61"/>
      <c r="BK845" s="61"/>
      <c r="BL845" s="61"/>
      <c r="BM845" s="61"/>
      <c r="BN845" s="61"/>
      <c r="BO845" s="36" t="s">
        <v>45</v>
      </c>
      <c r="BP845" s="503">
        <v>331890</v>
      </c>
      <c r="BQ845" s="503">
        <v>382666</v>
      </c>
      <c r="BR845" s="503">
        <v>461600</v>
      </c>
      <c r="BS845" s="503">
        <v>590848</v>
      </c>
      <c r="BT845" s="503">
        <v>658242</v>
      </c>
      <c r="BU845" s="56"/>
      <c r="BV845" s="36" t="s">
        <v>45</v>
      </c>
      <c r="BW845" s="503">
        <v>331890</v>
      </c>
      <c r="BX845" s="503">
        <v>382666</v>
      </c>
      <c r="BY845" s="503">
        <v>461600</v>
      </c>
      <c r="BZ845" s="503">
        <v>590848</v>
      </c>
      <c r="CA845" s="503">
        <v>658242</v>
      </c>
      <c r="CB845" s="61"/>
      <c r="CC845" s="61"/>
      <c r="CD845" s="61"/>
      <c r="CE845" s="61"/>
      <c r="CF845" s="61"/>
      <c r="CG845" s="61"/>
      <c r="CH845" s="61"/>
      <c r="CI845" s="61"/>
      <c r="CJ845" s="61"/>
      <c r="CK845" s="61"/>
      <c r="CL845" s="61"/>
      <c r="CM845" s="61"/>
      <c r="CN845" s="61"/>
      <c r="CO845" s="61"/>
      <c r="CP845" s="61"/>
      <c r="CQ845" s="61"/>
      <c r="CR845" s="1446"/>
      <c r="CS845" s="61"/>
      <c r="CT845" s="61"/>
      <c r="CU845" s="61"/>
      <c r="CV845" s="61"/>
      <c r="CW845" s="61"/>
      <c r="CX845" s="61"/>
      <c r="CY845" s="61"/>
      <c r="CZ845" s="61"/>
      <c r="DA845" s="61"/>
      <c r="DB845" s="61"/>
      <c r="DC845" s="61"/>
      <c r="DD845" s="61"/>
      <c r="DE845" s="61"/>
      <c r="DF845" s="61"/>
    </row>
    <row r="846" spans="1:110" s="708" customFormat="1" ht="12.95" customHeight="1">
      <c r="A846" s="12"/>
      <c r="B846" s="12"/>
      <c r="C846" s="12"/>
      <c r="D846" s="12"/>
      <c r="E846" s="12"/>
      <c r="F846" s="12"/>
      <c r="G846" s="12"/>
      <c r="H846" s="12"/>
      <c r="I846" s="12"/>
      <c r="J846" s="76"/>
      <c r="K846" s="77"/>
      <c r="L846" s="77"/>
      <c r="M846" s="77"/>
      <c r="N846" s="77"/>
      <c r="O846" s="77"/>
      <c r="P846" s="77"/>
      <c r="Q846" s="77"/>
      <c r="R846" s="77"/>
      <c r="S846" s="77"/>
      <c r="T846" s="77"/>
      <c r="U846" s="77"/>
      <c r="V846" s="86" t="s">
        <v>274</v>
      </c>
      <c r="W846" s="2490">
        <f>SUM(W841:AC845)</f>
        <v>115200</v>
      </c>
      <c r="X846" s="2491"/>
      <c r="Y846" s="2491"/>
      <c r="Z846" s="2491"/>
      <c r="AA846" s="2491"/>
      <c r="AB846" s="2491"/>
      <c r="AC846" s="2492"/>
      <c r="AD846" s="899"/>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61"/>
      <c r="BA846" s="61"/>
      <c r="BB846" s="61"/>
      <c r="BC846" s="61"/>
      <c r="BD846" s="61"/>
      <c r="BE846" s="61"/>
      <c r="BF846" s="61"/>
      <c r="BG846" s="61"/>
      <c r="BH846" s="61"/>
      <c r="BI846" s="61"/>
      <c r="BJ846" s="61"/>
      <c r="BK846" s="61"/>
      <c r="BL846" s="61"/>
      <c r="BM846" s="61"/>
      <c r="BN846" s="61"/>
      <c r="BO846" s="36" t="s">
        <v>46</v>
      </c>
      <c r="BP846" s="501">
        <v>352022</v>
      </c>
      <c r="BQ846" s="501">
        <v>405878</v>
      </c>
      <c r="BR846" s="501">
        <v>489600</v>
      </c>
      <c r="BS846" s="501">
        <v>626688</v>
      </c>
      <c r="BT846" s="501">
        <v>698170</v>
      </c>
      <c r="BU846" s="56"/>
      <c r="BV846" s="36" t="s">
        <v>46</v>
      </c>
      <c r="BW846" s="501">
        <v>352022</v>
      </c>
      <c r="BX846" s="501">
        <v>405878</v>
      </c>
      <c r="BY846" s="501">
        <v>489600</v>
      </c>
      <c r="BZ846" s="501">
        <v>626688</v>
      </c>
      <c r="CA846" s="501">
        <v>698170</v>
      </c>
      <c r="CB846" s="61"/>
      <c r="CC846" s="61"/>
      <c r="CD846" s="61"/>
      <c r="CE846" s="61"/>
      <c r="CF846" s="61"/>
      <c r="CG846" s="61"/>
      <c r="CH846" s="61"/>
      <c r="CI846" s="61"/>
      <c r="CJ846" s="61"/>
      <c r="CK846" s="61"/>
      <c r="CL846" s="61"/>
      <c r="CM846" s="61"/>
      <c r="CN846" s="61"/>
      <c r="CO846" s="61"/>
      <c r="CP846" s="61"/>
      <c r="CQ846" s="61"/>
      <c r="CR846" s="1446"/>
      <c r="CS846" s="61"/>
      <c r="CT846" s="61"/>
      <c r="CU846" s="61"/>
      <c r="CV846" s="61"/>
      <c r="CW846" s="61"/>
      <c r="CX846" s="61"/>
      <c r="CY846" s="61"/>
      <c r="CZ846" s="61"/>
      <c r="DA846" s="61"/>
      <c r="DB846" s="61"/>
      <c r="DC846" s="61"/>
      <c r="DD846" s="61"/>
      <c r="DE846" s="61"/>
      <c r="DF846" s="61"/>
    </row>
    <row r="847" spans="1:110" ht="12.95" customHeight="1">
      <c r="J847" s="76"/>
      <c r="K847" s="77"/>
      <c r="L847" s="77"/>
      <c r="M847" s="77"/>
      <c r="N847" s="77"/>
      <c r="O847" s="77"/>
      <c r="P847" s="77"/>
      <c r="Q847" s="77"/>
      <c r="R847" s="77"/>
      <c r="S847" s="77"/>
      <c r="T847" s="77"/>
      <c r="U847" s="77"/>
      <c r="V847" s="86" t="s">
        <v>275</v>
      </c>
      <c r="W847" s="2336">
        <v>31150</v>
      </c>
      <c r="X847" s="2337"/>
      <c r="Y847" s="2337"/>
      <c r="Z847" s="2337"/>
      <c r="AA847" s="2337"/>
      <c r="AB847" s="2337"/>
      <c r="AC847" s="2338"/>
      <c r="AZ847" s="61"/>
      <c r="BA847" s="61"/>
      <c r="BB847" s="61"/>
      <c r="BC847" s="61"/>
      <c r="BD847" s="61"/>
      <c r="BE847" s="61"/>
      <c r="BF847" s="61"/>
      <c r="BG847" s="61"/>
      <c r="BH847" s="61"/>
      <c r="BI847" s="61"/>
      <c r="BJ847" s="61"/>
      <c r="BK847" s="61"/>
      <c r="BL847" s="61"/>
      <c r="BM847" s="61"/>
      <c r="BN847" s="61"/>
      <c r="BO847" s="36" t="s">
        <v>47</v>
      </c>
      <c r="BP847" s="503">
        <v>352022</v>
      </c>
      <c r="BQ847" s="503">
        <v>405878</v>
      </c>
      <c r="BR847" s="503">
        <v>489600</v>
      </c>
      <c r="BS847" s="503">
        <v>626688</v>
      </c>
      <c r="BT847" s="503">
        <v>698170</v>
      </c>
      <c r="BU847" s="56"/>
      <c r="BV847" s="36" t="s">
        <v>47</v>
      </c>
      <c r="BW847" s="503">
        <v>352022</v>
      </c>
      <c r="BX847" s="503">
        <v>405878</v>
      </c>
      <c r="BY847" s="503">
        <v>489600</v>
      </c>
      <c r="BZ847" s="503">
        <v>626688</v>
      </c>
      <c r="CA847" s="503">
        <v>698170</v>
      </c>
      <c r="CB847" s="61"/>
      <c r="CC847" s="61"/>
      <c r="CD847" s="61"/>
      <c r="CE847" s="61"/>
      <c r="CF847" s="61"/>
      <c r="CG847" s="61"/>
      <c r="CH847" s="61"/>
      <c r="CI847" s="61"/>
      <c r="CJ847" s="61"/>
      <c r="CK847" s="61"/>
      <c r="CL847" s="61"/>
      <c r="CM847" s="61"/>
      <c r="CN847" s="61"/>
      <c r="CO847" s="61"/>
      <c r="CP847" s="61"/>
      <c r="CQ847" s="61"/>
      <c r="CR847" s="1446"/>
      <c r="CS847" s="61"/>
      <c r="CT847" s="61"/>
      <c r="CU847" s="61"/>
      <c r="CV847" s="61"/>
      <c r="CW847" s="61"/>
      <c r="CX847" s="61"/>
      <c r="CY847" s="61"/>
      <c r="CZ847" s="61"/>
      <c r="DA847" s="61"/>
      <c r="DB847" s="61"/>
      <c r="DC847" s="61"/>
      <c r="DD847" s="61"/>
      <c r="DE847" s="61"/>
      <c r="DF847" s="61"/>
    </row>
    <row r="848" spans="1:110" ht="12.95" customHeight="1">
      <c r="J848" s="897"/>
      <c r="AZ848" s="61"/>
      <c r="BA848" s="61"/>
      <c r="BB848" s="61"/>
      <c r="BC848" s="61"/>
      <c r="BD848" s="61"/>
      <c r="BE848" s="61"/>
      <c r="BF848" s="61"/>
      <c r="BG848" s="61"/>
      <c r="BH848" s="61"/>
      <c r="BI848" s="61"/>
      <c r="BJ848" s="61"/>
      <c r="BK848" s="61"/>
      <c r="BL848" s="61"/>
      <c r="BM848" s="61"/>
      <c r="BN848" s="61"/>
      <c r="BO848" s="36" t="s">
        <v>48</v>
      </c>
      <c r="BP848" s="501">
        <v>307732</v>
      </c>
      <c r="BQ848" s="501">
        <v>354812</v>
      </c>
      <c r="BR848" s="501">
        <v>428000</v>
      </c>
      <c r="BS848" s="501">
        <v>547840</v>
      </c>
      <c r="BT848" s="501">
        <v>610328</v>
      </c>
      <c r="BU848" s="56"/>
      <c r="BV848" s="36" t="s">
        <v>48</v>
      </c>
      <c r="BW848" s="501">
        <v>307732</v>
      </c>
      <c r="BX848" s="501">
        <v>354812</v>
      </c>
      <c r="BY848" s="501">
        <v>428000</v>
      </c>
      <c r="BZ848" s="501">
        <v>547840</v>
      </c>
      <c r="CA848" s="501">
        <v>610328</v>
      </c>
      <c r="CB848" s="61"/>
      <c r="CC848" s="61"/>
      <c r="CD848" s="61"/>
      <c r="CE848" s="61"/>
      <c r="CF848" s="61"/>
      <c r="CG848" s="61"/>
      <c r="CH848" s="61"/>
      <c r="CI848" s="61"/>
      <c r="CJ848" s="61"/>
      <c r="CK848" s="61"/>
      <c r="CL848" s="61"/>
      <c r="CM848" s="61"/>
      <c r="CN848" s="61"/>
      <c r="CO848" s="61"/>
      <c r="CP848" s="61"/>
      <c r="CQ848" s="61"/>
      <c r="CR848" s="1446"/>
      <c r="CS848" s="61"/>
      <c r="CT848" s="61"/>
      <c r="CU848" s="61"/>
      <c r="CV848" s="61"/>
      <c r="CW848" s="61"/>
      <c r="CX848" s="61"/>
      <c r="CY848" s="61"/>
      <c r="CZ848" s="61"/>
      <c r="DA848" s="61"/>
      <c r="DB848" s="61"/>
      <c r="DC848" s="61"/>
      <c r="DD848" s="61"/>
      <c r="DE848" s="61"/>
      <c r="DF848" s="61"/>
    </row>
    <row r="849" spans="3:110" ht="12.95" customHeight="1">
      <c r="C849" s="50" t="s">
        <v>391</v>
      </c>
      <c r="J849" s="76" t="s">
        <v>626</v>
      </c>
      <c r="K849" s="77"/>
      <c r="L849" s="77"/>
      <c r="M849" s="77"/>
      <c r="N849" s="77"/>
      <c r="O849" s="77"/>
      <c r="P849" s="77"/>
      <c r="Q849" s="77"/>
      <c r="R849" s="77"/>
      <c r="S849" s="77"/>
      <c r="T849" s="77"/>
      <c r="U849" s="77"/>
      <c r="V849" s="78"/>
      <c r="W849" s="2334">
        <v>8000</v>
      </c>
      <c r="X849" s="2334"/>
      <c r="Y849" s="2334"/>
      <c r="Z849" s="2334"/>
      <c r="AA849" s="2334"/>
      <c r="AB849" s="2334"/>
      <c r="AC849" s="2334"/>
      <c r="AZ849" s="61"/>
      <c r="BA849" s="61"/>
      <c r="BB849" s="61"/>
      <c r="BC849" s="61"/>
      <c r="BD849" s="61"/>
      <c r="BE849" s="61"/>
      <c r="BF849" s="61"/>
      <c r="BG849" s="61"/>
      <c r="BH849" s="61"/>
      <c r="BI849" s="61"/>
      <c r="BJ849" s="61"/>
      <c r="BK849" s="61"/>
      <c r="BL849" s="61"/>
      <c r="BM849" s="61"/>
      <c r="BN849" s="61"/>
      <c r="BO849" s="36" t="s">
        <v>130</v>
      </c>
      <c r="BP849" s="503">
        <v>352022</v>
      </c>
      <c r="BQ849" s="503">
        <v>405878</v>
      </c>
      <c r="BR849" s="503">
        <v>489600</v>
      </c>
      <c r="BS849" s="503">
        <v>626688</v>
      </c>
      <c r="BT849" s="503">
        <v>698170</v>
      </c>
      <c r="BU849" s="56"/>
      <c r="BV849" s="36" t="s">
        <v>130</v>
      </c>
      <c r="BW849" s="503">
        <v>352022</v>
      </c>
      <c r="BX849" s="503">
        <v>405878</v>
      </c>
      <c r="BY849" s="503">
        <v>489600</v>
      </c>
      <c r="BZ849" s="503">
        <v>626688</v>
      </c>
      <c r="CA849" s="503">
        <v>698170</v>
      </c>
      <c r="CB849" s="61"/>
      <c r="CC849" s="61"/>
      <c r="CD849" s="61"/>
      <c r="CE849" s="61"/>
      <c r="CF849" s="61"/>
      <c r="CG849" s="61"/>
      <c r="CH849" s="61"/>
      <c r="CI849" s="61"/>
      <c r="CJ849" s="61"/>
      <c r="CK849" s="61"/>
      <c r="CL849" s="61"/>
      <c r="CM849" s="61"/>
      <c r="CN849" s="61"/>
      <c r="CO849" s="61"/>
      <c r="CP849" s="61"/>
      <c r="CQ849" s="61"/>
      <c r="CR849" s="1446"/>
      <c r="CS849" s="61"/>
      <c r="CT849" s="61"/>
      <c r="CU849" s="61"/>
      <c r="CV849" s="61"/>
      <c r="CW849" s="61"/>
      <c r="CX849" s="61"/>
      <c r="CY849" s="61"/>
      <c r="CZ849" s="61"/>
      <c r="DA849" s="61"/>
      <c r="DB849" s="61"/>
      <c r="DC849" s="61"/>
      <c r="DD849" s="61"/>
      <c r="DE849" s="61"/>
      <c r="DF849" s="61"/>
    </row>
    <row r="850" spans="3:110" ht="12.95" customHeight="1">
      <c r="J850" s="76" t="s">
        <v>531</v>
      </c>
      <c r="K850" s="77"/>
      <c r="L850" s="77"/>
      <c r="M850" s="77"/>
      <c r="N850" s="77"/>
      <c r="O850" s="77"/>
      <c r="P850" s="77"/>
      <c r="Q850" s="77"/>
      <c r="R850" s="77"/>
      <c r="S850" s="77"/>
      <c r="T850" s="77"/>
      <c r="U850" s="77"/>
      <c r="V850" s="78"/>
      <c r="W850" s="2334">
        <v>25000</v>
      </c>
      <c r="X850" s="2334"/>
      <c r="Y850" s="2334"/>
      <c r="Z850" s="2334"/>
      <c r="AA850" s="2334"/>
      <c r="AB850" s="2334"/>
      <c r="AC850" s="2334"/>
      <c r="AZ850" s="61"/>
      <c r="BA850" s="61"/>
      <c r="BB850" s="61"/>
      <c r="BC850" s="61"/>
      <c r="BD850" s="61"/>
      <c r="BE850" s="61"/>
      <c r="BF850" s="61"/>
      <c r="BG850" s="61"/>
      <c r="BH850" s="61"/>
      <c r="BI850" s="61"/>
      <c r="BJ850" s="61"/>
      <c r="BK850" s="61"/>
      <c r="BL850" s="61"/>
      <c r="BM850" s="61"/>
      <c r="BN850" s="61"/>
      <c r="BO850" s="36" t="s">
        <v>49</v>
      </c>
      <c r="BP850" s="501">
        <v>387110</v>
      </c>
      <c r="BQ850" s="501">
        <v>446334</v>
      </c>
      <c r="BR850" s="501">
        <v>538400</v>
      </c>
      <c r="BS850" s="501">
        <v>689152</v>
      </c>
      <c r="BT850" s="501">
        <v>767758</v>
      </c>
      <c r="BU850" s="56"/>
      <c r="BV850" s="36" t="s">
        <v>49</v>
      </c>
      <c r="BW850" s="501">
        <v>387110</v>
      </c>
      <c r="BX850" s="501">
        <v>446334</v>
      </c>
      <c r="BY850" s="501">
        <v>538400</v>
      </c>
      <c r="BZ850" s="501">
        <v>689152</v>
      </c>
      <c r="CA850" s="501">
        <v>767758</v>
      </c>
      <c r="CB850" s="61"/>
      <c r="CC850" s="61"/>
      <c r="CD850" s="61"/>
      <c r="CE850" s="61"/>
      <c r="CF850" s="61"/>
      <c r="CG850" s="61"/>
      <c r="CH850" s="61"/>
      <c r="CI850" s="61"/>
      <c r="CJ850" s="61"/>
      <c r="CK850" s="61"/>
      <c r="CL850" s="61"/>
      <c r="CM850" s="61"/>
      <c r="CN850" s="61"/>
      <c r="CO850" s="61"/>
      <c r="CP850" s="61"/>
      <c r="CQ850" s="61"/>
      <c r="CR850" s="1446"/>
      <c r="CS850" s="61"/>
      <c r="CT850" s="61"/>
      <c r="CU850" s="61"/>
      <c r="CV850" s="61"/>
      <c r="CW850" s="61"/>
      <c r="CX850" s="61"/>
      <c r="CY850" s="61"/>
      <c r="CZ850" s="61"/>
      <c r="DA850" s="61"/>
      <c r="DB850" s="61"/>
      <c r="DC850" s="61"/>
      <c r="DD850" s="61"/>
      <c r="DE850" s="61"/>
      <c r="DF850" s="61"/>
    </row>
    <row r="851" spans="3:110" ht="12.95" customHeight="1">
      <c r="J851" s="76" t="s">
        <v>530</v>
      </c>
      <c r="K851" s="77"/>
      <c r="L851" s="77"/>
      <c r="M851" s="77"/>
      <c r="N851" s="77"/>
      <c r="O851" s="77"/>
      <c r="P851" s="77"/>
      <c r="Q851" s="77"/>
      <c r="R851" s="77"/>
      <c r="S851" s="77"/>
      <c r="T851" s="77"/>
      <c r="U851" s="77"/>
      <c r="V851" s="78"/>
      <c r="W851" s="2334">
        <v>7000</v>
      </c>
      <c r="X851" s="2334"/>
      <c r="Y851" s="2334"/>
      <c r="Z851" s="2334"/>
      <c r="AA851" s="2334"/>
      <c r="AB851" s="2334"/>
      <c r="AC851" s="2334"/>
      <c r="AZ851" s="61"/>
      <c r="BA851" s="61"/>
      <c r="BB851" s="61"/>
      <c r="BC851" s="61"/>
      <c r="BD851" s="61"/>
      <c r="BE851" s="61"/>
      <c r="BF851" s="61"/>
      <c r="BG851" s="61"/>
      <c r="BH851" s="61"/>
      <c r="BI851" s="61"/>
      <c r="BJ851" s="61"/>
      <c r="BK851" s="61"/>
      <c r="BL851" s="61"/>
      <c r="BM851" s="61"/>
      <c r="BN851" s="61"/>
      <c r="BO851" s="36" t="s">
        <v>50</v>
      </c>
      <c r="BP851" s="503">
        <v>331890</v>
      </c>
      <c r="BQ851" s="503">
        <v>382666</v>
      </c>
      <c r="BR851" s="503">
        <v>461600</v>
      </c>
      <c r="BS851" s="503">
        <v>590848</v>
      </c>
      <c r="BT851" s="503">
        <v>658242</v>
      </c>
      <c r="BU851" s="56"/>
      <c r="BV851" s="36" t="s">
        <v>50</v>
      </c>
      <c r="BW851" s="503">
        <v>331890</v>
      </c>
      <c r="BX851" s="503">
        <v>382666</v>
      </c>
      <c r="BY851" s="503">
        <v>461600</v>
      </c>
      <c r="BZ851" s="503">
        <v>590848</v>
      </c>
      <c r="CA851" s="503">
        <v>658242</v>
      </c>
      <c r="CB851" s="61"/>
      <c r="CC851" s="61"/>
      <c r="CD851" s="61"/>
      <c r="CE851" s="61"/>
      <c r="CF851" s="61"/>
      <c r="CG851" s="61"/>
      <c r="CH851" s="61"/>
      <c r="CI851" s="61"/>
      <c r="CJ851" s="61"/>
      <c r="CK851" s="61"/>
      <c r="CL851" s="61"/>
      <c r="CM851" s="61"/>
      <c r="CN851" s="61"/>
      <c r="CO851" s="61"/>
      <c r="CP851" s="61"/>
      <c r="CQ851" s="61"/>
      <c r="CR851" s="1446"/>
      <c r="CS851" s="61"/>
      <c r="CT851" s="61"/>
      <c r="CU851" s="61"/>
      <c r="CV851" s="61"/>
      <c r="CW851" s="61"/>
      <c r="CX851" s="61"/>
      <c r="CY851" s="61"/>
      <c r="CZ851" s="61"/>
      <c r="DA851" s="61"/>
      <c r="DB851" s="61"/>
      <c r="DC851" s="61"/>
      <c r="DD851" s="61"/>
      <c r="DE851" s="61"/>
      <c r="DF851" s="61"/>
    </row>
    <row r="852" spans="3:110" ht="12.95" customHeight="1">
      <c r="J852" s="76" t="s">
        <v>529</v>
      </c>
      <c r="K852" s="77"/>
      <c r="L852" s="77"/>
      <c r="M852" s="77"/>
      <c r="N852" s="77"/>
      <c r="O852" s="77"/>
      <c r="P852" s="77"/>
      <c r="Q852" s="77"/>
      <c r="R852" s="77"/>
      <c r="S852" s="77"/>
      <c r="T852" s="77"/>
      <c r="U852" s="77"/>
      <c r="V852" s="78"/>
      <c r="W852" s="2334">
        <v>4000</v>
      </c>
      <c r="X852" s="2334"/>
      <c r="Y852" s="2334"/>
      <c r="Z852" s="2334"/>
      <c r="AA852" s="2334"/>
      <c r="AB852" s="2334"/>
      <c r="AC852" s="2334"/>
      <c r="AZ852" s="61"/>
      <c r="BA852" s="61"/>
      <c r="BB852" s="61"/>
      <c r="BC852" s="61"/>
      <c r="BD852" s="61"/>
      <c r="BE852" s="61"/>
      <c r="BF852" s="61"/>
      <c r="BG852" s="61"/>
      <c r="BH852" s="61"/>
      <c r="BI852" s="61"/>
      <c r="BJ852" s="61"/>
      <c r="BK852" s="61"/>
      <c r="BL852" s="61"/>
      <c r="BM852" s="61"/>
      <c r="BN852" s="61"/>
      <c r="BO852" s="36" t="s">
        <v>327</v>
      </c>
      <c r="BP852" s="501">
        <v>331890</v>
      </c>
      <c r="BQ852" s="501">
        <v>382666</v>
      </c>
      <c r="BR852" s="501">
        <v>461600</v>
      </c>
      <c r="BS852" s="501">
        <v>590848</v>
      </c>
      <c r="BT852" s="501">
        <v>658242</v>
      </c>
      <c r="BU852" s="56"/>
      <c r="BV852" s="36" t="s">
        <v>327</v>
      </c>
      <c r="BW852" s="501">
        <v>331890</v>
      </c>
      <c r="BX852" s="501">
        <v>382666</v>
      </c>
      <c r="BY852" s="501">
        <v>461600</v>
      </c>
      <c r="BZ852" s="501">
        <v>590848</v>
      </c>
      <c r="CA852" s="501">
        <v>658242</v>
      </c>
      <c r="CB852" s="61"/>
      <c r="CC852" s="61"/>
      <c r="CD852" s="61"/>
      <c r="CE852" s="61"/>
      <c r="CF852" s="61"/>
      <c r="CG852" s="61"/>
      <c r="CH852" s="61"/>
      <c r="CI852" s="61"/>
      <c r="CJ852" s="61"/>
      <c r="CK852" s="61"/>
      <c r="CL852" s="61"/>
      <c r="CM852" s="61"/>
      <c r="CN852" s="61"/>
      <c r="CO852" s="61"/>
      <c r="CP852" s="61"/>
      <c r="CQ852" s="61"/>
      <c r="CR852" s="1446"/>
      <c r="CS852" s="61"/>
      <c r="CT852" s="61"/>
      <c r="CU852" s="61"/>
      <c r="CV852" s="61"/>
      <c r="CW852" s="61"/>
      <c r="CX852" s="61"/>
      <c r="CY852" s="61"/>
      <c r="CZ852" s="61"/>
      <c r="DA852" s="61"/>
      <c r="DB852" s="61"/>
      <c r="DC852" s="61"/>
      <c r="DD852" s="61"/>
      <c r="DE852" s="61"/>
      <c r="DF852" s="61"/>
    </row>
    <row r="853" spans="3:110" ht="12.95" customHeight="1">
      <c r="J853" s="76" t="s">
        <v>528</v>
      </c>
      <c r="K853" s="77"/>
      <c r="L853" s="77"/>
      <c r="M853" s="77"/>
      <c r="N853" s="77"/>
      <c r="O853" s="77"/>
      <c r="P853" s="77"/>
      <c r="Q853" s="77"/>
      <c r="R853" s="77"/>
      <c r="S853" s="77"/>
      <c r="T853" s="77"/>
      <c r="U853" s="77"/>
      <c r="V853" s="78"/>
      <c r="W853" s="2334">
        <v>10000</v>
      </c>
      <c r="X853" s="2334"/>
      <c r="Y853" s="2334"/>
      <c r="Z853" s="2334"/>
      <c r="AA853" s="2334"/>
      <c r="AB853" s="2334"/>
      <c r="AC853" s="2334"/>
      <c r="AZ853" s="61"/>
      <c r="BA853" s="61"/>
      <c r="BB853" s="61"/>
      <c r="BC853" s="61"/>
      <c r="BD853" s="61"/>
      <c r="BE853" s="61"/>
      <c r="BF853" s="61"/>
      <c r="BG853" s="61"/>
      <c r="BH853" s="61"/>
      <c r="BI853" s="61"/>
      <c r="BJ853" s="61"/>
      <c r="BK853" s="61"/>
      <c r="BL853" s="61"/>
      <c r="BM853" s="61"/>
      <c r="BN853" s="61"/>
      <c r="BU853" s="56"/>
      <c r="CB853" s="61"/>
      <c r="CC853" s="61"/>
      <c r="CD853" s="61"/>
      <c r="CE853" s="61"/>
      <c r="CF853" s="61"/>
      <c r="CG853" s="61"/>
      <c r="CH853" s="61"/>
      <c r="CI853" s="61"/>
      <c r="CJ853" s="61"/>
      <c r="CK853" s="61"/>
      <c r="CL853" s="61"/>
      <c r="CM853" s="61"/>
      <c r="CN853" s="61"/>
      <c r="CO853" s="61"/>
      <c r="CP853" s="61"/>
      <c r="CQ853" s="61"/>
      <c r="CR853" s="1446"/>
      <c r="CS853" s="61"/>
      <c r="CT853" s="61"/>
      <c r="CU853" s="61"/>
      <c r="CV853" s="61"/>
      <c r="CW853" s="61"/>
      <c r="CX853" s="61"/>
      <c r="CY853" s="61"/>
      <c r="CZ853" s="61"/>
      <c r="DA853" s="61"/>
      <c r="DB853" s="61"/>
      <c r="DC853" s="61"/>
      <c r="DD853" s="61"/>
      <c r="DE853" s="61"/>
      <c r="DF853" s="61"/>
    </row>
    <row r="854" spans="3:110" ht="12.95" customHeight="1">
      <c r="J854" s="76" t="s">
        <v>527</v>
      </c>
      <c r="K854" s="77"/>
      <c r="L854" s="77"/>
      <c r="M854" s="77"/>
      <c r="N854" s="77"/>
      <c r="O854" s="77"/>
      <c r="P854" s="77"/>
      <c r="Q854" s="77"/>
      <c r="R854" s="77"/>
      <c r="S854" s="77"/>
      <c r="T854" s="77"/>
      <c r="U854" s="77"/>
      <c r="V854" s="78"/>
      <c r="W854" s="2334">
        <v>7500</v>
      </c>
      <c r="X854" s="2334"/>
      <c r="Y854" s="2334"/>
      <c r="Z854" s="2334"/>
      <c r="AA854" s="2334"/>
      <c r="AB854" s="2334"/>
      <c r="AC854" s="2334"/>
      <c r="AZ854" s="61"/>
      <c r="BA854" s="61"/>
      <c r="BB854" s="61"/>
      <c r="BC854" s="61"/>
      <c r="BD854" s="61"/>
      <c r="BE854" s="61"/>
      <c r="BF854" s="61"/>
      <c r="BG854" s="61"/>
      <c r="BH854" s="61"/>
      <c r="BI854" s="61"/>
      <c r="BJ854" s="61"/>
      <c r="BK854" s="61"/>
      <c r="BL854" s="61"/>
      <c r="BM854" s="61"/>
      <c r="BN854" s="61"/>
      <c r="BU854" s="56"/>
      <c r="CB854" s="61"/>
      <c r="CC854" s="61"/>
      <c r="CD854" s="61"/>
      <c r="CE854" s="61"/>
      <c r="CF854" s="61"/>
      <c r="CG854" s="61"/>
      <c r="CH854" s="61"/>
      <c r="CI854" s="61"/>
      <c r="CJ854" s="61"/>
      <c r="CK854" s="61"/>
      <c r="CL854" s="61"/>
      <c r="CM854" s="61"/>
      <c r="CN854" s="61"/>
      <c r="CO854" s="61"/>
      <c r="CP854" s="61"/>
      <c r="CQ854" s="61"/>
      <c r="CR854" s="1446"/>
      <c r="CS854" s="61"/>
      <c r="CT854" s="61"/>
      <c r="CU854" s="61"/>
      <c r="CV854" s="61"/>
      <c r="CW854" s="61"/>
      <c r="CX854" s="61"/>
      <c r="CY854" s="61"/>
      <c r="CZ854" s="61"/>
      <c r="DA854" s="61"/>
      <c r="DB854" s="61"/>
      <c r="DC854" s="61"/>
      <c r="DD854" s="61"/>
      <c r="DE854" s="61"/>
      <c r="DF854" s="61"/>
    </row>
    <row r="855" spans="3:110" ht="12.95" customHeight="1">
      <c r="J855" s="76" t="s">
        <v>170</v>
      </c>
      <c r="K855" s="77"/>
      <c r="L855" s="77"/>
      <c r="M855" s="2325" t="s">
        <v>335</v>
      </c>
      <c r="N855" s="2326"/>
      <c r="O855" s="2326"/>
      <c r="P855" s="2326"/>
      <c r="Q855" s="2326"/>
      <c r="R855" s="2326"/>
      <c r="S855" s="2326"/>
      <c r="T855" s="2326"/>
      <c r="U855" s="2326"/>
      <c r="V855" s="2327"/>
      <c r="W855" s="2334"/>
      <c r="X855" s="2334"/>
      <c r="Y855" s="2334"/>
      <c r="Z855" s="2334"/>
      <c r="AA855" s="2334"/>
      <c r="AB855" s="2334"/>
      <c r="AC855" s="2334"/>
      <c r="AD855" s="899"/>
      <c r="AZ855" s="61"/>
      <c r="BA855" s="61"/>
      <c r="BB855" s="61"/>
      <c r="BC855" s="61"/>
      <c r="BD855" s="61"/>
      <c r="BE855" s="61"/>
      <c r="BF855" s="61"/>
      <c r="BG855" s="61"/>
      <c r="BH855" s="61"/>
      <c r="BI855" s="61"/>
      <c r="BJ855" s="61"/>
      <c r="BK855" s="61"/>
      <c r="BL855" s="61"/>
      <c r="BM855" s="61"/>
      <c r="BN855" s="61"/>
      <c r="CB855" s="61"/>
      <c r="CC855" s="61"/>
      <c r="CD855" s="61"/>
      <c r="CE855" s="61"/>
      <c r="CF855" s="61"/>
      <c r="CG855" s="61"/>
      <c r="CH855" s="61"/>
      <c r="CI855" s="61"/>
      <c r="CJ855" s="61"/>
      <c r="CK855" s="61"/>
      <c r="CL855" s="61"/>
      <c r="CM855" s="61"/>
      <c r="CN855" s="61"/>
      <c r="CO855" s="61"/>
      <c r="CP855" s="61"/>
      <c r="CQ855" s="61"/>
      <c r="CR855" s="1446"/>
      <c r="CS855" s="61"/>
      <c r="CT855" s="61"/>
      <c r="CU855" s="61"/>
      <c r="CV855" s="61"/>
      <c r="CW855" s="61"/>
      <c r="CX855" s="61"/>
      <c r="CY855" s="61"/>
      <c r="CZ855" s="61"/>
      <c r="DA855" s="61"/>
      <c r="DB855" s="61"/>
      <c r="DC855" s="61"/>
      <c r="DD855" s="61"/>
      <c r="DE855" s="61"/>
      <c r="DF855" s="61"/>
    </row>
    <row r="856" spans="3:110" ht="12.95" customHeight="1">
      <c r="J856" s="76"/>
      <c r="K856" s="77"/>
      <c r="L856" s="77"/>
      <c r="M856" s="77"/>
      <c r="N856" s="77"/>
      <c r="O856" s="77"/>
      <c r="P856" s="77"/>
      <c r="Q856" s="77"/>
      <c r="R856" s="77"/>
      <c r="S856" s="77"/>
      <c r="T856" s="77"/>
      <c r="U856" s="77"/>
      <c r="V856" s="86" t="s">
        <v>276</v>
      </c>
      <c r="W856" s="2356">
        <f>SUM(W849:AC855)</f>
        <v>61500</v>
      </c>
      <c r="X856" s="2356"/>
      <c r="Y856" s="2356"/>
      <c r="Z856" s="2356"/>
      <c r="AA856" s="2356"/>
      <c r="AB856" s="2356"/>
      <c r="AC856" s="2356"/>
      <c r="AZ856" s="61"/>
      <c r="BA856" s="61"/>
      <c r="BB856" s="61"/>
      <c r="BC856" s="61"/>
      <c r="BD856" s="61"/>
      <c r="BE856" s="61"/>
      <c r="BF856" s="61"/>
      <c r="BG856" s="61"/>
      <c r="BH856" s="61"/>
      <c r="BI856" s="61"/>
      <c r="BJ856" s="61"/>
      <c r="BK856" s="61"/>
      <c r="BL856" s="61"/>
      <c r="BM856" s="61"/>
      <c r="BN856" s="61"/>
      <c r="CB856" s="61"/>
      <c r="CC856" s="61"/>
      <c r="CD856" s="61"/>
      <c r="CE856" s="61"/>
      <c r="CF856" s="61"/>
      <c r="CG856" s="61"/>
      <c r="CH856" s="61"/>
      <c r="CI856" s="61"/>
      <c r="CJ856" s="61"/>
      <c r="CK856" s="61"/>
      <c r="CL856" s="61"/>
      <c r="CM856" s="61"/>
      <c r="CN856" s="61"/>
      <c r="CO856" s="61"/>
      <c r="CP856" s="61"/>
      <c r="CQ856" s="61"/>
      <c r="CR856" s="1446"/>
      <c r="CS856" s="61"/>
      <c r="CT856" s="61"/>
      <c r="CU856" s="61"/>
      <c r="CV856" s="61"/>
      <c r="CW856" s="61"/>
      <c r="CX856" s="61"/>
      <c r="CY856" s="61"/>
      <c r="CZ856" s="61"/>
      <c r="DA856" s="61"/>
      <c r="DB856" s="61"/>
      <c r="DC856" s="61"/>
      <c r="DD856" s="61"/>
      <c r="DE856" s="61"/>
      <c r="DF856" s="61"/>
    </row>
    <row r="857" spans="3:110" ht="12.95" customHeight="1">
      <c r="AZ857" s="61"/>
      <c r="BA857" s="61"/>
      <c r="BB857" s="61"/>
      <c r="BC857" s="61"/>
      <c r="BD857" s="61"/>
      <c r="BE857" s="61"/>
      <c r="BF857" s="61"/>
      <c r="BG857" s="61"/>
      <c r="BH857" s="61"/>
      <c r="BI857" s="61"/>
      <c r="BJ857" s="61"/>
      <c r="BK857" s="61"/>
      <c r="BL857" s="61"/>
      <c r="BM857" s="61"/>
      <c r="BN857" s="61"/>
      <c r="CB857" s="61"/>
      <c r="CC857" s="61"/>
      <c r="CD857" s="61"/>
      <c r="CE857" s="61"/>
      <c r="CF857" s="61"/>
      <c r="CG857" s="61"/>
      <c r="CH857" s="61"/>
      <c r="CI857" s="61"/>
      <c r="CJ857" s="61"/>
      <c r="CK857" s="61"/>
      <c r="CL857" s="61"/>
      <c r="CM857" s="61"/>
      <c r="CN857" s="61"/>
      <c r="CO857" s="61"/>
      <c r="CP857" s="61"/>
      <c r="CQ857" s="61"/>
      <c r="CR857" s="1446"/>
      <c r="CS857" s="61"/>
      <c r="CT857" s="61"/>
      <c r="CU857" s="61"/>
      <c r="CV857" s="61"/>
      <c r="CW857" s="61"/>
      <c r="CX857" s="61"/>
      <c r="CY857" s="61"/>
      <c r="CZ857" s="61"/>
      <c r="DA857" s="61"/>
      <c r="DB857" s="61"/>
      <c r="DC857" s="61"/>
      <c r="DD857" s="61"/>
      <c r="DE857" s="61"/>
      <c r="DF857" s="61"/>
    </row>
    <row r="858" spans="3:110" ht="12.95" customHeight="1">
      <c r="C858" s="50" t="s">
        <v>1390</v>
      </c>
      <c r="J858" s="76" t="s">
        <v>170</v>
      </c>
      <c r="K858" s="77"/>
      <c r="L858" s="77"/>
      <c r="M858" s="2325" t="s">
        <v>2754</v>
      </c>
      <c r="N858" s="2326"/>
      <c r="O858" s="2326"/>
      <c r="P858" s="2326"/>
      <c r="Q858" s="2326"/>
      <c r="R858" s="2326"/>
      <c r="S858" s="2326"/>
      <c r="T858" s="2326"/>
      <c r="U858" s="2326"/>
      <c r="V858" s="2327"/>
      <c r="W858" s="2328">
        <v>5000</v>
      </c>
      <c r="X858" s="2329"/>
      <c r="Y858" s="2329"/>
      <c r="Z858" s="2329"/>
      <c r="AA858" s="2329"/>
      <c r="AB858" s="2329"/>
      <c r="AC858" s="2330"/>
      <c r="AD858" s="899"/>
      <c r="AZ858" s="61"/>
      <c r="BA858" s="61"/>
      <c r="BB858" s="61"/>
      <c r="BC858" s="61"/>
      <c r="BD858" s="61"/>
      <c r="BE858" s="61"/>
      <c r="BF858" s="61"/>
      <c r="BG858" s="61"/>
      <c r="BH858" s="61"/>
      <c r="BI858" s="61"/>
      <c r="BJ858" s="61"/>
      <c r="BK858" s="61"/>
      <c r="BL858" s="61"/>
      <c r="BM858" s="61"/>
      <c r="BN858" s="61"/>
      <c r="BU858" s="56"/>
      <c r="CB858" s="61"/>
      <c r="CC858" s="61"/>
      <c r="CD858" s="61"/>
      <c r="CE858" s="61"/>
      <c r="CF858" s="61"/>
      <c r="CG858" s="61"/>
      <c r="CH858" s="61"/>
      <c r="CI858" s="61"/>
      <c r="CJ858" s="61"/>
      <c r="CK858" s="61"/>
      <c r="CL858" s="61"/>
      <c r="CM858" s="61"/>
      <c r="CN858" s="61"/>
      <c r="CO858" s="61"/>
      <c r="CP858" s="61"/>
      <c r="CQ858" s="61"/>
      <c r="CR858" s="1446"/>
      <c r="CS858" s="61"/>
      <c r="CT858" s="61"/>
      <c r="CU858" s="61"/>
      <c r="CV858" s="61"/>
      <c r="CW858" s="61"/>
      <c r="CX858" s="61"/>
      <c r="CY858" s="61"/>
      <c r="CZ858" s="61"/>
      <c r="DA858" s="61"/>
      <c r="DB858" s="61"/>
      <c r="DC858" s="61"/>
      <c r="DD858" s="61"/>
      <c r="DE858" s="61"/>
      <c r="DF858" s="61"/>
    </row>
    <row r="859" spans="3:110" ht="12.95" customHeight="1">
      <c r="C859" s="50" t="s">
        <v>1391</v>
      </c>
      <c r="J859" s="76" t="s">
        <v>170</v>
      </c>
      <c r="K859" s="77"/>
      <c r="L859" s="77"/>
      <c r="M859" s="2325" t="s">
        <v>2755</v>
      </c>
      <c r="N859" s="2326"/>
      <c r="O859" s="2326"/>
      <c r="P859" s="2326"/>
      <c r="Q859" s="2326"/>
      <c r="R859" s="2326"/>
      <c r="S859" s="2326"/>
      <c r="T859" s="2326"/>
      <c r="U859" s="2326"/>
      <c r="V859" s="2327"/>
      <c r="W859" s="2328">
        <v>15000</v>
      </c>
      <c r="X859" s="2329"/>
      <c r="Y859" s="2329"/>
      <c r="Z859" s="2329"/>
      <c r="AA859" s="2329"/>
      <c r="AB859" s="2329"/>
      <c r="AC859" s="2330"/>
      <c r="AD859" s="899"/>
      <c r="AZ859" s="61"/>
      <c r="BA859" s="61"/>
      <c r="BB859" s="61"/>
      <c r="BC859" s="61"/>
      <c r="BD859" s="61"/>
      <c r="BE859" s="61"/>
      <c r="BF859" s="61"/>
      <c r="BG859" s="61"/>
      <c r="BH859" s="61"/>
      <c r="BI859" s="61"/>
      <c r="BJ859" s="61"/>
      <c r="BK859" s="61"/>
      <c r="BL859" s="61"/>
      <c r="BM859" s="61"/>
      <c r="BN859" s="61"/>
      <c r="BU859" s="56"/>
      <c r="CB859" s="61"/>
      <c r="CC859" s="61"/>
      <c r="CD859" s="61"/>
      <c r="CE859" s="61"/>
      <c r="CF859" s="61"/>
      <c r="CG859" s="61"/>
      <c r="CH859" s="61"/>
      <c r="CI859" s="61"/>
      <c r="CJ859" s="61"/>
      <c r="CK859" s="61"/>
      <c r="CL859" s="61"/>
      <c r="CM859" s="61"/>
      <c r="CN859" s="61"/>
      <c r="CO859" s="61"/>
      <c r="CP859" s="61"/>
      <c r="CQ859" s="61"/>
      <c r="CR859" s="1446"/>
      <c r="CS859" s="61"/>
      <c r="CT859" s="61"/>
      <c r="CU859" s="61"/>
      <c r="CV859" s="61"/>
      <c r="CW859" s="61"/>
      <c r="CX859" s="61"/>
      <c r="CY859" s="61"/>
      <c r="CZ859" s="61"/>
      <c r="DA859" s="61"/>
      <c r="DB859" s="61"/>
      <c r="DC859" s="61"/>
      <c r="DD859" s="61"/>
      <c r="DE859" s="61"/>
      <c r="DF859" s="61"/>
    </row>
    <row r="860" spans="3:110" ht="12.95" customHeight="1">
      <c r="J860" s="76" t="s">
        <v>170</v>
      </c>
      <c r="K860" s="77"/>
      <c r="L860" s="77"/>
      <c r="M860" s="2325" t="s">
        <v>2756</v>
      </c>
      <c r="N860" s="2326"/>
      <c r="O860" s="2326"/>
      <c r="P860" s="2326"/>
      <c r="Q860" s="2326"/>
      <c r="R860" s="2326"/>
      <c r="S860" s="2326"/>
      <c r="T860" s="2326"/>
      <c r="U860" s="2326"/>
      <c r="V860" s="2327"/>
      <c r="W860" s="2328">
        <v>6900</v>
      </c>
      <c r="X860" s="2329"/>
      <c r="Y860" s="2329"/>
      <c r="Z860" s="2329"/>
      <c r="AA860" s="2329"/>
      <c r="AB860" s="2329"/>
      <c r="AC860" s="2330"/>
      <c r="AL860" s="51"/>
      <c r="AM860" s="56"/>
      <c r="AN860" s="56"/>
      <c r="AO860" s="56"/>
      <c r="AP860" s="56"/>
      <c r="AQ860" s="56"/>
      <c r="AR860" s="56"/>
      <c r="AS860" s="56"/>
      <c r="AT860" s="56"/>
      <c r="AU860" s="56"/>
      <c r="AV860" s="56"/>
      <c r="AW860" s="56"/>
      <c r="AX860" s="56"/>
      <c r="AY860" s="56"/>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1446"/>
      <c r="CS860" s="61"/>
      <c r="CT860" s="61"/>
      <c r="CU860" s="61"/>
      <c r="CV860" s="61"/>
      <c r="CW860" s="61"/>
      <c r="CX860" s="61"/>
      <c r="CY860" s="61"/>
      <c r="CZ860" s="61"/>
      <c r="DA860" s="61"/>
      <c r="DB860" s="61"/>
      <c r="DC860" s="61"/>
      <c r="DD860" s="61"/>
      <c r="DE860" s="61"/>
      <c r="DF860" s="61"/>
    </row>
    <row r="861" spans="3:110" ht="12.95" customHeight="1">
      <c r="J861" s="76" t="s">
        <v>170</v>
      </c>
      <c r="K861" s="77"/>
      <c r="L861" s="77"/>
      <c r="M861" s="2325" t="s">
        <v>335</v>
      </c>
      <c r="N861" s="2326"/>
      <c r="O861" s="2326"/>
      <c r="P861" s="2326"/>
      <c r="Q861" s="2326"/>
      <c r="R861" s="2326"/>
      <c r="S861" s="2326"/>
      <c r="T861" s="2326"/>
      <c r="U861" s="2326"/>
      <c r="V861" s="2327"/>
      <c r="W861" s="2328"/>
      <c r="X861" s="2329"/>
      <c r="Y861" s="2329"/>
      <c r="Z861" s="2329"/>
      <c r="AA861" s="2329"/>
      <c r="AB861" s="2329"/>
      <c r="AC861" s="2330"/>
      <c r="AL861" s="51"/>
      <c r="AM861" s="56"/>
      <c r="AN861" s="56"/>
      <c r="AO861" s="56"/>
      <c r="AP861" s="56"/>
      <c r="AQ861" s="56"/>
      <c r="AR861" s="56"/>
      <c r="AS861" s="56"/>
      <c r="AT861" s="56"/>
      <c r="AU861" s="56"/>
      <c r="AV861" s="56"/>
      <c r="AW861" s="56"/>
      <c r="AX861" s="56"/>
      <c r="AY861" s="56"/>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1446"/>
      <c r="CS861" s="61"/>
      <c r="CT861" s="61"/>
      <c r="CU861" s="61"/>
      <c r="CV861" s="61"/>
      <c r="CW861" s="61"/>
      <c r="CX861" s="61"/>
      <c r="CY861" s="61"/>
      <c r="CZ861" s="61"/>
      <c r="DA861" s="61"/>
      <c r="DB861" s="61"/>
      <c r="DC861" s="61"/>
      <c r="DD861" s="61"/>
      <c r="DE861" s="61"/>
      <c r="DF861" s="61"/>
    </row>
    <row r="862" spans="3:110" ht="12.95" customHeight="1">
      <c r="J862" s="76" t="s">
        <v>170</v>
      </c>
      <c r="K862" s="77"/>
      <c r="L862" s="77"/>
      <c r="M862" s="2325" t="s">
        <v>335</v>
      </c>
      <c r="N862" s="2326"/>
      <c r="O862" s="2326"/>
      <c r="P862" s="2326"/>
      <c r="Q862" s="2326"/>
      <c r="R862" s="2326"/>
      <c r="S862" s="2326"/>
      <c r="T862" s="2326"/>
      <c r="U862" s="2326"/>
      <c r="V862" s="2327"/>
      <c r="W862" s="2328"/>
      <c r="X862" s="2329"/>
      <c r="Y862" s="2329"/>
      <c r="Z862" s="2329"/>
      <c r="AA862" s="2329"/>
      <c r="AB862" s="2329"/>
      <c r="AC862" s="2330"/>
      <c r="AL862" s="51"/>
      <c r="AM862" s="56"/>
      <c r="AN862" s="56"/>
      <c r="AO862" s="56"/>
      <c r="AP862" s="56"/>
      <c r="AQ862" s="56"/>
      <c r="AR862" s="56"/>
      <c r="AS862" s="56"/>
      <c r="AT862" s="56"/>
      <c r="AU862" s="56"/>
      <c r="AV862" s="56"/>
      <c r="AW862" s="56"/>
      <c r="AX862" s="56"/>
      <c r="AY862" s="56"/>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1446"/>
      <c r="CS862" s="61"/>
      <c r="CT862" s="61"/>
      <c r="CU862" s="61"/>
      <c r="CV862" s="61"/>
      <c r="CW862" s="61"/>
      <c r="CX862" s="61"/>
      <c r="CY862" s="61"/>
      <c r="CZ862" s="61"/>
      <c r="DA862" s="61"/>
      <c r="DB862" s="61"/>
      <c r="DC862" s="61"/>
      <c r="DD862" s="61"/>
      <c r="DE862" s="61"/>
      <c r="DF862" s="61"/>
    </row>
    <row r="863" spans="3:110" ht="12.95" customHeight="1">
      <c r="J863" s="76"/>
      <c r="K863" s="77"/>
      <c r="L863" s="77"/>
      <c r="M863" s="77"/>
      <c r="N863" s="77"/>
      <c r="O863" s="77"/>
      <c r="P863" s="77"/>
      <c r="Q863" s="77"/>
      <c r="R863" s="77"/>
      <c r="S863" s="77"/>
      <c r="T863" s="77"/>
      <c r="U863" s="77"/>
      <c r="V863" s="86" t="s">
        <v>277</v>
      </c>
      <c r="W863" s="2243">
        <f>SUM(W858:AC862)</f>
        <v>26900</v>
      </c>
      <c r="X863" s="2244"/>
      <c r="Y863" s="2244"/>
      <c r="Z863" s="2244"/>
      <c r="AA863" s="2244"/>
      <c r="AB863" s="2244"/>
      <c r="AC863" s="2245"/>
      <c r="AL863" s="51"/>
      <c r="AM863" s="56"/>
      <c r="AN863" s="56"/>
      <c r="AO863" s="56"/>
      <c r="AP863" s="56"/>
      <c r="AQ863" s="56"/>
      <c r="AR863" s="56"/>
      <c r="AS863" s="56"/>
      <c r="AT863" s="56"/>
      <c r="AU863" s="56"/>
      <c r="AV863" s="56"/>
      <c r="AW863" s="56"/>
      <c r="AX863" s="56"/>
      <c r="AY863" s="56"/>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1446"/>
      <c r="CS863" s="61"/>
      <c r="CT863" s="61"/>
      <c r="CU863" s="61"/>
      <c r="CV863" s="61"/>
      <c r="CW863" s="61"/>
      <c r="CX863" s="61"/>
      <c r="CY863" s="61"/>
      <c r="CZ863" s="61"/>
      <c r="DA863" s="61"/>
      <c r="DB863" s="61"/>
      <c r="DC863" s="61"/>
      <c r="DD863" s="61"/>
      <c r="DE863" s="61"/>
      <c r="DF863" s="61"/>
    </row>
    <row r="864" spans="3:110" ht="12.95" customHeight="1">
      <c r="E864" s="893"/>
      <c r="J864" s="25"/>
      <c r="K864" s="25"/>
      <c r="L864" s="25"/>
      <c r="M864" s="25"/>
      <c r="N864" s="25"/>
      <c r="O864" s="25"/>
      <c r="P864" s="25"/>
      <c r="Q864" s="25"/>
      <c r="R864" s="25"/>
      <c r="S864" s="25"/>
      <c r="T864" s="25"/>
      <c r="U864" s="25"/>
      <c r="V864" s="89"/>
      <c r="W864" s="100"/>
      <c r="X864" s="100"/>
      <c r="Y864" s="100"/>
      <c r="Z864" s="100"/>
      <c r="AA864" s="100"/>
      <c r="AB864" s="100"/>
      <c r="AL864" s="51"/>
      <c r="AM864" s="56"/>
      <c r="AN864" s="56"/>
      <c r="AO864" s="56"/>
      <c r="AP864" s="56"/>
      <c r="AQ864" s="56"/>
      <c r="AR864" s="56"/>
      <c r="AS864" s="56"/>
      <c r="AT864" s="56"/>
      <c r="AU864" s="56"/>
      <c r="AV864" s="56"/>
      <c r="AW864" s="56"/>
      <c r="AX864" s="56"/>
      <c r="AY864" s="56"/>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1446"/>
      <c r="CS864" s="61"/>
      <c r="CT864" s="61"/>
      <c r="CU864" s="61"/>
      <c r="CV864" s="61"/>
      <c r="CW864" s="61"/>
      <c r="CX864" s="61"/>
      <c r="CY864" s="61"/>
      <c r="CZ864" s="61"/>
      <c r="DA864" s="61"/>
      <c r="DB864" s="61"/>
      <c r="DC864" s="61"/>
      <c r="DD864" s="61"/>
      <c r="DE864" s="61"/>
      <c r="DF864" s="61"/>
    </row>
    <row r="865" spans="1:110" ht="12.95" customHeight="1">
      <c r="C865" s="50" t="s">
        <v>178</v>
      </c>
      <c r="I865" s="899"/>
      <c r="J865" s="900"/>
      <c r="K865" s="25"/>
      <c r="L865" s="25"/>
      <c r="M865" s="25"/>
      <c r="N865" s="25"/>
      <c r="O865" s="25"/>
      <c r="P865" s="25"/>
      <c r="Q865" s="25"/>
      <c r="R865" s="25"/>
      <c r="S865" s="25"/>
      <c r="T865" s="25"/>
      <c r="U865" s="25"/>
      <c r="V865" s="89"/>
      <c r="W865" s="100"/>
      <c r="X865" s="100"/>
      <c r="Y865" s="100"/>
      <c r="Z865" s="100"/>
      <c r="AA865" s="100"/>
      <c r="AB865" s="100"/>
      <c r="AL865" s="7"/>
      <c r="AM865" s="130"/>
      <c r="AN865" s="130"/>
      <c r="AO865" s="130"/>
      <c r="AP865" s="130"/>
      <c r="AQ865" s="130"/>
      <c r="AR865" s="130"/>
      <c r="AS865" s="130"/>
      <c r="AT865" s="130"/>
      <c r="AU865" s="130"/>
      <c r="AV865" s="130"/>
      <c r="AW865" s="130"/>
      <c r="AX865" s="130"/>
      <c r="AY865" s="130"/>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1446"/>
      <c r="CS865" s="61"/>
      <c r="CT865" s="61"/>
      <c r="CU865" s="61"/>
      <c r="CV865" s="61"/>
      <c r="CW865" s="61"/>
      <c r="CX865" s="61"/>
      <c r="CY865" s="61"/>
      <c r="CZ865" s="61"/>
      <c r="DA865" s="61"/>
      <c r="DB865" s="61"/>
      <c r="DC865" s="61"/>
      <c r="DD865" s="61"/>
      <c r="DE865" s="61"/>
      <c r="DF865" s="61"/>
    </row>
    <row r="866" spans="1:110" ht="12.95" customHeight="1">
      <c r="E866" s="893"/>
      <c r="J866" s="25"/>
      <c r="K866" s="25"/>
      <c r="L866" s="25"/>
      <c r="M866" s="25"/>
      <c r="N866" s="25"/>
      <c r="O866" s="25"/>
      <c r="P866" s="25"/>
      <c r="Q866" s="25"/>
      <c r="R866" s="25"/>
      <c r="S866" s="25"/>
      <c r="T866" s="25"/>
      <c r="U866" s="25"/>
      <c r="V866" s="89"/>
      <c r="W866" s="100"/>
      <c r="X866" s="100"/>
      <c r="Y866" s="100"/>
      <c r="Z866" s="100"/>
      <c r="AA866" s="100"/>
      <c r="AB866" s="100"/>
      <c r="AL866" s="7"/>
      <c r="AM866" s="130"/>
      <c r="AN866" s="130"/>
      <c r="AO866" s="130"/>
      <c r="AP866" s="130"/>
      <c r="AQ866" s="130"/>
      <c r="AR866" s="130"/>
      <c r="AS866" s="130"/>
      <c r="AT866" s="130"/>
      <c r="AU866" s="130"/>
      <c r="AV866" s="130"/>
      <c r="AW866" s="130"/>
      <c r="AX866" s="130"/>
      <c r="AY866" s="130"/>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1446"/>
      <c r="CS866" s="61"/>
      <c r="CT866" s="61"/>
      <c r="CU866" s="61"/>
      <c r="CV866" s="61"/>
      <c r="CW866" s="61"/>
      <c r="CX866" s="61"/>
      <c r="CY866" s="61"/>
      <c r="CZ866" s="61"/>
      <c r="DA866" s="61"/>
      <c r="DB866" s="61"/>
      <c r="DC866" s="61"/>
      <c r="DD866" s="61"/>
      <c r="DE866" s="61"/>
      <c r="DF866" s="61"/>
    </row>
    <row r="867" spans="1:110" ht="12.95" customHeight="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1404" t="s">
        <v>278</v>
      </c>
      <c r="AC867" s="2244">
        <f>W831+W839+W846+W847+W856+W863+W833</f>
        <v>386794</v>
      </c>
      <c r="AD867" s="2244"/>
      <c r="AE867" s="2244"/>
      <c r="AF867" s="2244"/>
      <c r="AG867" s="2244"/>
      <c r="AH867" s="2245"/>
      <c r="AL867" s="7"/>
      <c r="AM867" s="130"/>
      <c r="AN867" s="130"/>
      <c r="AO867" s="130"/>
      <c r="AP867" s="130"/>
      <c r="AQ867" s="130"/>
      <c r="AR867" s="130"/>
      <c r="AS867" s="130"/>
      <c r="AT867" s="130"/>
      <c r="AU867" s="130"/>
      <c r="AV867" s="130"/>
      <c r="AW867" s="130"/>
      <c r="AX867" s="130"/>
      <c r="AY867" s="130"/>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1446"/>
      <c r="CS867" s="61"/>
      <c r="CT867" s="61"/>
      <c r="CU867" s="61"/>
      <c r="CV867" s="61"/>
      <c r="CW867" s="61"/>
      <c r="CX867" s="61"/>
      <c r="CY867" s="61"/>
      <c r="CZ867" s="61"/>
      <c r="DA867" s="61"/>
      <c r="DB867" s="61"/>
      <c r="DC867" s="61"/>
      <c r="DD867" s="61"/>
      <c r="DE867" s="61"/>
      <c r="DF867" s="61"/>
    </row>
    <row r="868" spans="1:110" ht="12.95" customHeight="1">
      <c r="C868" s="71"/>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1404" t="s">
        <v>520</v>
      </c>
      <c r="AC868" s="2393">
        <f>O782+O762+G739</f>
        <v>71</v>
      </c>
      <c r="AD868" s="2393"/>
      <c r="AE868" s="2393"/>
      <c r="AF868" s="2393"/>
      <c r="AG868" s="2393"/>
      <c r="AH868" s="2394"/>
      <c r="AL868" s="7"/>
      <c r="AM868" s="130"/>
      <c r="AN868" s="130"/>
      <c r="AO868" s="130"/>
      <c r="AP868" s="130"/>
      <c r="AQ868" s="130"/>
      <c r="AR868" s="130"/>
      <c r="AS868" s="130"/>
      <c r="AT868" s="130"/>
      <c r="AU868" s="130"/>
      <c r="AV868" s="130"/>
      <c r="AW868" s="130"/>
      <c r="AX868" s="130"/>
      <c r="AY868" s="130"/>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1446"/>
      <c r="CS868" s="61"/>
      <c r="CT868" s="61"/>
      <c r="CU868" s="61"/>
      <c r="CV868" s="61"/>
      <c r="CW868" s="61"/>
      <c r="CX868" s="61"/>
      <c r="CY868" s="61"/>
      <c r="CZ868" s="61"/>
      <c r="DA868" s="61"/>
      <c r="DB868" s="61"/>
      <c r="DC868" s="61"/>
      <c r="DD868" s="61"/>
      <c r="DE868" s="61"/>
      <c r="DF868" s="61"/>
    </row>
    <row r="869" spans="1:110" ht="12.95" customHeight="1">
      <c r="C869" s="71"/>
      <c r="D869" s="72"/>
      <c r="E869" s="2364" t="s">
        <v>32</v>
      </c>
      <c r="F869" s="2364"/>
      <c r="G869" s="2364"/>
      <c r="H869" s="2364"/>
      <c r="I869" s="2364"/>
      <c r="J869" s="2364"/>
      <c r="K869" s="2364"/>
      <c r="L869" s="2364"/>
      <c r="M869" s="2364"/>
      <c r="N869" s="2364"/>
      <c r="O869" s="2364"/>
      <c r="P869" s="2364"/>
      <c r="Q869" s="2364"/>
      <c r="R869" s="2364"/>
      <c r="S869" s="2364"/>
      <c r="T869" s="2364"/>
      <c r="U869" s="2364"/>
      <c r="V869" s="2364"/>
      <c r="W869" s="2364"/>
      <c r="X869" s="2364"/>
      <c r="Y869" s="2364"/>
      <c r="Z869" s="2364"/>
      <c r="AA869" s="2364"/>
      <c r="AB869" s="2365"/>
      <c r="AC869" s="2356">
        <f>IF(ISERROR((ROUNDDOWN(AC867/AC868,0))),0,(ROUNDDOWN(AC867/AC868,0)))</f>
        <v>5447</v>
      </c>
      <c r="AD869" s="2356"/>
      <c r="AE869" s="2356"/>
      <c r="AF869" s="2356"/>
      <c r="AG869" s="2356"/>
      <c r="AH869" s="2356"/>
      <c r="AL869" s="7"/>
      <c r="AM869" s="130"/>
      <c r="AN869" s="130"/>
      <c r="AO869" s="130"/>
      <c r="AP869" s="130"/>
      <c r="AQ869" s="130"/>
      <c r="AR869" s="130"/>
      <c r="AS869" s="130"/>
      <c r="AT869" s="130"/>
      <c r="AU869" s="130"/>
      <c r="AV869" s="130"/>
      <c r="AW869" s="130"/>
      <c r="AX869" s="130"/>
      <c r="AY869" s="130"/>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1446"/>
      <c r="CS869" s="61"/>
      <c r="CT869" s="61"/>
      <c r="CU869" s="61"/>
      <c r="CV869" s="61"/>
      <c r="CW869" s="61"/>
      <c r="CX869" s="61"/>
      <c r="CY869" s="61"/>
      <c r="CZ869" s="61"/>
      <c r="DA869" s="61"/>
      <c r="DB869" s="61"/>
      <c r="DC869" s="61"/>
      <c r="DD869" s="61"/>
      <c r="DE869" s="61"/>
      <c r="DF869" s="61"/>
    </row>
    <row r="870" spans="1:110" ht="12.95" customHeight="1">
      <c r="C870" s="76"/>
      <c r="D870" s="148"/>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1377" t="s">
        <v>785</v>
      </c>
      <c r="AC870" s="2332"/>
      <c r="AD870" s="2333"/>
      <c r="AE870" s="2333"/>
      <c r="AF870" s="2333"/>
      <c r="AG870" s="2333"/>
      <c r="AH870" s="2333"/>
      <c r="AL870" s="7"/>
      <c r="AM870" s="130"/>
      <c r="AN870" s="130"/>
      <c r="AO870" s="130"/>
      <c r="AP870" s="130"/>
      <c r="AQ870" s="130"/>
      <c r="AR870" s="130"/>
      <c r="AS870" s="130"/>
      <c r="AT870" s="130"/>
      <c r="AU870" s="130"/>
      <c r="AV870" s="130"/>
      <c r="AW870" s="130"/>
      <c r="AX870" s="130"/>
      <c r="AY870" s="130"/>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1446"/>
      <c r="CS870" s="61"/>
      <c r="CT870" s="61"/>
      <c r="CU870" s="61"/>
      <c r="CV870" s="61"/>
      <c r="CW870" s="61"/>
      <c r="CX870" s="61"/>
      <c r="CY870" s="61"/>
      <c r="CZ870" s="61"/>
      <c r="DA870" s="61"/>
      <c r="DB870" s="61"/>
      <c r="DC870" s="61"/>
      <c r="DD870" s="61"/>
      <c r="DE870" s="61"/>
      <c r="DF870" s="61"/>
    </row>
    <row r="871" spans="1:110" ht="12.95" customHeight="1">
      <c r="C871" s="76"/>
      <c r="D871" s="148"/>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1377" t="s">
        <v>1301</v>
      </c>
      <c r="AC871" s="2330"/>
      <c r="AD871" s="2334"/>
      <c r="AE871" s="2334"/>
      <c r="AF871" s="2334"/>
      <c r="AG871" s="2334"/>
      <c r="AH871" s="2334"/>
      <c r="AL871" s="7"/>
      <c r="AM871" s="130"/>
      <c r="AN871" s="130"/>
      <c r="AO871" s="130"/>
      <c r="AP871" s="130"/>
      <c r="AQ871" s="130"/>
      <c r="AR871" s="130"/>
      <c r="AS871" s="130"/>
      <c r="AT871" s="130"/>
      <c r="AU871" s="130"/>
      <c r="AV871" s="130"/>
      <c r="AW871" s="130"/>
      <c r="AX871" s="130"/>
      <c r="AY871" s="130"/>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1446"/>
      <c r="CS871" s="61"/>
      <c r="CT871" s="61"/>
      <c r="CU871" s="61"/>
      <c r="CV871" s="61"/>
      <c r="CW871" s="61"/>
      <c r="CX871" s="61"/>
      <c r="CY871" s="61"/>
      <c r="CZ871" s="61"/>
      <c r="DA871" s="61"/>
      <c r="DB871" s="61"/>
      <c r="DC871" s="61"/>
      <c r="DD871" s="61"/>
      <c r="DE871" s="61"/>
      <c r="DF871" s="61"/>
    </row>
    <row r="872" spans="1:110" ht="12.95" customHeight="1">
      <c r="C872" s="76"/>
      <c r="D872" s="148"/>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1377" t="s">
        <v>519</v>
      </c>
      <c r="AC872" s="2329">
        <v>100000</v>
      </c>
      <c r="AD872" s="2329"/>
      <c r="AE872" s="2329"/>
      <c r="AF872" s="2329"/>
      <c r="AG872" s="2329"/>
      <c r="AH872" s="2330"/>
      <c r="AL872" s="7"/>
      <c r="AM872" s="130"/>
      <c r="AN872" s="130"/>
      <c r="AO872" s="130"/>
      <c r="AP872" s="130"/>
      <c r="AQ872" s="130"/>
      <c r="AR872" s="130"/>
      <c r="AS872" s="130"/>
      <c r="AT872" s="130"/>
      <c r="AU872" s="130"/>
      <c r="AV872" s="130"/>
      <c r="AW872" s="130"/>
      <c r="AX872" s="130"/>
      <c r="AY872" s="130"/>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1446"/>
      <c r="CS872" s="61"/>
      <c r="CT872" s="61"/>
      <c r="CU872" s="61"/>
      <c r="CV872" s="61"/>
      <c r="CW872" s="61"/>
      <c r="CX872" s="61"/>
      <c r="CY872" s="61"/>
      <c r="CZ872" s="61"/>
      <c r="DA872" s="61"/>
      <c r="DB872" s="61"/>
      <c r="DC872" s="61"/>
      <c r="DD872" s="61"/>
      <c r="DE872" s="61"/>
      <c r="DF872" s="61"/>
    </row>
    <row r="873" spans="1:110" ht="12.95" customHeight="1">
      <c r="C873" s="76"/>
      <c r="D873" s="148"/>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1377" t="s">
        <v>81</v>
      </c>
      <c r="AC873" s="2329">
        <v>34500</v>
      </c>
      <c r="AD873" s="2329"/>
      <c r="AE873" s="2329"/>
      <c r="AF873" s="2329"/>
      <c r="AG873" s="2329"/>
      <c r="AH873" s="2330"/>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1446"/>
      <c r="CS873" s="61"/>
      <c r="CT873" s="61"/>
      <c r="CU873" s="61"/>
      <c r="CV873" s="61"/>
      <c r="CW873" s="61"/>
      <c r="CX873" s="61"/>
      <c r="CY873" s="61"/>
      <c r="CZ873" s="61"/>
      <c r="DA873" s="61"/>
      <c r="DB873" s="61"/>
      <c r="DC873" s="61"/>
      <c r="DD873" s="61"/>
      <c r="DE873" s="61"/>
      <c r="DF873" s="61"/>
    </row>
    <row r="874" spans="1:110" s="708" customFormat="1" ht="12.95" customHeight="1">
      <c r="C874" s="76"/>
      <c r="D874" s="148"/>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1399" t="s">
        <v>1931</v>
      </c>
      <c r="AC874" s="2295"/>
      <c r="AD874" s="2296"/>
      <c r="AE874" s="2296"/>
      <c r="AF874" s="2296"/>
      <c r="AG874" s="2296"/>
      <c r="AH874" s="2297"/>
      <c r="AM874" s="39"/>
      <c r="AN874" s="39"/>
      <c r="AO874" s="39"/>
      <c r="AP874" s="39"/>
      <c r="AQ874" s="39"/>
      <c r="AR874" s="39"/>
      <c r="AS874" s="39"/>
      <c r="AT874" s="39"/>
      <c r="AU874" s="39"/>
      <c r="AV874" s="39"/>
      <c r="AW874" s="39"/>
      <c r="AX874" s="39"/>
      <c r="AY874" s="39"/>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46"/>
      <c r="CS874" s="61"/>
      <c r="CT874" s="61"/>
      <c r="CU874" s="61"/>
      <c r="CV874" s="61"/>
      <c r="CW874" s="61"/>
      <c r="CX874" s="61"/>
      <c r="CY874" s="61"/>
      <c r="CZ874" s="61"/>
      <c r="DA874" s="61"/>
      <c r="DB874" s="61"/>
      <c r="DC874" s="61"/>
      <c r="DD874" s="61"/>
      <c r="DE874" s="61"/>
      <c r="DF874" s="61"/>
    </row>
    <row r="875" spans="1:110" ht="12.95" customHeight="1">
      <c r="A875" s="708"/>
      <c r="B875" s="708"/>
      <c r="C875" s="76"/>
      <c r="D875" s="148"/>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1377" t="s">
        <v>82</v>
      </c>
      <c r="AC875" s="2329">
        <v>7000</v>
      </c>
      <c r="AD875" s="2329"/>
      <c r="AE875" s="2329"/>
      <c r="AF875" s="2329"/>
      <c r="AG875" s="2329"/>
      <c r="AH875" s="2330"/>
      <c r="AI875" s="708"/>
      <c r="AJ875" s="708"/>
      <c r="AK875" s="708"/>
      <c r="AL875" s="708"/>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46"/>
      <c r="CS875" s="61"/>
      <c r="CT875" s="61"/>
      <c r="CU875" s="61"/>
      <c r="CV875" s="61"/>
      <c r="CW875" s="61"/>
      <c r="CX875" s="61"/>
      <c r="CY875" s="61"/>
      <c r="CZ875" s="61"/>
      <c r="DA875" s="61"/>
      <c r="DB875" s="61"/>
      <c r="DC875" s="61"/>
      <c r="DD875" s="61"/>
      <c r="DE875" s="61"/>
      <c r="DF875" s="61"/>
    </row>
    <row r="876" spans="1:110" ht="12.95" customHeight="1">
      <c r="C876" s="76"/>
      <c r="D876" s="148"/>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1377" t="s">
        <v>1836</v>
      </c>
      <c r="AC876" s="2329"/>
      <c r="AD876" s="2329"/>
      <c r="AE876" s="2329"/>
      <c r="AF876" s="2329"/>
      <c r="AG876" s="2329"/>
      <c r="AH876" s="2330"/>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46"/>
      <c r="CS876" s="61"/>
      <c r="CT876" s="61"/>
      <c r="CU876" s="61"/>
      <c r="CV876" s="61"/>
      <c r="CW876" s="61"/>
      <c r="CX876" s="61"/>
      <c r="CY876" s="61"/>
      <c r="CZ876" s="61"/>
      <c r="DA876" s="61"/>
      <c r="DB876" s="61"/>
      <c r="DC876" s="61"/>
      <c r="DD876" s="61"/>
      <c r="DE876" s="61"/>
      <c r="DF876" s="61"/>
    </row>
    <row r="877" spans="1:110" s="708" customFormat="1" ht="12.95" customHeight="1">
      <c r="A877" s="12"/>
      <c r="B877" s="12"/>
      <c r="C877" s="2357" t="s">
        <v>2757</v>
      </c>
      <c r="D877" s="2358"/>
      <c r="E877" s="2358"/>
      <c r="F877" s="2358"/>
      <c r="G877" s="2358"/>
      <c r="H877" s="2358"/>
      <c r="I877" s="2358"/>
      <c r="J877" s="2358"/>
      <c r="K877" s="2358"/>
      <c r="L877" s="2358"/>
      <c r="M877" s="2358"/>
      <c r="N877" s="2358"/>
      <c r="O877" s="2358"/>
      <c r="P877" s="2358"/>
      <c r="Q877" s="2358"/>
      <c r="R877" s="2358"/>
      <c r="S877" s="2358"/>
      <c r="T877" s="2358"/>
      <c r="U877" s="2358"/>
      <c r="V877" s="2358"/>
      <c r="W877" s="2358"/>
      <c r="X877" s="2358"/>
      <c r="Y877" s="2358"/>
      <c r="Z877" s="2358"/>
      <c r="AA877" s="2358"/>
      <c r="AB877" s="2359"/>
      <c r="AC877" s="2334">
        <v>15000</v>
      </c>
      <c r="AD877" s="2334"/>
      <c r="AE877" s="2334"/>
      <c r="AF877" s="2334"/>
      <c r="AG877" s="2334"/>
      <c r="AH877" s="2334"/>
      <c r="AI877" s="12"/>
      <c r="AJ877" s="12"/>
      <c r="AK877" s="12"/>
      <c r="AL877" s="12"/>
      <c r="AM877" s="39"/>
      <c r="AN877" s="39"/>
      <c r="AO877" s="39"/>
      <c r="AP877" s="39"/>
      <c r="AQ877" s="39"/>
      <c r="AR877" s="39"/>
      <c r="AS877" s="39"/>
      <c r="AT877" s="39"/>
      <c r="AU877" s="39"/>
      <c r="AV877" s="39"/>
      <c r="AW877" s="39"/>
      <c r="AX877" s="39"/>
      <c r="AY877" s="39"/>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46"/>
      <c r="CS877" s="61"/>
      <c r="CT877" s="61"/>
      <c r="CU877" s="61"/>
      <c r="CV877" s="61"/>
      <c r="CW877" s="61"/>
      <c r="CX877" s="61"/>
      <c r="CY877" s="61"/>
      <c r="CZ877" s="61"/>
      <c r="DA877" s="61"/>
      <c r="DB877" s="61"/>
      <c r="DC877" s="61"/>
      <c r="DD877" s="61"/>
      <c r="DE877" s="61"/>
      <c r="DF877" s="61"/>
    </row>
    <row r="878" spans="1:110" ht="12.95" customHeight="1">
      <c r="C878" s="2357" t="s">
        <v>2758</v>
      </c>
      <c r="D878" s="2358"/>
      <c r="E878" s="2358"/>
      <c r="F878" s="2358"/>
      <c r="G878" s="2358"/>
      <c r="H878" s="2358"/>
      <c r="I878" s="2358"/>
      <c r="J878" s="2358"/>
      <c r="K878" s="2358"/>
      <c r="L878" s="2358"/>
      <c r="M878" s="2358"/>
      <c r="N878" s="2358"/>
      <c r="O878" s="2358"/>
      <c r="P878" s="2358"/>
      <c r="Q878" s="2358"/>
      <c r="R878" s="2358"/>
      <c r="S878" s="2358"/>
      <c r="T878" s="2358"/>
      <c r="U878" s="2358"/>
      <c r="V878" s="2358"/>
      <c r="W878" s="2358"/>
      <c r="X878" s="2358"/>
      <c r="Y878" s="2358"/>
      <c r="Z878" s="2358"/>
      <c r="AA878" s="2358"/>
      <c r="AB878" s="2359"/>
      <c r="AC878" s="2334">
        <v>10000</v>
      </c>
      <c r="AD878" s="2334"/>
      <c r="AE878" s="2334"/>
      <c r="AF878" s="2334"/>
      <c r="AG878" s="2334"/>
      <c r="AH878" s="2334"/>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46"/>
      <c r="CS878" s="61"/>
      <c r="CT878" s="61"/>
      <c r="CU878" s="61"/>
      <c r="CV878" s="61"/>
      <c r="CW878" s="61"/>
      <c r="CX878" s="61"/>
      <c r="CY878" s="61"/>
      <c r="CZ878" s="61"/>
      <c r="DA878" s="61"/>
      <c r="DB878" s="61"/>
      <c r="DC878" s="61"/>
      <c r="DD878" s="61"/>
      <c r="DE878" s="61"/>
      <c r="DF878" s="61"/>
    </row>
    <row r="879" spans="1:110" ht="12.95" customHeight="1">
      <c r="A879" s="39"/>
      <c r="B879" s="39"/>
      <c r="C879" s="39"/>
      <c r="D879" s="3"/>
      <c r="E879" s="897"/>
      <c r="F879" s="3"/>
      <c r="G879" s="3"/>
      <c r="H879" s="3"/>
      <c r="I879" s="3"/>
      <c r="J879" s="3"/>
      <c r="K879" s="3"/>
      <c r="L879" s="3"/>
      <c r="M879" s="3"/>
      <c r="N879" s="3"/>
      <c r="O879" s="3"/>
      <c r="P879" s="3"/>
      <c r="Q879" s="3"/>
      <c r="R879" s="3"/>
      <c r="S879" s="3"/>
      <c r="T879" s="3"/>
      <c r="U879" s="3"/>
      <c r="V879" s="3"/>
      <c r="W879" s="3"/>
      <c r="X879" s="3"/>
      <c r="Y879" s="3"/>
      <c r="Z879" s="3"/>
      <c r="AA879" s="3"/>
      <c r="AB879" s="91"/>
      <c r="AC879" s="187"/>
      <c r="AD879" s="187"/>
      <c r="AE879" s="187"/>
      <c r="AF879" s="187"/>
      <c r="AG879" s="187"/>
      <c r="AH879" s="187"/>
      <c r="AI879" s="39"/>
      <c r="AJ879" s="39"/>
      <c r="AK879" s="39"/>
      <c r="AL879" s="39"/>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46"/>
      <c r="CS879" s="61"/>
      <c r="CT879" s="61"/>
      <c r="CU879" s="61"/>
      <c r="CV879" s="61"/>
      <c r="CW879" s="61"/>
      <c r="CX879" s="61"/>
      <c r="CY879" s="61"/>
      <c r="CZ879" s="61"/>
      <c r="DA879" s="61"/>
      <c r="DB879" s="61"/>
      <c r="DC879" s="61"/>
      <c r="DD879" s="61"/>
      <c r="DE879" s="61"/>
      <c r="DF879" s="61"/>
    </row>
    <row r="880" spans="1:110" ht="12.95" customHeight="1">
      <c r="A880" s="50" t="s">
        <v>622</v>
      </c>
      <c r="B880" s="39"/>
      <c r="C880" s="50" t="s">
        <v>238</v>
      </c>
      <c r="X880" s="18"/>
      <c r="Y880" s="18"/>
      <c r="Z880" s="18"/>
      <c r="AA880" s="18"/>
      <c r="AB880" s="18"/>
      <c r="AC880" s="18"/>
      <c r="AD880" s="18"/>
      <c r="AK880" s="39"/>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46"/>
      <c r="CS880" s="61"/>
      <c r="CT880" s="61"/>
      <c r="CU880" s="61"/>
      <c r="CV880" s="61"/>
      <c r="CW880" s="61"/>
      <c r="CX880" s="61"/>
      <c r="CY880" s="61"/>
      <c r="CZ880" s="61"/>
      <c r="DA880" s="61"/>
      <c r="DB880" s="61"/>
      <c r="DC880" s="61"/>
      <c r="DD880" s="61"/>
      <c r="DE880" s="61"/>
      <c r="DF880" s="61"/>
    </row>
    <row r="881" spans="1:110" ht="12.95" customHeight="1">
      <c r="B881" s="39"/>
      <c r="X881" s="18"/>
      <c r="Y881" s="18"/>
      <c r="Z881" s="18"/>
      <c r="AA881" s="18"/>
      <c r="AB881" s="18"/>
      <c r="AC881" s="18"/>
      <c r="AD881" s="18"/>
      <c r="AF881" s="899"/>
      <c r="AG881" s="286"/>
      <c r="AH881" s="286"/>
      <c r="AI881" s="286"/>
      <c r="AJ881" s="39"/>
      <c r="AK881" s="39"/>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46"/>
      <c r="CS881" s="61"/>
      <c r="CT881" s="61"/>
      <c r="CU881" s="61"/>
      <c r="CV881" s="61"/>
      <c r="CW881" s="61"/>
      <c r="CX881" s="61"/>
      <c r="CY881" s="61"/>
      <c r="CZ881" s="61"/>
      <c r="DA881" s="61"/>
      <c r="DB881" s="61"/>
      <c r="DC881" s="61"/>
      <c r="DD881" s="61"/>
      <c r="DE881" s="61"/>
      <c r="DF881" s="61"/>
    </row>
    <row r="882" spans="1:110" ht="12.95" customHeight="1">
      <c r="B882" s="50"/>
      <c r="H882" s="185" t="s">
        <v>239</v>
      </c>
      <c r="I882" s="77"/>
      <c r="J882" s="77"/>
      <c r="K882" s="77"/>
      <c r="L882" s="77"/>
      <c r="M882" s="77"/>
      <c r="N882" s="77"/>
      <c r="O882" s="77"/>
      <c r="P882" s="77"/>
      <c r="Q882" s="77"/>
      <c r="R882" s="77"/>
      <c r="S882" s="77"/>
      <c r="T882" s="77"/>
      <c r="U882" s="77"/>
      <c r="V882" s="77"/>
      <c r="W882" s="77"/>
      <c r="X882" s="77"/>
      <c r="Y882" s="78"/>
      <c r="Z882" s="2328"/>
      <c r="AA882" s="2329"/>
      <c r="AB882" s="2329"/>
      <c r="AC882" s="2329"/>
      <c r="AD882" s="2329"/>
      <c r="AE882" s="2330"/>
      <c r="AF882" s="899"/>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46"/>
      <c r="CS882" s="61"/>
      <c r="CT882" s="61"/>
      <c r="CU882" s="61"/>
      <c r="CV882" s="61"/>
      <c r="CW882" s="61"/>
      <c r="CX882" s="61"/>
      <c r="CY882" s="61"/>
      <c r="CZ882" s="61"/>
      <c r="DA882" s="61"/>
      <c r="DB882" s="61"/>
      <c r="DC882" s="61"/>
      <c r="DD882" s="61"/>
      <c r="DE882" s="61"/>
      <c r="DF882" s="61"/>
    </row>
    <row r="883" spans="1:110" ht="12.95" customHeight="1">
      <c r="H883" s="185" t="s">
        <v>240</v>
      </c>
      <c r="I883" s="77"/>
      <c r="J883" s="77"/>
      <c r="K883" s="77"/>
      <c r="L883" s="77"/>
      <c r="M883" s="77"/>
      <c r="N883" s="77"/>
      <c r="O883" s="77"/>
      <c r="P883" s="77"/>
      <c r="Q883" s="77"/>
      <c r="R883" s="77"/>
      <c r="S883" s="77"/>
      <c r="T883" s="77"/>
      <c r="U883" s="77"/>
      <c r="V883" s="77"/>
      <c r="W883" s="77"/>
      <c r="X883" s="77"/>
      <c r="Y883" s="77"/>
      <c r="Z883" s="2328"/>
      <c r="AA883" s="2329"/>
      <c r="AB883" s="2329"/>
      <c r="AC883" s="2329"/>
      <c r="AD883" s="2329"/>
      <c r="AE883" s="23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46"/>
      <c r="CS883" s="61"/>
      <c r="CT883" s="61"/>
      <c r="CU883" s="61"/>
      <c r="CV883" s="61"/>
      <c r="CW883" s="61"/>
      <c r="CX883" s="61"/>
      <c r="CY883" s="61"/>
      <c r="CZ883" s="61"/>
      <c r="DA883" s="61"/>
      <c r="DB883" s="61"/>
      <c r="DC883" s="61"/>
      <c r="DD883" s="61"/>
      <c r="DE883" s="61"/>
      <c r="DF883" s="61"/>
    </row>
    <row r="884" spans="1:110" ht="12.95" customHeight="1">
      <c r="H884" s="185" t="s">
        <v>241</v>
      </c>
      <c r="I884" s="77"/>
      <c r="J884" s="77"/>
      <c r="K884" s="77"/>
      <c r="L884" s="77"/>
      <c r="M884" s="77"/>
      <c r="N884" s="77"/>
      <c r="O884" s="77"/>
      <c r="P884" s="77"/>
      <c r="Q884" s="77"/>
      <c r="R884" s="77"/>
      <c r="S884" s="77"/>
      <c r="T884" s="77"/>
      <c r="U884" s="77"/>
      <c r="V884" s="77"/>
      <c r="W884" s="77"/>
      <c r="X884" s="77"/>
      <c r="Y884" s="77"/>
      <c r="Z884" s="2328"/>
      <c r="AA884" s="2329"/>
      <c r="AB884" s="2329"/>
      <c r="AC884" s="2329"/>
      <c r="AD884" s="2329"/>
      <c r="AE884" s="23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46"/>
      <c r="CS884" s="61"/>
      <c r="CT884" s="61"/>
      <c r="CU884" s="61"/>
      <c r="CV884" s="61"/>
      <c r="CW884" s="61"/>
      <c r="CX884" s="61"/>
      <c r="CY884" s="61"/>
      <c r="CZ884" s="61"/>
      <c r="DA884" s="61"/>
      <c r="DB884" s="61"/>
      <c r="DC884" s="61"/>
      <c r="DD884" s="61"/>
      <c r="DE884" s="61"/>
      <c r="DF884" s="61"/>
    </row>
    <row r="885" spans="1:110" ht="12.95" customHeight="1">
      <c r="F885" s="25"/>
      <c r="G885" s="25"/>
      <c r="H885" s="76"/>
      <c r="I885" s="77"/>
      <c r="J885" s="77"/>
      <c r="K885" s="77"/>
      <c r="L885" s="77"/>
      <c r="M885" s="77"/>
      <c r="N885" s="77"/>
      <c r="O885" s="77"/>
      <c r="P885" s="77"/>
      <c r="Q885" s="77"/>
      <c r="R885" s="77"/>
      <c r="S885" s="77"/>
      <c r="T885" s="77"/>
      <c r="U885" s="77"/>
      <c r="V885" s="77"/>
      <c r="W885" s="77"/>
      <c r="X885" s="77"/>
      <c r="Y885" s="287" t="s">
        <v>242</v>
      </c>
      <c r="Z885" s="2243">
        <f>Z882-(Z883+Z884)</f>
        <v>0</v>
      </c>
      <c r="AA885" s="2244"/>
      <c r="AB885" s="2244"/>
      <c r="AC885" s="2244"/>
      <c r="AD885" s="2244"/>
      <c r="AE885" s="2245"/>
      <c r="AZ885" s="61"/>
      <c r="BA885" s="25"/>
      <c r="BB885" s="127"/>
      <c r="BC885" s="127"/>
      <c r="BD885" s="1265"/>
      <c r="BE885" s="1265"/>
      <c r="BF885" s="1265"/>
      <c r="BG885" s="1446"/>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46"/>
      <c r="CS885" s="61"/>
      <c r="CT885" s="61"/>
      <c r="CU885" s="61"/>
      <c r="CV885" s="61"/>
      <c r="CW885" s="61"/>
      <c r="CX885" s="61"/>
      <c r="CY885" s="61"/>
      <c r="CZ885" s="61"/>
      <c r="DA885" s="61"/>
      <c r="DB885" s="61"/>
      <c r="DC885" s="61"/>
      <c r="DD885" s="61"/>
      <c r="DE885" s="61"/>
      <c r="DF885" s="61"/>
    </row>
    <row r="886" spans="1:110" ht="12.95" customHeight="1">
      <c r="A886" s="39"/>
      <c r="C886" s="893"/>
      <c r="D886" s="19"/>
      <c r="E886" s="286"/>
      <c r="F886" s="286"/>
      <c r="G886" s="286"/>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286"/>
      <c r="AZ886" s="61"/>
      <c r="BA886" s="25"/>
      <c r="BB886" s="127"/>
      <c r="BC886" s="127"/>
      <c r="BD886" s="1265"/>
      <c r="BE886" s="1265"/>
      <c r="BF886" s="1265"/>
      <c r="BG886" s="1446"/>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46"/>
      <c r="CS886" s="61"/>
      <c r="CT886" s="61"/>
      <c r="CU886" s="61"/>
      <c r="CV886" s="61"/>
      <c r="CW886" s="61"/>
      <c r="CX886" s="61"/>
      <c r="CY886" s="61"/>
      <c r="CZ886" s="61"/>
      <c r="DA886" s="61"/>
      <c r="DB886" s="61"/>
      <c r="DC886" s="61"/>
      <c r="DD886" s="61"/>
      <c r="DE886" s="61"/>
      <c r="DF886" s="61"/>
    </row>
    <row r="887" spans="1:110" ht="12.95" customHeight="1">
      <c r="A887" s="39"/>
      <c r="C887" s="39" t="s">
        <v>246</v>
      </c>
      <c r="D887" s="240"/>
      <c r="E887" s="286"/>
      <c r="F887" s="286"/>
      <c r="G887" s="286"/>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286"/>
      <c r="AZ887" s="61"/>
      <c r="BA887" s="25"/>
      <c r="BB887" s="127"/>
      <c r="BC887" s="1447"/>
      <c r="BD887" s="2351"/>
      <c r="BE887" s="2351"/>
      <c r="BF887" s="1265"/>
      <c r="BG887" s="1446"/>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46"/>
      <c r="CS887" s="61"/>
      <c r="CT887" s="61"/>
      <c r="CU887" s="61"/>
      <c r="CV887" s="61"/>
      <c r="CW887" s="61"/>
      <c r="CX887" s="61"/>
      <c r="CY887" s="61"/>
      <c r="CZ887" s="61"/>
      <c r="DA887" s="61"/>
      <c r="DB887" s="61"/>
      <c r="DC887" s="61"/>
      <c r="DD887" s="61"/>
      <c r="DE887" s="61"/>
      <c r="DF887" s="61"/>
    </row>
    <row r="888" spans="1:110" ht="12.95" customHeight="1">
      <c r="A888" s="39"/>
      <c r="C888" s="288" t="s">
        <v>247</v>
      </c>
      <c r="D888" s="240"/>
      <c r="E888" s="286"/>
      <c r="F888" s="286"/>
      <c r="G888" s="286"/>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286"/>
      <c r="AZ888" s="61"/>
      <c r="BA888" s="25"/>
      <c r="BB888" s="127"/>
      <c r="BC888" s="1447"/>
      <c r="BD888" s="2353"/>
      <c r="BE888" s="2353"/>
      <c r="BF888" s="1265"/>
      <c r="BG888" s="1446"/>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46"/>
      <c r="CS888" s="61"/>
      <c r="CT888" s="61"/>
      <c r="CU888" s="61"/>
      <c r="CV888" s="61"/>
      <c r="CW888" s="61"/>
      <c r="CX888" s="61"/>
      <c r="CY888" s="61"/>
      <c r="CZ888" s="61"/>
      <c r="DA888" s="61"/>
      <c r="DB888" s="61"/>
      <c r="DC888" s="61"/>
      <c r="DD888" s="61"/>
      <c r="DE888" s="61"/>
      <c r="DF888" s="61"/>
    </row>
    <row r="889" spans="1:110" ht="12.95" customHeight="1">
      <c r="A889" s="39"/>
      <c r="C889" s="288" t="s">
        <v>248</v>
      </c>
      <c r="D889" s="240"/>
      <c r="E889" s="286"/>
      <c r="F889" s="286"/>
      <c r="G889" s="286"/>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286"/>
      <c r="AZ889" s="61"/>
      <c r="BA889" s="25"/>
      <c r="BB889" s="127"/>
      <c r="BC889" s="1447"/>
      <c r="BD889" s="2352"/>
      <c r="BE889" s="2352"/>
      <c r="BF889" s="1265"/>
      <c r="BG889" s="1446"/>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46"/>
      <c r="CS889" s="61"/>
      <c r="CT889" s="61"/>
      <c r="CU889" s="61"/>
      <c r="CV889" s="61"/>
      <c r="CW889" s="61"/>
      <c r="CX889" s="61"/>
      <c r="CY889" s="61"/>
      <c r="CZ889" s="61"/>
      <c r="DA889" s="61"/>
      <c r="DB889" s="61"/>
      <c r="DC889" s="61"/>
      <c r="DD889" s="61"/>
      <c r="DE889" s="61"/>
      <c r="DF889" s="61"/>
    </row>
    <row r="890" spans="1:110" ht="12.95" customHeight="1">
      <c r="A890" s="39"/>
      <c r="C890" s="523" t="s">
        <v>1070</v>
      </c>
      <c r="D890" s="240"/>
      <c r="E890" s="286"/>
      <c r="F890" s="286"/>
      <c r="G890" s="286"/>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286"/>
      <c r="AZ890" s="61"/>
      <c r="BA890" s="25"/>
      <c r="BB890" s="127"/>
      <c r="BC890" s="1447"/>
      <c r="BD890" s="2352"/>
      <c r="BE890" s="2352"/>
      <c r="BF890" s="1265"/>
      <c r="BG890" s="1446"/>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46"/>
      <c r="CS890" s="61"/>
      <c r="CT890" s="61"/>
      <c r="CU890" s="61"/>
      <c r="CV890" s="61"/>
      <c r="CW890" s="61"/>
      <c r="CX890" s="61"/>
      <c r="CY890" s="61"/>
      <c r="CZ890" s="61"/>
      <c r="DA890" s="61"/>
      <c r="DB890" s="61"/>
      <c r="DC890" s="61"/>
      <c r="DD890" s="61"/>
      <c r="DE890" s="61"/>
      <c r="DF890" s="61"/>
    </row>
    <row r="891" spans="1:110" ht="12.95" customHeight="1">
      <c r="A891" s="39"/>
      <c r="B891" s="39"/>
      <c r="C891" s="39"/>
      <c r="D891" s="240"/>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c r="AA891" s="282"/>
      <c r="AB891" s="282"/>
      <c r="AC891" s="282"/>
      <c r="AD891" s="282"/>
      <c r="AE891" s="282"/>
      <c r="AF891" s="282"/>
      <c r="AG891" s="282"/>
      <c r="AH891" s="282"/>
      <c r="AI891" s="282"/>
      <c r="AJ891" s="39"/>
      <c r="AK891" s="39"/>
      <c r="AL891" s="39"/>
      <c r="AZ891" s="61"/>
      <c r="BA891" s="25"/>
      <c r="BB891" s="127"/>
      <c r="BC891" s="1447"/>
      <c r="BD891" s="2352"/>
      <c r="BE891" s="2352"/>
      <c r="BF891" s="1265"/>
      <c r="BG891" s="1446"/>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46"/>
      <c r="CS891" s="61"/>
      <c r="CT891" s="61"/>
      <c r="CU891" s="61"/>
      <c r="CV891" s="61"/>
      <c r="CW891" s="61"/>
      <c r="CX891" s="61"/>
      <c r="CY891" s="61"/>
      <c r="CZ891" s="61"/>
      <c r="DA891" s="61"/>
      <c r="DB891" s="61"/>
      <c r="DC891" s="61"/>
      <c r="DD891" s="61"/>
      <c r="DE891" s="61"/>
      <c r="DF891" s="61"/>
    </row>
    <row r="892" spans="1:110" ht="12.9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Z892" s="61"/>
      <c r="BA892" s="25"/>
      <c r="BB892" s="127"/>
      <c r="BC892" s="1447"/>
      <c r="BD892" s="2351"/>
      <c r="BE892" s="2352"/>
      <c r="BF892" s="1265"/>
      <c r="BG892" s="1446"/>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46"/>
      <c r="CS892" s="61"/>
      <c r="CT892" s="61"/>
      <c r="CU892" s="61"/>
      <c r="CV892" s="61"/>
      <c r="CW892" s="61"/>
      <c r="CX892" s="61"/>
      <c r="CY892" s="61"/>
      <c r="CZ892" s="61"/>
      <c r="DA892" s="61"/>
      <c r="DB892" s="61"/>
      <c r="DC892" s="61"/>
      <c r="DD892" s="61"/>
      <c r="DE892" s="61"/>
      <c r="DF892" s="61"/>
    </row>
    <row r="893" spans="1:110" ht="12.95" customHeight="1">
      <c r="A893" s="2176" t="s">
        <v>97</v>
      </c>
      <c r="B893" s="2176"/>
      <c r="C893" s="2176"/>
      <c r="D893" s="2176"/>
      <c r="E893" s="2176"/>
      <c r="F893" s="2176"/>
      <c r="G893" s="2176"/>
      <c r="H893" s="2176"/>
      <c r="I893" s="2176"/>
      <c r="J893" s="2176"/>
      <c r="K893" s="2176"/>
      <c r="L893" s="2176"/>
      <c r="M893" s="2176"/>
      <c r="N893" s="2176"/>
      <c r="O893" s="2176"/>
      <c r="P893" s="2176"/>
      <c r="Q893" s="2176"/>
      <c r="R893" s="2176"/>
      <c r="S893" s="2176"/>
      <c r="T893" s="2176"/>
      <c r="U893" s="2176"/>
      <c r="V893" s="2176"/>
      <c r="W893" s="2176"/>
      <c r="X893" s="2176"/>
      <c r="Y893" s="2176"/>
      <c r="Z893" s="2176"/>
      <c r="AA893" s="2176"/>
      <c r="AB893" s="2176"/>
      <c r="AC893" s="2176"/>
      <c r="AD893" s="2176"/>
      <c r="AE893" s="2176"/>
      <c r="AF893" s="2176"/>
      <c r="AG893" s="2176"/>
      <c r="AH893" s="2176"/>
      <c r="AI893" s="2176"/>
      <c r="AJ893" s="2176"/>
      <c r="AK893" s="2176"/>
      <c r="AL893" s="2176"/>
      <c r="AM893" s="144"/>
      <c r="AN893" s="144"/>
      <c r="AO893" s="144"/>
      <c r="AP893" s="144"/>
      <c r="AQ893" s="144"/>
      <c r="AR893" s="144"/>
      <c r="AS893" s="144"/>
      <c r="AT893" s="144"/>
      <c r="AU893" s="144"/>
      <c r="AV893" s="144"/>
      <c r="AW893" s="144"/>
      <c r="AX893" s="144"/>
      <c r="AY893" s="144"/>
      <c r="AZ893" s="61"/>
      <c r="BA893" s="25"/>
      <c r="BB893" s="127"/>
      <c r="BC893" s="1447"/>
      <c r="BD893" s="2350"/>
      <c r="BE893" s="2350"/>
      <c r="BF893" s="2350"/>
      <c r="BG893" s="1446"/>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46"/>
      <c r="CS893" s="61"/>
      <c r="CT893" s="61"/>
      <c r="CU893" s="61"/>
      <c r="CV893" s="61"/>
      <c r="CW893" s="61"/>
      <c r="CX893" s="61"/>
      <c r="CY893" s="61"/>
      <c r="CZ893" s="61"/>
      <c r="DA893" s="61"/>
      <c r="DB893" s="61"/>
      <c r="DC893" s="61"/>
      <c r="DD893" s="61"/>
      <c r="DE893" s="61"/>
      <c r="DF893" s="61"/>
    </row>
    <row r="894" spans="1:110" ht="12.95" customHeight="1" thickBot="1">
      <c r="A894" s="2177"/>
      <c r="B894" s="2177"/>
      <c r="C894" s="2177"/>
      <c r="D894" s="2177"/>
      <c r="E894" s="2177"/>
      <c r="F894" s="2177"/>
      <c r="G894" s="2177"/>
      <c r="H894" s="2177"/>
      <c r="I894" s="2177"/>
      <c r="J894" s="2177"/>
      <c r="K894" s="2177"/>
      <c r="L894" s="2177"/>
      <c r="M894" s="2177"/>
      <c r="N894" s="2177"/>
      <c r="O894" s="2177"/>
      <c r="P894" s="2177"/>
      <c r="Q894" s="2177"/>
      <c r="R894" s="2177"/>
      <c r="S894" s="2177"/>
      <c r="T894" s="2177"/>
      <c r="U894" s="2177"/>
      <c r="V894" s="2177"/>
      <c r="W894" s="2177"/>
      <c r="X894" s="2177"/>
      <c r="Y894" s="2177"/>
      <c r="Z894" s="2177"/>
      <c r="AA894" s="2177"/>
      <c r="AB894" s="2177"/>
      <c r="AC894" s="2177"/>
      <c r="AD894" s="2177"/>
      <c r="AE894" s="2177"/>
      <c r="AF894" s="2177"/>
      <c r="AG894" s="2177"/>
      <c r="AH894" s="2177"/>
      <c r="AI894" s="2177"/>
      <c r="AJ894" s="2177"/>
      <c r="AK894" s="2177"/>
      <c r="AL894" s="2177"/>
      <c r="AM894" s="144"/>
      <c r="AN894" s="144"/>
      <c r="AO894" s="144"/>
      <c r="AP894" s="144"/>
      <c r="AQ894" s="144"/>
      <c r="AR894" s="144"/>
      <c r="AS894" s="144"/>
      <c r="AT894" s="144"/>
      <c r="AU894" s="144"/>
      <c r="AV894" s="144"/>
      <c r="AW894" s="144"/>
      <c r="AX894" s="144"/>
      <c r="AY894" s="144"/>
      <c r="AZ894" s="61"/>
      <c r="BA894" s="25"/>
      <c r="BB894" s="127"/>
      <c r="BC894" s="1447"/>
      <c r="BD894" s="2355"/>
      <c r="BE894" s="2355"/>
      <c r="BF894" s="2355"/>
      <c r="BG894" s="1446"/>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46"/>
      <c r="CS894" s="61"/>
      <c r="CT894" s="61"/>
      <c r="CU894" s="61"/>
      <c r="CV894" s="61"/>
      <c r="CW894" s="61"/>
      <c r="CX894" s="61"/>
      <c r="CY894" s="61"/>
      <c r="CZ894" s="61"/>
      <c r="DA894" s="61"/>
      <c r="DB894" s="61"/>
      <c r="DC894" s="61"/>
      <c r="DD894" s="61"/>
      <c r="DE894" s="61"/>
      <c r="DF894" s="61"/>
    </row>
    <row r="895" spans="1:110" ht="12.95" customHeight="1" thickTop="1">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c r="AW895" s="144"/>
      <c r="AX895" s="144"/>
      <c r="AY895" s="144"/>
      <c r="AZ895" s="61"/>
      <c r="BA895" s="25"/>
      <c r="BB895" s="127"/>
      <c r="BC895" s="1447"/>
      <c r="BD895" s="2352"/>
      <c r="BE895" s="2352"/>
      <c r="BF895" s="1265"/>
      <c r="BG895" s="1446"/>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46"/>
      <c r="CS895" s="61"/>
      <c r="CT895" s="61"/>
      <c r="CU895" s="61"/>
      <c r="CV895" s="61"/>
      <c r="CW895" s="61"/>
      <c r="CX895" s="61"/>
      <c r="CY895" s="61"/>
      <c r="CZ895" s="61"/>
      <c r="DA895" s="61"/>
      <c r="DB895" s="61"/>
      <c r="DC895" s="61"/>
      <c r="DD895" s="61"/>
      <c r="DE895" s="61"/>
      <c r="DF895" s="61"/>
    </row>
    <row r="896" spans="1:110" ht="12.95" customHeight="1">
      <c r="A896" s="50" t="s">
        <v>320</v>
      </c>
      <c r="C896" s="50" t="s">
        <v>265</v>
      </c>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c r="AW896" s="144"/>
      <c r="AX896" s="144"/>
      <c r="AY896" s="144"/>
      <c r="AZ896" s="61"/>
      <c r="BA896" s="25"/>
      <c r="BB896" s="127"/>
      <c r="BC896" s="1447"/>
      <c r="BD896" s="2351"/>
      <c r="BE896" s="2352"/>
      <c r="BF896" s="1265"/>
      <c r="BG896" s="1446"/>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46"/>
      <c r="CS896" s="61"/>
      <c r="CT896" s="61"/>
      <c r="CU896" s="61"/>
      <c r="CV896" s="61"/>
      <c r="CW896" s="61"/>
      <c r="CX896" s="61"/>
      <c r="CY896" s="61"/>
      <c r="CZ896" s="61"/>
      <c r="DA896" s="61"/>
      <c r="DB896" s="61"/>
      <c r="DC896" s="61"/>
      <c r="DD896" s="61"/>
      <c r="DE896" s="61"/>
      <c r="DF896" s="61"/>
    </row>
    <row r="897" spans="1:110" ht="12.95" customHeight="1">
      <c r="AZ897" s="61"/>
      <c r="BA897" s="25"/>
      <c r="BB897" s="127"/>
      <c r="BC897" s="1447"/>
      <c r="BD897" s="25"/>
      <c r="BE897" s="25"/>
      <c r="BF897" s="25"/>
      <c r="BG897" s="1448"/>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46"/>
      <c r="CS897" s="61"/>
      <c r="CT897" s="61"/>
      <c r="CU897" s="61"/>
      <c r="CV897" s="61"/>
      <c r="CW897" s="61"/>
      <c r="CX897" s="61"/>
      <c r="CY897" s="61"/>
      <c r="CZ897" s="61"/>
      <c r="DA897" s="61"/>
      <c r="DB897" s="61"/>
      <c r="DC897" s="61"/>
      <c r="DD897" s="61"/>
      <c r="DE897" s="61"/>
      <c r="DF897" s="61"/>
    </row>
    <row r="898" spans="1:110" ht="12.95" customHeight="1">
      <c r="A898" s="25"/>
      <c r="B898" s="25"/>
      <c r="C898" s="25"/>
      <c r="D898" s="25"/>
      <c r="E898" s="25"/>
      <c r="F898" s="2566" t="s">
        <v>816</v>
      </c>
      <c r="G898" s="2567"/>
      <c r="H898" s="2567"/>
      <c r="I898" s="2567"/>
      <c r="J898" s="2567"/>
      <c r="K898" s="2567"/>
      <c r="L898" s="2567"/>
      <c r="M898" s="2567"/>
      <c r="N898" s="2567"/>
      <c r="O898" s="2567"/>
      <c r="P898" s="2567"/>
      <c r="Q898" s="2567"/>
      <c r="R898" s="2567"/>
      <c r="S898" s="2567"/>
      <c r="T898" s="2568"/>
      <c r="U898" s="2561" t="s">
        <v>31</v>
      </c>
      <c r="V898" s="2562"/>
      <c r="W898" s="2562"/>
      <c r="X898" s="2562"/>
      <c r="Y898" s="2562"/>
      <c r="Z898" s="2562"/>
      <c r="AA898" s="73"/>
      <c r="AB898" s="161"/>
      <c r="AC898" s="161"/>
      <c r="AD898" s="161"/>
      <c r="AE898" s="161"/>
      <c r="AF898" s="162"/>
      <c r="AZ898" s="61"/>
      <c r="BA898" s="1446"/>
      <c r="BB898" s="127"/>
      <c r="BC898" s="127"/>
      <c r="BD898" s="2351"/>
      <c r="BE898" s="2352"/>
      <c r="BF898" s="1449"/>
      <c r="BG898" s="1446"/>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46"/>
      <c r="CS898" s="61"/>
      <c r="CT898" s="61"/>
      <c r="CU898" s="61"/>
      <c r="CV898" s="61"/>
      <c r="CW898" s="61"/>
      <c r="CX898" s="61"/>
      <c r="CY898" s="61"/>
      <c r="CZ898" s="61"/>
      <c r="DA898" s="61"/>
      <c r="DB898" s="61"/>
      <c r="DC898" s="61"/>
      <c r="DD898" s="61"/>
      <c r="DE898" s="61"/>
      <c r="DF898" s="61"/>
    </row>
    <row r="899" spans="1:110" ht="12.95" customHeight="1">
      <c r="B899" s="50"/>
      <c r="F899" s="2384" t="s">
        <v>844</v>
      </c>
      <c r="G899" s="2385"/>
      <c r="H899" s="2385"/>
      <c r="I899" s="2385"/>
      <c r="J899" s="2385"/>
      <c r="K899" s="2385"/>
      <c r="L899" s="2385"/>
      <c r="M899" s="2385"/>
      <c r="N899" s="2385"/>
      <c r="O899" s="2385"/>
      <c r="P899" s="2385"/>
      <c r="Q899" s="2385"/>
      <c r="R899" s="2385"/>
      <c r="S899" s="2385"/>
      <c r="T899" s="2386"/>
      <c r="U899" s="2384"/>
      <c r="V899" s="2385"/>
      <c r="W899" s="2385"/>
      <c r="X899" s="2385"/>
      <c r="Y899" s="2385"/>
      <c r="Z899" s="2385"/>
      <c r="AA899" s="74"/>
      <c r="AB899" s="57"/>
      <c r="AC899" s="57"/>
      <c r="AD899" s="57"/>
      <c r="AE899" s="57"/>
      <c r="AF899" s="163"/>
      <c r="AZ899" s="61"/>
      <c r="BA899" s="1446"/>
      <c r="BB899" s="1446"/>
      <c r="BC899" s="1446"/>
      <c r="BD899" s="1446"/>
      <c r="BE899" s="1446"/>
      <c r="BF899" s="1446"/>
      <c r="BG899" s="144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46"/>
      <c r="CS899" s="61"/>
      <c r="CT899" s="61"/>
      <c r="CU899" s="61"/>
      <c r="CV899" s="61"/>
      <c r="CW899" s="61"/>
      <c r="CX899" s="61"/>
      <c r="CY899" s="61"/>
      <c r="CZ899" s="61"/>
      <c r="DA899" s="61"/>
      <c r="DB899" s="61"/>
      <c r="DC899" s="61"/>
      <c r="DD899" s="61"/>
      <c r="DE899" s="61"/>
      <c r="DF899" s="61"/>
    </row>
    <row r="900" spans="1:110" ht="12.95" customHeight="1">
      <c r="B900" s="50"/>
      <c r="F900" s="2387"/>
      <c r="G900" s="2388"/>
      <c r="H900" s="2388"/>
      <c r="I900" s="2388"/>
      <c r="J900" s="2388"/>
      <c r="K900" s="2388"/>
      <c r="L900" s="2388"/>
      <c r="M900" s="2388"/>
      <c r="N900" s="2388"/>
      <c r="O900" s="2388"/>
      <c r="P900" s="2388"/>
      <c r="Q900" s="2388"/>
      <c r="R900" s="2388"/>
      <c r="S900" s="2388"/>
      <c r="T900" s="2389"/>
      <c r="U900" s="2387"/>
      <c r="V900" s="2388"/>
      <c r="W900" s="2388"/>
      <c r="X900" s="2388"/>
      <c r="Y900" s="2388"/>
      <c r="Z900" s="2388"/>
      <c r="AA900" s="164"/>
      <c r="AB900" s="2397" t="s">
        <v>392</v>
      </c>
      <c r="AC900" s="2397"/>
      <c r="AD900" s="2397"/>
      <c r="AE900" s="2397"/>
      <c r="AF900" s="165"/>
      <c r="AZ900" s="61"/>
      <c r="BA900" s="1446"/>
      <c r="BB900" s="1446"/>
      <c r="BC900" s="1446"/>
      <c r="BD900" s="1446"/>
      <c r="BE900" s="1446"/>
      <c r="BF900" s="1446"/>
      <c r="BG900" s="144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46"/>
      <c r="CS900" s="61"/>
      <c r="CT900" s="61"/>
      <c r="CU900" s="61"/>
      <c r="CV900" s="61"/>
      <c r="CW900" s="61"/>
      <c r="CX900" s="61"/>
      <c r="CY900" s="61"/>
      <c r="CZ900" s="61"/>
      <c r="DA900" s="61"/>
      <c r="DB900" s="61"/>
      <c r="DC900" s="61"/>
      <c r="DD900" s="61"/>
      <c r="DE900" s="61"/>
      <c r="DF900" s="61"/>
    </row>
    <row r="901" spans="1:110" ht="12.95" customHeight="1">
      <c r="B901" s="50"/>
      <c r="F901" s="76" t="s">
        <v>782</v>
      </c>
      <c r="G901" s="80"/>
      <c r="H901" s="80"/>
      <c r="I901" s="80"/>
      <c r="J901" s="80"/>
      <c r="K901" s="80"/>
      <c r="L901" s="80"/>
      <c r="M901" s="80"/>
      <c r="N901" s="80"/>
      <c r="O901" s="80"/>
      <c r="P901" s="80"/>
      <c r="Q901" s="80"/>
      <c r="R901" s="80"/>
      <c r="S901" s="80"/>
      <c r="T901" s="81"/>
      <c r="U901" s="2370" t="s">
        <v>554</v>
      </c>
      <c r="V901" s="2080"/>
      <c r="W901" s="2080"/>
      <c r="X901" s="2080"/>
      <c r="Y901" s="2080"/>
      <c r="Z901" s="2081"/>
      <c r="AA901" s="2328">
        <f>AM550</f>
        <v>22287091</v>
      </c>
      <c r="AB901" s="2329"/>
      <c r="AC901" s="2329"/>
      <c r="AD901" s="2329"/>
      <c r="AE901" s="2329"/>
      <c r="AF901" s="2330"/>
      <c r="AZ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46"/>
      <c r="CS901" s="61"/>
      <c r="CT901" s="61"/>
      <c r="CU901" s="61"/>
      <c r="CV901" s="61"/>
      <c r="CW901" s="61"/>
      <c r="CX901" s="61"/>
      <c r="CY901" s="61"/>
      <c r="CZ901" s="61"/>
      <c r="DA901" s="61"/>
      <c r="DB901" s="61"/>
      <c r="DC901" s="61"/>
      <c r="DD901" s="61"/>
      <c r="DE901" s="61"/>
      <c r="DF901" s="61"/>
    </row>
    <row r="902" spans="1:110" ht="12.95" customHeight="1">
      <c r="B902" s="50"/>
      <c r="F902" s="103" t="s">
        <v>684</v>
      </c>
      <c r="G902" s="80"/>
      <c r="H902" s="80"/>
      <c r="I902" s="80"/>
      <c r="J902" s="80"/>
      <c r="K902" s="80"/>
      <c r="L902" s="80"/>
      <c r="M902" s="80"/>
      <c r="N902" s="80"/>
      <c r="O902" s="80"/>
      <c r="P902" s="80"/>
      <c r="Q902" s="80"/>
      <c r="R902" s="80"/>
      <c r="S902" s="80"/>
      <c r="T902" s="81"/>
      <c r="U902" s="2370" t="s">
        <v>554</v>
      </c>
      <c r="V902" s="2080"/>
      <c r="W902" s="2080"/>
      <c r="X902" s="2080"/>
      <c r="Y902" s="2080"/>
      <c r="Z902" s="2081"/>
      <c r="AA902" s="2328">
        <f>AM551</f>
        <v>11345296</v>
      </c>
      <c r="AB902" s="2329"/>
      <c r="AC902" s="2329"/>
      <c r="AD902" s="2329"/>
      <c r="AE902" s="2329"/>
      <c r="AF902" s="2330"/>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46"/>
      <c r="CS902" s="61"/>
      <c r="CT902" s="61"/>
      <c r="CU902" s="61"/>
      <c r="CV902" s="61"/>
      <c r="CW902" s="61"/>
      <c r="CX902" s="61"/>
      <c r="CY902" s="61"/>
      <c r="CZ902" s="61"/>
      <c r="DA902" s="61"/>
      <c r="DB902" s="61"/>
      <c r="DC902" s="61"/>
      <c r="DD902" s="61"/>
      <c r="DE902" s="61"/>
      <c r="DF902" s="61"/>
    </row>
    <row r="903" spans="1:110" ht="12.95" customHeight="1">
      <c r="F903" s="76" t="s">
        <v>825</v>
      </c>
      <c r="G903" s="77"/>
      <c r="H903" s="77"/>
      <c r="I903" s="77"/>
      <c r="J903" s="77"/>
      <c r="K903" s="77"/>
      <c r="L903" s="77"/>
      <c r="M903" s="77"/>
      <c r="N903" s="77"/>
      <c r="O903" s="77"/>
      <c r="P903" s="77"/>
      <c r="Q903" s="77"/>
      <c r="R903" s="77"/>
      <c r="S903" s="77"/>
      <c r="T903" s="78"/>
      <c r="U903" s="2370" t="s">
        <v>600</v>
      </c>
      <c r="V903" s="2080"/>
      <c r="W903" s="2080"/>
      <c r="X903" s="2080"/>
      <c r="Y903" s="2080"/>
      <c r="Z903" s="2081"/>
      <c r="AA903" s="2328"/>
      <c r="AB903" s="2329"/>
      <c r="AC903" s="2329"/>
      <c r="AD903" s="2329"/>
      <c r="AE903" s="2329"/>
      <c r="AF903" s="2330"/>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46"/>
      <c r="CS903" s="61"/>
      <c r="CT903" s="61"/>
      <c r="CU903" s="61"/>
      <c r="CV903" s="61"/>
      <c r="CW903" s="61"/>
      <c r="CX903" s="61"/>
      <c r="CY903" s="61"/>
      <c r="CZ903" s="61"/>
      <c r="DA903" s="61"/>
      <c r="DB903" s="61"/>
      <c r="DC903" s="61"/>
      <c r="DD903" s="61"/>
      <c r="DE903" s="61"/>
      <c r="DF903" s="61"/>
    </row>
    <row r="904" spans="1:110" ht="12.95" customHeight="1">
      <c r="F904" s="76" t="s">
        <v>687</v>
      </c>
      <c r="G904" s="77"/>
      <c r="H904" s="77"/>
      <c r="I904" s="77"/>
      <c r="J904" s="77"/>
      <c r="K904" s="77"/>
      <c r="L904" s="77"/>
      <c r="M904" s="77"/>
      <c r="N904" s="77"/>
      <c r="O904" s="77"/>
      <c r="P904" s="77"/>
      <c r="Q904" s="77"/>
      <c r="R904" s="77"/>
      <c r="S904" s="77"/>
      <c r="T904" s="78"/>
      <c r="U904" s="2370" t="s">
        <v>600</v>
      </c>
      <c r="V904" s="2080"/>
      <c r="W904" s="2080"/>
      <c r="X904" s="2080"/>
      <c r="Y904" s="2080"/>
      <c r="Z904" s="2081"/>
      <c r="AA904" s="2328"/>
      <c r="AB904" s="2329"/>
      <c r="AC904" s="2329"/>
      <c r="AD904" s="2329"/>
      <c r="AE904" s="2329"/>
      <c r="AF904" s="2330"/>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46"/>
      <c r="CS904" s="61"/>
      <c r="CT904" s="61"/>
      <c r="CU904" s="61"/>
      <c r="CV904" s="61"/>
      <c r="CW904" s="61"/>
      <c r="CX904" s="61"/>
      <c r="CY904" s="61"/>
      <c r="CZ904" s="61"/>
      <c r="DA904" s="61"/>
      <c r="DB904" s="61"/>
      <c r="DC904" s="61"/>
      <c r="DD904" s="61"/>
      <c r="DE904" s="61"/>
      <c r="DF904" s="61"/>
    </row>
    <row r="905" spans="1:110" ht="12.95" customHeight="1">
      <c r="F905" s="103" t="s">
        <v>810</v>
      </c>
      <c r="G905" s="77"/>
      <c r="H905" s="77"/>
      <c r="I905" s="77"/>
      <c r="J905" s="77"/>
      <c r="K905" s="77"/>
      <c r="L905" s="77"/>
      <c r="M905" s="77"/>
      <c r="N905" s="77"/>
      <c r="O905" s="77"/>
      <c r="P905" s="77"/>
      <c r="Q905" s="77"/>
      <c r="R905" s="77"/>
      <c r="S905" s="77"/>
      <c r="T905" s="78"/>
      <c r="U905" s="2370" t="s">
        <v>600</v>
      </c>
      <c r="V905" s="2080"/>
      <c r="W905" s="2080"/>
      <c r="X905" s="2080"/>
      <c r="Y905" s="2080"/>
      <c r="Z905" s="2081"/>
      <c r="AA905" s="2328"/>
      <c r="AB905" s="2329"/>
      <c r="AC905" s="2329"/>
      <c r="AD905" s="2329"/>
      <c r="AE905" s="2329"/>
      <c r="AF905" s="2330"/>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46"/>
      <c r="CS905" s="61"/>
      <c r="CT905" s="61"/>
      <c r="CU905" s="61"/>
      <c r="CV905" s="61"/>
      <c r="CW905" s="61"/>
      <c r="CX905" s="61"/>
      <c r="CY905" s="61"/>
      <c r="CZ905" s="61"/>
      <c r="DA905" s="61"/>
      <c r="DB905" s="61"/>
      <c r="DC905" s="61"/>
      <c r="DD905" s="61"/>
      <c r="DE905" s="61"/>
      <c r="DF905" s="61"/>
    </row>
    <row r="906" spans="1:110" ht="12.95" customHeight="1">
      <c r="F906" s="103" t="s">
        <v>811</v>
      </c>
      <c r="G906" s="77"/>
      <c r="H906" s="77"/>
      <c r="I906" s="77"/>
      <c r="J906" s="77"/>
      <c r="K906" s="77"/>
      <c r="L906" s="77"/>
      <c r="M906" s="77"/>
      <c r="N906" s="77"/>
      <c r="O906" s="77"/>
      <c r="P906" s="77"/>
      <c r="Q906" s="77"/>
      <c r="R906" s="77"/>
      <c r="S906" s="77"/>
      <c r="T906" s="78"/>
      <c r="U906" s="2370" t="s">
        <v>600</v>
      </c>
      <c r="V906" s="2080"/>
      <c r="W906" s="2080"/>
      <c r="X906" s="2080"/>
      <c r="Y906" s="2080"/>
      <c r="Z906" s="2081"/>
      <c r="AA906" s="2328"/>
      <c r="AB906" s="2329"/>
      <c r="AC906" s="2329"/>
      <c r="AD906" s="2329"/>
      <c r="AE906" s="2329"/>
      <c r="AF906" s="2330"/>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46"/>
      <c r="CS906" s="61"/>
      <c r="CT906" s="61"/>
      <c r="CU906" s="61"/>
      <c r="CV906" s="61"/>
      <c r="CW906" s="61"/>
      <c r="CX906" s="61"/>
      <c r="CY906" s="61"/>
      <c r="CZ906" s="61"/>
      <c r="DA906" s="61"/>
      <c r="DB906" s="61"/>
      <c r="DC906" s="61"/>
      <c r="DD906" s="61"/>
      <c r="DE906" s="61"/>
      <c r="DF906" s="61"/>
    </row>
    <row r="907" spans="1:110" ht="12.95" customHeight="1">
      <c r="F907" s="103" t="s">
        <v>812</v>
      </c>
      <c r="G907" s="77"/>
      <c r="H907" s="77"/>
      <c r="I907" s="77"/>
      <c r="J907" s="77"/>
      <c r="K907" s="77"/>
      <c r="L907" s="77"/>
      <c r="M907" s="77"/>
      <c r="N907" s="77"/>
      <c r="O907" s="77"/>
      <c r="P907" s="77"/>
      <c r="Q907" s="77"/>
      <c r="R907" s="77"/>
      <c r="S907" s="77"/>
      <c r="T907" s="78"/>
      <c r="U907" s="2370" t="s">
        <v>600</v>
      </c>
      <c r="V907" s="2080"/>
      <c r="W907" s="2080"/>
      <c r="X907" s="2080"/>
      <c r="Y907" s="2080"/>
      <c r="Z907" s="2081"/>
      <c r="AA907" s="2328"/>
      <c r="AB907" s="2329"/>
      <c r="AC907" s="2329"/>
      <c r="AD907" s="2329"/>
      <c r="AE907" s="2329"/>
      <c r="AF907" s="2330"/>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46"/>
      <c r="CS907" s="61"/>
      <c r="CT907" s="61"/>
      <c r="CU907" s="61"/>
      <c r="CV907" s="61"/>
      <c r="CW907" s="61"/>
      <c r="CX907" s="61"/>
      <c r="CY907" s="61"/>
      <c r="CZ907" s="61"/>
      <c r="DA907" s="61"/>
      <c r="DB907" s="61"/>
      <c r="DC907" s="61"/>
      <c r="DD907" s="61"/>
      <c r="DE907" s="61"/>
      <c r="DF907" s="61"/>
    </row>
    <row r="908" spans="1:110" ht="12.95" customHeight="1">
      <c r="F908" s="76" t="s">
        <v>686</v>
      </c>
      <c r="G908" s="77"/>
      <c r="H908" s="77"/>
      <c r="I908" s="77"/>
      <c r="J908" s="77"/>
      <c r="K908" s="77"/>
      <c r="L908" s="77"/>
      <c r="M908" s="77"/>
      <c r="N908" s="77"/>
      <c r="O908" s="77"/>
      <c r="P908" s="77"/>
      <c r="Q908" s="77"/>
      <c r="R908" s="77"/>
      <c r="S908" s="77"/>
      <c r="T908" s="78"/>
      <c r="U908" s="2370" t="s">
        <v>600</v>
      </c>
      <c r="V908" s="2080"/>
      <c r="W908" s="2080"/>
      <c r="X908" s="2080"/>
      <c r="Y908" s="2080"/>
      <c r="Z908" s="2081"/>
      <c r="AA908" s="2328"/>
      <c r="AB908" s="2329"/>
      <c r="AC908" s="2329"/>
      <c r="AD908" s="2329"/>
      <c r="AE908" s="2329"/>
      <c r="AF908" s="2330"/>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46"/>
      <c r="CS908" s="61"/>
      <c r="CT908" s="61"/>
      <c r="CU908" s="61"/>
      <c r="CV908" s="61"/>
      <c r="CW908" s="61"/>
      <c r="CX908" s="61"/>
      <c r="CY908" s="61"/>
      <c r="CZ908" s="61"/>
      <c r="DA908" s="61"/>
      <c r="DB908" s="61"/>
      <c r="DC908" s="61"/>
      <c r="DD908" s="61"/>
      <c r="DE908" s="61"/>
      <c r="DF908" s="61"/>
    </row>
    <row r="909" spans="1:110" ht="12.95" customHeight="1">
      <c r="F909" s="103" t="s">
        <v>688</v>
      </c>
      <c r="G909" s="77"/>
      <c r="H909" s="77"/>
      <c r="I909" s="77"/>
      <c r="J909" s="77"/>
      <c r="K909" s="77"/>
      <c r="L909" s="77"/>
      <c r="M909" s="77"/>
      <c r="N909" s="77"/>
      <c r="O909" s="77"/>
      <c r="P909" s="77"/>
      <c r="Q909" s="77"/>
      <c r="R909" s="77"/>
      <c r="S909" s="77"/>
      <c r="T909" s="78"/>
      <c r="U909" s="2370" t="s">
        <v>600</v>
      </c>
      <c r="V909" s="2080"/>
      <c r="W909" s="2080"/>
      <c r="X909" s="2080"/>
      <c r="Y909" s="2080"/>
      <c r="Z909" s="2081"/>
      <c r="AA909" s="2328"/>
      <c r="AB909" s="2329"/>
      <c r="AC909" s="2329"/>
      <c r="AD909" s="2329"/>
      <c r="AE909" s="2329"/>
      <c r="AF909" s="2330"/>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46"/>
      <c r="CS909" s="61"/>
      <c r="CT909" s="61"/>
      <c r="CU909" s="61"/>
      <c r="CV909" s="61"/>
      <c r="CW909" s="61"/>
      <c r="CX909" s="61"/>
      <c r="CY909" s="61"/>
      <c r="CZ909" s="61"/>
      <c r="DA909" s="61"/>
      <c r="DB909" s="61"/>
      <c r="DC909" s="61"/>
      <c r="DD909" s="61"/>
      <c r="DE909" s="61"/>
      <c r="DF909" s="61"/>
    </row>
    <row r="910" spans="1:110" ht="12.95" customHeight="1">
      <c r="F910" s="284" t="s">
        <v>685</v>
      </c>
      <c r="G910" s="77"/>
      <c r="H910" s="77"/>
      <c r="I910" s="77"/>
      <c r="J910" s="77"/>
      <c r="K910" s="77"/>
      <c r="L910" s="77"/>
      <c r="M910" s="77"/>
      <c r="N910" s="77"/>
      <c r="O910" s="77"/>
      <c r="P910" s="77"/>
      <c r="Q910" s="77"/>
      <c r="R910" s="77"/>
      <c r="S910" s="77"/>
      <c r="T910" s="78"/>
      <c r="U910" s="2370" t="s">
        <v>600</v>
      </c>
      <c r="V910" s="2080"/>
      <c r="W910" s="2080"/>
      <c r="X910" s="2080"/>
      <c r="Y910" s="2080"/>
      <c r="Z910" s="2081"/>
      <c r="AA910" s="2328"/>
      <c r="AB910" s="2329"/>
      <c r="AC910" s="2329"/>
      <c r="AD910" s="2329"/>
      <c r="AE910" s="2329"/>
      <c r="AF910" s="2330"/>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46"/>
      <c r="CS910" s="61"/>
      <c r="CT910" s="61"/>
      <c r="CU910" s="61"/>
      <c r="CV910" s="61"/>
      <c r="CW910" s="61"/>
      <c r="CX910" s="61"/>
      <c r="CY910" s="61"/>
      <c r="CZ910" s="61"/>
      <c r="DA910" s="61"/>
      <c r="DB910" s="61"/>
      <c r="DC910" s="61"/>
      <c r="DD910" s="61"/>
      <c r="DE910" s="61"/>
      <c r="DF910" s="61"/>
    </row>
    <row r="911" spans="1:110" ht="12.95" customHeight="1">
      <c r="F911" s="185" t="s">
        <v>1434</v>
      </c>
      <c r="G911" s="77"/>
      <c r="H911" s="77"/>
      <c r="I911" s="77"/>
      <c r="J911" s="77"/>
      <c r="K911" s="77"/>
      <c r="L911" s="77"/>
      <c r="M911" s="77"/>
      <c r="N911" s="77"/>
      <c r="O911" s="77"/>
      <c r="P911" s="77"/>
      <c r="Q911" s="77"/>
      <c r="R911" s="77"/>
      <c r="S911" s="77"/>
      <c r="T911" s="78"/>
      <c r="U911" s="2370" t="s">
        <v>600</v>
      </c>
      <c r="V911" s="2080"/>
      <c r="W911" s="2080"/>
      <c r="X911" s="2080"/>
      <c r="Y911" s="2080"/>
      <c r="Z911" s="2081"/>
      <c r="AA911" s="2328"/>
      <c r="AB911" s="2329"/>
      <c r="AC911" s="2329"/>
      <c r="AD911" s="2329"/>
      <c r="AE911" s="2329"/>
      <c r="AF911" s="2330"/>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46"/>
      <c r="CS911" s="61"/>
      <c r="CT911" s="61"/>
      <c r="CU911" s="61"/>
      <c r="CV911" s="61"/>
      <c r="CW911" s="61"/>
      <c r="CX911" s="61"/>
      <c r="CY911" s="61"/>
      <c r="CZ911" s="61"/>
      <c r="DA911" s="61"/>
      <c r="DB911" s="61"/>
      <c r="DC911" s="61"/>
      <c r="DD911" s="61"/>
      <c r="DE911" s="61"/>
      <c r="DF911" s="61"/>
    </row>
    <row r="912" spans="1:110" ht="12.95" customHeight="1">
      <c r="F912" s="103" t="s">
        <v>826</v>
      </c>
      <c r="G912" s="77"/>
      <c r="H912" s="77"/>
      <c r="I912" s="77"/>
      <c r="J912" s="77"/>
      <c r="K912" s="77"/>
      <c r="L912" s="77"/>
      <c r="M912" s="77"/>
      <c r="N912" s="77"/>
      <c r="O912" s="77"/>
      <c r="P912" s="77"/>
      <c r="Q912" s="77"/>
      <c r="R912" s="77"/>
      <c r="S912" s="77"/>
      <c r="T912" s="78"/>
      <c r="U912" s="2370" t="s">
        <v>600</v>
      </c>
      <c r="V912" s="2080"/>
      <c r="W912" s="2080"/>
      <c r="X912" s="2080"/>
      <c r="Y912" s="2080"/>
      <c r="Z912" s="2081"/>
      <c r="AA912" s="2328"/>
      <c r="AB912" s="2329"/>
      <c r="AC912" s="2329"/>
      <c r="AD912" s="2329"/>
      <c r="AE912" s="2329"/>
      <c r="AF912" s="2330"/>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46"/>
      <c r="CS912" s="61"/>
      <c r="CT912" s="61"/>
      <c r="CU912" s="61"/>
      <c r="CV912" s="61"/>
      <c r="CW912" s="61"/>
      <c r="CX912" s="61"/>
      <c r="CY912" s="61"/>
      <c r="CZ912" s="61"/>
      <c r="DA912" s="61"/>
      <c r="DB912" s="61"/>
      <c r="DC912" s="61"/>
      <c r="DD912" s="61"/>
      <c r="DE912" s="61"/>
      <c r="DF912" s="61"/>
    </row>
    <row r="913" spans="1:110" ht="12.95" customHeight="1">
      <c r="F913" s="103" t="s">
        <v>827</v>
      </c>
      <c r="G913" s="148"/>
      <c r="H913" s="148"/>
      <c r="I913" s="148"/>
      <c r="J913" s="148"/>
      <c r="K913" s="148"/>
      <c r="L913" s="148"/>
      <c r="M913" s="148"/>
      <c r="N913" s="148"/>
      <c r="O913" s="148"/>
      <c r="P913" s="148"/>
      <c r="Q913" s="148"/>
      <c r="R913" s="148"/>
      <c r="S913" s="148"/>
      <c r="T913" s="335"/>
      <c r="U913" s="2370" t="s">
        <v>600</v>
      </c>
      <c r="V913" s="2080"/>
      <c r="W913" s="2080"/>
      <c r="X913" s="2080"/>
      <c r="Y913" s="2080"/>
      <c r="Z913" s="2081"/>
      <c r="AA913" s="2328"/>
      <c r="AB913" s="2329"/>
      <c r="AC913" s="2329"/>
      <c r="AD913" s="2329"/>
      <c r="AE913" s="2329"/>
      <c r="AF913" s="2330"/>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46"/>
      <c r="CS913" s="61"/>
      <c r="CT913" s="61"/>
      <c r="CU913" s="61"/>
      <c r="CV913" s="61"/>
      <c r="CW913" s="61"/>
      <c r="CX913" s="61"/>
      <c r="CY913" s="61"/>
      <c r="CZ913" s="61"/>
      <c r="DA913" s="61"/>
      <c r="DB913" s="61"/>
      <c r="DC913" s="61"/>
      <c r="DD913" s="61"/>
      <c r="DE913" s="61"/>
      <c r="DF913" s="61"/>
    </row>
    <row r="914" spans="1:110" ht="12.95" customHeight="1">
      <c r="F914" s="866" t="s">
        <v>1418</v>
      </c>
      <c r="G914" s="148"/>
      <c r="H914" s="148"/>
      <c r="I914" s="148"/>
      <c r="J914" s="148"/>
      <c r="K914" s="148"/>
      <c r="L914" s="148"/>
      <c r="M914" s="148"/>
      <c r="N914" s="148"/>
      <c r="O914" s="148"/>
      <c r="P914" s="148"/>
      <c r="Q914" s="148"/>
      <c r="R914" s="148"/>
      <c r="S914" s="148"/>
      <c r="T914" s="335"/>
      <c r="U914" s="2370" t="s">
        <v>600</v>
      </c>
      <c r="V914" s="2080"/>
      <c r="W914" s="2080"/>
      <c r="X914" s="2080"/>
      <c r="Y914" s="2080"/>
      <c r="Z914" s="2081"/>
      <c r="AA914" s="2328"/>
      <c r="AB914" s="2329"/>
      <c r="AC914" s="2329"/>
      <c r="AD914" s="2329"/>
      <c r="AE914" s="2329"/>
      <c r="AF914" s="2330"/>
      <c r="AZ914" s="52"/>
      <c r="BA914" s="52"/>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46"/>
      <c r="CS914" s="61"/>
      <c r="CT914" s="61"/>
      <c r="CU914" s="61"/>
      <c r="CV914" s="61"/>
      <c r="CW914" s="61"/>
      <c r="CX914" s="61"/>
      <c r="CY914" s="61"/>
      <c r="CZ914" s="61"/>
      <c r="DA914" s="61"/>
      <c r="DB914" s="61"/>
      <c r="DC914" s="61"/>
      <c r="DD914" s="61"/>
      <c r="DE914" s="61"/>
      <c r="DF914" s="61"/>
    </row>
    <row r="915" spans="1:110" ht="12.95" customHeight="1">
      <c r="F915" s="866" t="s">
        <v>1419</v>
      </c>
      <c r="G915" s="77"/>
      <c r="H915" s="77"/>
      <c r="I915" s="77"/>
      <c r="J915" s="77"/>
      <c r="K915" s="77"/>
      <c r="L915" s="77"/>
      <c r="M915" s="77"/>
      <c r="N915" s="77"/>
      <c r="O915" s="77"/>
      <c r="P915" s="148"/>
      <c r="Q915" s="148"/>
      <c r="R915" s="148"/>
      <c r="S915" s="148"/>
      <c r="T915" s="335"/>
      <c r="U915" s="2370" t="s">
        <v>600</v>
      </c>
      <c r="V915" s="2080"/>
      <c r="W915" s="2080"/>
      <c r="X915" s="2080"/>
      <c r="Y915" s="2080"/>
      <c r="Z915" s="2081"/>
      <c r="AA915" s="2328"/>
      <c r="AB915" s="2329"/>
      <c r="AC915" s="2329"/>
      <c r="AD915" s="2329"/>
      <c r="AE915" s="2329"/>
      <c r="AF915" s="2330"/>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46"/>
      <c r="CS915" s="61"/>
      <c r="CT915" s="61"/>
      <c r="CU915" s="61"/>
      <c r="CV915" s="61"/>
      <c r="CW915" s="61"/>
      <c r="CX915" s="61"/>
      <c r="CY915" s="61"/>
      <c r="CZ915" s="61"/>
      <c r="DA915" s="61"/>
      <c r="DB915" s="61"/>
      <c r="DC915" s="61"/>
      <c r="DD915" s="61"/>
      <c r="DE915" s="61"/>
      <c r="DF915" s="61"/>
    </row>
    <row r="916" spans="1:110" ht="12.95" customHeight="1">
      <c r="F916" s="76" t="s">
        <v>831</v>
      </c>
      <c r="G916" s="77"/>
      <c r="H916" s="77"/>
      <c r="I916" s="77"/>
      <c r="J916" s="77"/>
      <c r="K916" s="77"/>
      <c r="L916" s="77"/>
      <c r="M916" s="77"/>
      <c r="N916" s="77"/>
      <c r="O916" s="77"/>
      <c r="P916" s="2370" t="s">
        <v>678</v>
      </c>
      <c r="Q916" s="2080"/>
      <c r="R916" s="2080"/>
      <c r="S916" s="2080"/>
      <c r="T916" s="2081"/>
      <c r="U916" s="2370" t="s">
        <v>600</v>
      </c>
      <c r="V916" s="2080"/>
      <c r="W916" s="2080"/>
      <c r="X916" s="2080"/>
      <c r="Y916" s="2080"/>
      <c r="Z916" s="2081"/>
      <c r="AA916" s="2328"/>
      <c r="AB916" s="2329"/>
      <c r="AC916" s="2329"/>
      <c r="AD916" s="2329"/>
      <c r="AE916" s="2329"/>
      <c r="AF916" s="2330"/>
      <c r="AZ916" s="52"/>
      <c r="BA916" s="2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46"/>
      <c r="CS916" s="61"/>
      <c r="CT916" s="61"/>
      <c r="CU916" s="61"/>
      <c r="CV916" s="61"/>
      <c r="CW916" s="61"/>
      <c r="CX916" s="61"/>
      <c r="CY916" s="61"/>
      <c r="CZ916" s="61"/>
      <c r="DA916" s="61"/>
      <c r="DB916" s="61"/>
      <c r="DC916" s="61"/>
      <c r="DD916" s="61"/>
      <c r="DE916" s="61"/>
      <c r="DF916" s="61"/>
    </row>
    <row r="917" spans="1:110" ht="12.95" customHeight="1">
      <c r="F917" s="76" t="s">
        <v>87</v>
      </c>
      <c r="G917" s="80"/>
      <c r="H917" s="80"/>
      <c r="I917" s="2325" t="s">
        <v>2718</v>
      </c>
      <c r="J917" s="2326"/>
      <c r="K917" s="2326"/>
      <c r="L917" s="2326"/>
      <c r="M917" s="2326"/>
      <c r="N917" s="2326"/>
      <c r="O917" s="2326"/>
      <c r="P917" s="2326"/>
      <c r="Q917" s="2326"/>
      <c r="R917" s="2326"/>
      <c r="S917" s="2326"/>
      <c r="T917" s="2327"/>
      <c r="U917" s="2370" t="s">
        <v>554</v>
      </c>
      <c r="V917" s="2080"/>
      <c r="W917" s="2080"/>
      <c r="X917" s="2080"/>
      <c r="Y917" s="2080"/>
      <c r="Z917" s="2081"/>
      <c r="AA917" s="2328">
        <f>AO624</f>
        <v>6413275</v>
      </c>
      <c r="AB917" s="2329"/>
      <c r="AC917" s="2329"/>
      <c r="AD917" s="2329"/>
      <c r="AE917" s="2329"/>
      <c r="AF917" s="2330"/>
      <c r="AZ917" s="52"/>
      <c r="BA917" s="52"/>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46"/>
      <c r="CS917" s="61"/>
      <c r="CT917" s="61"/>
      <c r="CU917" s="61"/>
      <c r="CV917" s="61"/>
      <c r="CW917" s="61"/>
      <c r="CX917" s="61"/>
      <c r="CY917" s="61"/>
      <c r="CZ917" s="61"/>
      <c r="DA917" s="61"/>
      <c r="DB917" s="61"/>
      <c r="DC917" s="61"/>
      <c r="DD917" s="61"/>
      <c r="DE917" s="61"/>
      <c r="DF917" s="61"/>
    </row>
    <row r="918" spans="1:110" ht="12.95" customHeight="1">
      <c r="F918" s="76" t="s">
        <v>10</v>
      </c>
      <c r="G918" s="80"/>
      <c r="H918" s="80"/>
      <c r="I918" s="2325" t="s">
        <v>2615</v>
      </c>
      <c r="J918" s="2382"/>
      <c r="K918" s="2382"/>
      <c r="L918" s="2382"/>
      <c r="M918" s="2382"/>
      <c r="N918" s="2382"/>
      <c r="O918" s="2382"/>
      <c r="P918" s="2382"/>
      <c r="Q918" s="2382"/>
      <c r="R918" s="2382"/>
      <c r="S918" s="2382"/>
      <c r="T918" s="2383"/>
      <c r="U918" s="2370" t="s">
        <v>554</v>
      </c>
      <c r="V918" s="2080"/>
      <c r="W918" s="2080"/>
      <c r="X918" s="2080"/>
      <c r="Y918" s="2080"/>
      <c r="Z918" s="2081"/>
      <c r="AA918" s="2328">
        <f t="shared" ref="AA918:AA920" si="53">AO625</f>
        <v>4004300</v>
      </c>
      <c r="AB918" s="2329"/>
      <c r="AC918" s="2329"/>
      <c r="AD918" s="2329"/>
      <c r="AE918" s="2329"/>
      <c r="AF918" s="2330"/>
      <c r="AZ918" s="61"/>
      <c r="BA918" s="61"/>
      <c r="BB918" s="21"/>
      <c r="BC918" s="21"/>
      <c r="BD918" s="21"/>
      <c r="BE918" s="2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46"/>
      <c r="CS918" s="61"/>
      <c r="CT918" s="61"/>
      <c r="CU918" s="61"/>
      <c r="CV918" s="61"/>
      <c r="CW918" s="61"/>
      <c r="CX918" s="61"/>
      <c r="CY918" s="61"/>
      <c r="CZ918" s="61"/>
      <c r="DA918" s="61"/>
      <c r="DB918" s="61"/>
      <c r="DC918" s="61"/>
      <c r="DD918" s="61"/>
      <c r="DE918" s="61"/>
      <c r="DF918" s="61"/>
    </row>
    <row r="919" spans="1:110" ht="12.95" customHeight="1">
      <c r="F919" s="79" t="s">
        <v>170</v>
      </c>
      <c r="G919" s="80"/>
      <c r="H919" s="80"/>
      <c r="I919" s="2381" t="str">
        <f>C626</f>
        <v>FHLBSF AHP</v>
      </c>
      <c r="J919" s="2382"/>
      <c r="K919" s="2382"/>
      <c r="L919" s="2382"/>
      <c r="M919" s="2382"/>
      <c r="N919" s="2382"/>
      <c r="O919" s="2382"/>
      <c r="P919" s="2382"/>
      <c r="Q919" s="2382"/>
      <c r="R919" s="2382"/>
      <c r="S919" s="2382"/>
      <c r="T919" s="2383"/>
      <c r="U919" s="2370" t="s">
        <v>554</v>
      </c>
      <c r="V919" s="2080"/>
      <c r="W919" s="2080"/>
      <c r="X919" s="2080"/>
      <c r="Y919" s="2080"/>
      <c r="Z919" s="2081"/>
      <c r="AA919" s="2328">
        <f t="shared" si="53"/>
        <v>1035000</v>
      </c>
      <c r="AB919" s="2329"/>
      <c r="AC919" s="2329"/>
      <c r="AD919" s="2329"/>
      <c r="AE919" s="2329"/>
      <c r="AF919" s="233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46"/>
      <c r="CS919" s="61"/>
      <c r="CT919" s="61"/>
      <c r="CU919" s="61"/>
      <c r="CV919" s="61"/>
      <c r="CW919" s="61"/>
      <c r="CX919" s="61"/>
      <c r="CY919" s="61"/>
      <c r="CZ919" s="61"/>
      <c r="DA919" s="61"/>
      <c r="DB919" s="61"/>
      <c r="DC919" s="61"/>
      <c r="DD919" s="61"/>
      <c r="DE919" s="61"/>
      <c r="DF919" s="61"/>
    </row>
    <row r="920" spans="1:110" ht="12.95" customHeight="1">
      <c r="F920" s="79" t="s">
        <v>170</v>
      </c>
      <c r="G920" s="80"/>
      <c r="H920" s="80"/>
      <c r="I920" s="2381" t="str">
        <f>C627</f>
        <v>Deferred Fee</v>
      </c>
      <c r="J920" s="2382"/>
      <c r="K920" s="2382"/>
      <c r="L920" s="2382"/>
      <c r="M920" s="2382"/>
      <c r="N920" s="2382"/>
      <c r="O920" s="2382"/>
      <c r="P920" s="2382"/>
      <c r="Q920" s="2382"/>
      <c r="R920" s="2382"/>
      <c r="S920" s="2382"/>
      <c r="T920" s="2383"/>
      <c r="U920" s="2370" t="s">
        <v>600</v>
      </c>
      <c r="V920" s="2080"/>
      <c r="W920" s="2080"/>
      <c r="X920" s="2080"/>
      <c r="Y920" s="2080"/>
      <c r="Z920" s="2081"/>
      <c r="AA920" s="2328">
        <f t="shared" si="53"/>
        <v>1000000</v>
      </c>
      <c r="AB920" s="2329"/>
      <c r="AC920" s="2329"/>
      <c r="AD920" s="2329"/>
      <c r="AE920" s="2329"/>
      <c r="AF920" s="233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46"/>
      <c r="CS920" s="61"/>
      <c r="CT920" s="61"/>
      <c r="CU920" s="61"/>
      <c r="CV920" s="61"/>
      <c r="CW920" s="61"/>
      <c r="CX920" s="61"/>
      <c r="CY920" s="61"/>
      <c r="CZ920" s="61"/>
      <c r="DA920" s="61"/>
      <c r="DB920" s="61"/>
      <c r="DC920" s="61"/>
      <c r="DD920" s="61"/>
      <c r="DE920" s="61"/>
      <c r="DF920" s="61"/>
    </row>
    <row r="921" spans="1:110" ht="12.95" customHeight="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46"/>
      <c r="CS921" s="61"/>
      <c r="CT921" s="61"/>
      <c r="CU921" s="61"/>
      <c r="CV921" s="61"/>
      <c r="CW921" s="61"/>
      <c r="CX921" s="61"/>
      <c r="CY921" s="61"/>
      <c r="CZ921" s="61"/>
      <c r="DA921" s="61"/>
      <c r="DB921" s="61"/>
      <c r="DC921" s="61"/>
      <c r="DD921" s="61"/>
      <c r="DE921" s="61"/>
      <c r="DF921" s="61"/>
    </row>
    <row r="922" spans="1:110" ht="12.95" customHeight="1">
      <c r="A922" s="50" t="s">
        <v>585</v>
      </c>
      <c r="C922" s="50" t="s">
        <v>763</v>
      </c>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46"/>
      <c r="CS922" s="61"/>
      <c r="CT922" s="61"/>
      <c r="CU922" s="61"/>
      <c r="CV922" s="61"/>
      <c r="CW922" s="61"/>
      <c r="CX922" s="61"/>
      <c r="CY922" s="61"/>
      <c r="CZ922" s="61"/>
      <c r="DA922" s="61"/>
      <c r="DB922" s="61"/>
      <c r="DC922" s="61"/>
      <c r="DD922" s="61"/>
      <c r="DE922" s="61"/>
      <c r="DF922" s="61"/>
    </row>
    <row r="923" spans="1:110" ht="12.95" customHeight="1">
      <c r="B923" s="102"/>
      <c r="C923" s="34" t="s">
        <v>393</v>
      </c>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424"/>
      <c r="AN923" s="1424"/>
      <c r="AO923" s="1424"/>
      <c r="AP923" s="1424"/>
      <c r="AQ923" s="1424"/>
      <c r="AR923" s="1424"/>
      <c r="AS923" s="1424"/>
      <c r="AT923" s="1424"/>
      <c r="AU923" s="1424"/>
      <c r="AV923" s="1424"/>
      <c r="AW923" s="1424"/>
      <c r="AX923" s="1424"/>
      <c r="AY923" s="14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46"/>
      <c r="CS923" s="61"/>
      <c r="CT923" s="61"/>
      <c r="CU923" s="61"/>
      <c r="CV923" s="61"/>
      <c r="CW923" s="61"/>
      <c r="CX923" s="61"/>
      <c r="CY923" s="61"/>
      <c r="CZ923" s="61"/>
      <c r="DA923" s="61"/>
      <c r="DB923" s="61"/>
      <c r="DC923" s="61"/>
      <c r="DD923" s="61"/>
      <c r="DE923" s="61"/>
      <c r="DF923" s="61"/>
    </row>
    <row r="924" spans="1:110" ht="12.95" customHeight="1">
      <c r="AZ924" s="61"/>
      <c r="BA924" s="61"/>
      <c r="BB924" s="61"/>
      <c r="BC924" s="61"/>
      <c r="BD924" s="61"/>
      <c r="BE924" s="61"/>
      <c r="BF924" s="61"/>
      <c r="BG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46"/>
      <c r="CS924" s="61"/>
      <c r="CT924" s="61"/>
      <c r="CU924" s="61"/>
      <c r="CV924" s="61"/>
      <c r="CW924" s="61"/>
      <c r="CX924" s="61"/>
      <c r="CY924" s="61"/>
      <c r="CZ924" s="61"/>
      <c r="DA924" s="61"/>
      <c r="DB924" s="61"/>
      <c r="DC924" s="61"/>
      <c r="DD924" s="61"/>
      <c r="DE924" s="61"/>
      <c r="DF924" s="61"/>
    </row>
    <row r="925" spans="1:110" ht="12.95" customHeight="1">
      <c r="C925" s="103" t="s">
        <v>11</v>
      </c>
      <c r="D925" s="77"/>
      <c r="E925" s="77"/>
      <c r="F925" s="77"/>
      <c r="G925" s="77"/>
      <c r="H925" s="77"/>
      <c r="I925" s="77"/>
      <c r="J925" s="77"/>
      <c r="K925" s="77"/>
      <c r="L925" s="78"/>
      <c r="M925" s="2380">
        <v>44084</v>
      </c>
      <c r="N925" s="2301"/>
      <c r="O925" s="2301"/>
      <c r="P925" s="2301"/>
      <c r="Q925" s="2301"/>
      <c r="R925" s="2301"/>
      <c r="S925" s="2349"/>
      <c r="U925" s="103" t="s">
        <v>11</v>
      </c>
      <c r="V925" s="77"/>
      <c r="W925" s="77"/>
      <c r="X925" s="77"/>
      <c r="Y925" s="77"/>
      <c r="Z925" s="77"/>
      <c r="AA925" s="77"/>
      <c r="AB925" s="77"/>
      <c r="AC925" s="77"/>
      <c r="AD925" s="78"/>
      <c r="AE925" s="2380"/>
      <c r="AF925" s="2301"/>
      <c r="AG925" s="2301"/>
      <c r="AH925" s="2301"/>
      <c r="AI925" s="2301"/>
      <c r="AJ925" s="2301"/>
      <c r="AK925" s="234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46"/>
      <c r="CS925" s="61"/>
      <c r="CT925" s="61"/>
      <c r="CU925" s="61"/>
      <c r="CV925" s="61"/>
      <c r="CW925" s="61"/>
      <c r="CX925" s="61"/>
      <c r="CY925" s="61"/>
      <c r="CZ925" s="61"/>
      <c r="DA925" s="61"/>
      <c r="DB925" s="61"/>
      <c r="DC925" s="61"/>
      <c r="DD925" s="61"/>
      <c r="DE925" s="61"/>
      <c r="DF925" s="61"/>
    </row>
    <row r="926" spans="1:110" ht="12.95" customHeight="1">
      <c r="C926" s="103" t="s">
        <v>12</v>
      </c>
      <c r="D926" s="77"/>
      <c r="E926" s="77"/>
      <c r="F926" s="77"/>
      <c r="G926" s="77"/>
      <c r="H926" s="77"/>
      <c r="I926" s="77"/>
      <c r="J926" s="77"/>
      <c r="K926" s="77"/>
      <c r="L926" s="78"/>
      <c r="M926" s="2367" t="s">
        <v>2760</v>
      </c>
      <c r="N926" s="2368"/>
      <c r="O926" s="2368"/>
      <c r="P926" s="2368"/>
      <c r="Q926" s="2368"/>
      <c r="R926" s="2368"/>
      <c r="S926" s="2369"/>
      <c r="U926" s="103" t="s">
        <v>12</v>
      </c>
      <c r="V926" s="77"/>
      <c r="W926" s="77"/>
      <c r="X926" s="77"/>
      <c r="Y926" s="77"/>
      <c r="Z926" s="77"/>
      <c r="AA926" s="77"/>
      <c r="AB926" s="77"/>
      <c r="AC926" s="77"/>
      <c r="AD926" s="78"/>
      <c r="AE926" s="2367"/>
      <c r="AF926" s="2368"/>
      <c r="AG926" s="2368"/>
      <c r="AH926" s="2368"/>
      <c r="AI926" s="2368"/>
      <c r="AJ926" s="2368"/>
      <c r="AK926" s="236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46"/>
      <c r="CS926" s="61"/>
      <c r="CT926" s="61"/>
      <c r="CU926" s="61"/>
      <c r="CV926" s="61"/>
      <c r="CW926" s="61"/>
      <c r="CX926" s="61"/>
      <c r="CY926" s="61"/>
      <c r="CZ926" s="61"/>
      <c r="DA926" s="61"/>
      <c r="DB926" s="61"/>
      <c r="DC926" s="61"/>
      <c r="DD926" s="61"/>
      <c r="DE926" s="61"/>
      <c r="DF926" s="61"/>
    </row>
    <row r="927" spans="1:110" ht="12.95" customHeight="1">
      <c r="C927" s="103" t="s">
        <v>909</v>
      </c>
      <c r="D927" s="77"/>
      <c r="E927" s="77"/>
      <c r="J927" s="2371" t="s">
        <v>2761</v>
      </c>
      <c r="K927" s="2372"/>
      <c r="L927" s="2372"/>
      <c r="M927" s="2372"/>
      <c r="N927" s="2372"/>
      <c r="O927" s="2372"/>
      <c r="P927" s="2372"/>
      <c r="Q927" s="2372"/>
      <c r="R927" s="2372"/>
      <c r="S927" s="2373"/>
      <c r="U927" s="103" t="s">
        <v>909</v>
      </c>
      <c r="V927" s="77"/>
      <c r="W927" s="77"/>
      <c r="AB927" s="2371" t="s">
        <v>308</v>
      </c>
      <c r="AC927" s="2372"/>
      <c r="AD927" s="2372"/>
      <c r="AE927" s="2372"/>
      <c r="AF927" s="2372"/>
      <c r="AG927" s="2372"/>
      <c r="AH927" s="2372"/>
      <c r="AI927" s="2372"/>
      <c r="AJ927" s="2372"/>
      <c r="AK927" s="237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46"/>
      <c r="CS927" s="61"/>
      <c r="CT927" s="61"/>
      <c r="CU927" s="61"/>
      <c r="CV927" s="61"/>
      <c r="CW927" s="61"/>
      <c r="CX927" s="61"/>
      <c r="CY927" s="61"/>
      <c r="CZ927" s="61"/>
      <c r="DA927" s="61"/>
      <c r="DB927" s="61"/>
      <c r="DC927" s="61"/>
      <c r="DD927" s="61"/>
      <c r="DE927" s="61"/>
      <c r="DF927" s="61"/>
    </row>
    <row r="928" spans="1:110" ht="12.95" customHeight="1">
      <c r="C928" s="103" t="s">
        <v>13</v>
      </c>
      <c r="D928" s="77"/>
      <c r="E928" s="77"/>
      <c r="F928" s="77"/>
      <c r="G928" s="77"/>
      <c r="H928" s="77"/>
      <c r="I928" s="77"/>
      <c r="J928" s="77"/>
      <c r="K928" s="77"/>
      <c r="L928" s="78"/>
      <c r="M928" s="2554"/>
      <c r="N928" s="2408"/>
      <c r="O928" s="2408"/>
      <c r="P928" s="2408"/>
      <c r="Q928" s="2408"/>
      <c r="R928" s="2408"/>
      <c r="S928" s="2409"/>
      <c r="U928" s="103" t="s">
        <v>13</v>
      </c>
      <c r="V928" s="77"/>
      <c r="W928" s="77"/>
      <c r="X928" s="77"/>
      <c r="Y928" s="77"/>
      <c r="Z928" s="77"/>
      <c r="AA928" s="77"/>
      <c r="AB928" s="77"/>
      <c r="AC928" s="77"/>
      <c r="AD928" s="78"/>
      <c r="AE928" s="2407"/>
      <c r="AF928" s="2408"/>
      <c r="AG928" s="2408"/>
      <c r="AH928" s="2408"/>
      <c r="AI928" s="2408"/>
      <c r="AJ928" s="2408"/>
      <c r="AK928" s="2409"/>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46"/>
      <c r="CS928" s="61"/>
      <c r="CT928" s="61"/>
      <c r="CU928" s="61"/>
      <c r="CV928" s="61"/>
      <c r="CW928" s="61"/>
      <c r="CX928" s="61"/>
      <c r="CY928" s="61"/>
      <c r="CZ928" s="61"/>
      <c r="DA928" s="61"/>
      <c r="DB928" s="61"/>
      <c r="DC928" s="61"/>
      <c r="DD928" s="61"/>
      <c r="DE928" s="61"/>
      <c r="DF928" s="61"/>
    </row>
    <row r="929" spans="1:110" ht="12.95" customHeight="1">
      <c r="C929" s="103" t="s">
        <v>14</v>
      </c>
      <c r="D929" s="77"/>
      <c r="E929" s="77"/>
      <c r="F929" s="77"/>
      <c r="G929" s="77"/>
      <c r="H929" s="77"/>
      <c r="I929" s="77"/>
      <c r="J929" s="77"/>
      <c r="K929" s="77"/>
      <c r="L929" s="78"/>
      <c r="M929" s="2339">
        <v>32</v>
      </c>
      <c r="N929" s="2340"/>
      <c r="O929" s="2340"/>
      <c r="P929" s="2340"/>
      <c r="Q929" s="2340"/>
      <c r="R929" s="2340"/>
      <c r="S929" s="2341"/>
      <c r="U929" s="103" t="s">
        <v>14</v>
      </c>
      <c r="V929" s="77"/>
      <c r="W929" s="77"/>
      <c r="X929" s="77"/>
      <c r="Y929" s="77"/>
      <c r="Z929" s="77"/>
      <c r="AA929" s="77"/>
      <c r="AB929" s="77"/>
      <c r="AC929" s="77"/>
      <c r="AD929" s="78"/>
      <c r="AE929" s="2339"/>
      <c r="AF929" s="2340"/>
      <c r="AG929" s="2340"/>
      <c r="AH929" s="2340"/>
      <c r="AI929" s="2340"/>
      <c r="AJ929" s="2340"/>
      <c r="AK929" s="2341"/>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46"/>
      <c r="CS929" s="61"/>
      <c r="CT929" s="61"/>
      <c r="CU929" s="61"/>
      <c r="CV929" s="61"/>
      <c r="CW929" s="61"/>
      <c r="CX929" s="61"/>
      <c r="CY929" s="61"/>
      <c r="CZ929" s="61"/>
      <c r="DA929" s="61"/>
      <c r="DB929" s="61"/>
      <c r="DC929" s="61"/>
      <c r="DD929" s="61"/>
      <c r="DE929" s="61"/>
      <c r="DF929" s="61"/>
    </row>
    <row r="930" spans="1:110" ht="12.95" customHeight="1">
      <c r="C930" s="103" t="s">
        <v>15</v>
      </c>
      <c r="D930" s="77"/>
      <c r="E930" s="77"/>
      <c r="F930" s="77"/>
      <c r="G930" s="77"/>
      <c r="H930" s="77"/>
      <c r="I930" s="77"/>
      <c r="J930" s="77"/>
      <c r="K930" s="77"/>
      <c r="L930" s="78"/>
      <c r="M930" s="2452">
        <f>'Subsidy Contract Calculation'!J30</f>
        <v>449628</v>
      </c>
      <c r="N930" s="2193"/>
      <c r="O930" s="2193"/>
      <c r="P930" s="2193"/>
      <c r="Q930" s="2193"/>
      <c r="R930" s="2193"/>
      <c r="S930" s="2453"/>
      <c r="U930" s="103" t="s">
        <v>15</v>
      </c>
      <c r="V930" s="77"/>
      <c r="W930" s="77"/>
      <c r="X930" s="77"/>
      <c r="Y930" s="77"/>
      <c r="Z930" s="77"/>
      <c r="AA930" s="77"/>
      <c r="AB930" s="77"/>
      <c r="AC930" s="77"/>
      <c r="AD930" s="78"/>
      <c r="AE930" s="2452"/>
      <c r="AF930" s="2193"/>
      <c r="AG930" s="2193"/>
      <c r="AH930" s="2193"/>
      <c r="AI930" s="2193"/>
      <c r="AJ930" s="2193"/>
      <c r="AK930" s="2453"/>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46"/>
      <c r="CS930" s="61"/>
      <c r="CT930" s="61"/>
      <c r="CU930" s="61"/>
      <c r="CV930" s="61"/>
      <c r="CW930" s="61"/>
      <c r="CX930" s="61"/>
      <c r="CY930" s="61"/>
      <c r="CZ930" s="61"/>
      <c r="DA930" s="61"/>
      <c r="DB930" s="61"/>
      <c r="DC930" s="61"/>
      <c r="DD930" s="61"/>
      <c r="DE930" s="61"/>
      <c r="DF930" s="61"/>
    </row>
    <row r="931" spans="1:110" ht="12.95" customHeight="1">
      <c r="C931" s="103" t="s">
        <v>16</v>
      </c>
      <c r="D931" s="77"/>
      <c r="E931" s="77"/>
      <c r="F931" s="77"/>
      <c r="G931" s="77"/>
      <c r="H931" s="77"/>
      <c r="I931" s="77"/>
      <c r="J931" s="77"/>
      <c r="K931" s="77"/>
      <c r="L931" s="78"/>
      <c r="M931" s="2452">
        <f>M930*20</f>
        <v>8992560</v>
      </c>
      <c r="N931" s="2193"/>
      <c r="O931" s="2193"/>
      <c r="P931" s="2193"/>
      <c r="Q931" s="2193"/>
      <c r="R931" s="2193"/>
      <c r="S931" s="2453"/>
      <c r="U931" s="103" t="s">
        <v>16</v>
      </c>
      <c r="V931" s="77"/>
      <c r="W931" s="77"/>
      <c r="X931" s="77"/>
      <c r="Y931" s="77"/>
      <c r="Z931" s="77"/>
      <c r="AA931" s="77"/>
      <c r="AB931" s="77"/>
      <c r="AC931" s="77"/>
      <c r="AD931" s="78"/>
      <c r="AE931" s="2452"/>
      <c r="AF931" s="2193"/>
      <c r="AG931" s="2193"/>
      <c r="AH931" s="2193"/>
      <c r="AI931" s="2193"/>
      <c r="AJ931" s="2193"/>
      <c r="AK931" s="2453"/>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46"/>
      <c r="CS931" s="61"/>
      <c r="CT931" s="61"/>
      <c r="CU931" s="61"/>
      <c r="CV931" s="61"/>
      <c r="CW931" s="61"/>
      <c r="CX931" s="61"/>
      <c r="CY931" s="61"/>
      <c r="CZ931" s="61"/>
      <c r="DA931" s="61"/>
      <c r="DB931" s="61"/>
      <c r="DC931" s="61"/>
      <c r="DD931" s="61"/>
      <c r="DE931" s="61"/>
      <c r="DF931" s="61"/>
    </row>
    <row r="932" spans="1:110" ht="12.95" customHeight="1">
      <c r="C932" s="185" t="s">
        <v>1841</v>
      </c>
      <c r="D932" s="77"/>
      <c r="E932" s="77"/>
      <c r="F932" s="77"/>
      <c r="G932" s="77"/>
      <c r="H932" s="77"/>
      <c r="I932" s="77"/>
      <c r="J932" s="77"/>
      <c r="K932" s="77"/>
      <c r="L932" s="78"/>
      <c r="M932" s="2404">
        <v>20</v>
      </c>
      <c r="N932" s="2405"/>
      <c r="O932" s="2405"/>
      <c r="P932" s="2405"/>
      <c r="Q932" s="2405"/>
      <c r="R932" s="2405"/>
      <c r="S932" s="2406"/>
      <c r="U932" s="185" t="s">
        <v>1841</v>
      </c>
      <c r="V932" s="77"/>
      <c r="W932" s="77"/>
      <c r="X932" s="77"/>
      <c r="Y932" s="77"/>
      <c r="Z932" s="77"/>
      <c r="AA932" s="77"/>
      <c r="AB932" s="77"/>
      <c r="AC932" s="77"/>
      <c r="AD932" s="78"/>
      <c r="AE932" s="2404"/>
      <c r="AF932" s="2405"/>
      <c r="AG932" s="2405"/>
      <c r="AH932" s="2405"/>
      <c r="AI932" s="2405"/>
      <c r="AJ932" s="2405"/>
      <c r="AK932" s="2406"/>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46"/>
      <c r="CS932" s="61"/>
      <c r="CT932" s="61"/>
      <c r="CU932" s="61"/>
      <c r="CV932" s="61"/>
      <c r="CW932" s="61"/>
      <c r="CX932" s="61"/>
      <c r="CY932" s="61"/>
      <c r="CZ932" s="61"/>
      <c r="DA932" s="61"/>
      <c r="DB932" s="61"/>
      <c r="DC932" s="61"/>
      <c r="DD932" s="61"/>
      <c r="DE932" s="61"/>
      <c r="DF932" s="61"/>
    </row>
    <row r="933" spans="1:110" ht="12.95" customHeight="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46"/>
      <c r="CS933" s="61"/>
      <c r="CT933" s="61"/>
      <c r="CU933" s="61"/>
      <c r="CV933" s="61"/>
      <c r="CW933" s="61"/>
      <c r="CX933" s="61"/>
      <c r="CY933" s="61"/>
      <c r="CZ933" s="61"/>
      <c r="DA933" s="61"/>
      <c r="DB933" s="61"/>
      <c r="DC933" s="61"/>
      <c r="DD933" s="61"/>
      <c r="DE933" s="61"/>
      <c r="DF933" s="61"/>
    </row>
    <row r="934" spans="1:110" ht="12.95" customHeight="1">
      <c r="A934" s="50" t="s">
        <v>595</v>
      </c>
      <c r="C934" s="102" t="s">
        <v>659</v>
      </c>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424"/>
      <c r="AN934" s="1424"/>
      <c r="AO934" s="1424"/>
      <c r="AP934" s="1424"/>
      <c r="AQ934" s="1424"/>
      <c r="AR934" s="1424"/>
      <c r="AS934" s="1424"/>
      <c r="AT934" s="1424"/>
      <c r="AU934" s="1424"/>
      <c r="AV934" s="1424"/>
      <c r="AW934" s="1424"/>
      <c r="AX934" s="1424"/>
      <c r="AY934" s="14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46"/>
      <c r="CS934" s="61"/>
      <c r="CT934" s="61"/>
      <c r="CU934" s="61"/>
      <c r="CV934" s="61"/>
      <c r="CW934" s="61"/>
      <c r="CX934" s="61"/>
      <c r="CY934" s="61"/>
      <c r="CZ934" s="61"/>
      <c r="DA934" s="61"/>
      <c r="DB934" s="61"/>
      <c r="DC934" s="61"/>
      <c r="DD934" s="61"/>
      <c r="DE934" s="61"/>
      <c r="DF934" s="61"/>
    </row>
    <row r="935" spans="1:110" ht="12.95" customHeight="1">
      <c r="B935" s="102"/>
      <c r="C935" s="34" t="s">
        <v>180</v>
      </c>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424"/>
      <c r="AN935" s="1424"/>
      <c r="AO935" s="1424"/>
      <c r="AP935" s="1424"/>
      <c r="AQ935" s="1424"/>
      <c r="AR935" s="1424"/>
      <c r="AS935" s="1424"/>
      <c r="AT935" s="1424"/>
      <c r="AU935" s="1424"/>
      <c r="AV935" s="1424"/>
      <c r="AW935" s="1424"/>
      <c r="AX935" s="1424"/>
      <c r="AY935" s="1424"/>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46"/>
      <c r="CS935" s="61"/>
      <c r="CT935" s="61"/>
      <c r="CU935" s="61"/>
      <c r="CV935" s="61"/>
      <c r="CW935" s="61"/>
      <c r="CX935" s="61"/>
      <c r="CY935" s="61"/>
      <c r="CZ935" s="61"/>
      <c r="DA935" s="61"/>
      <c r="DB935" s="61"/>
      <c r="DC935" s="61"/>
      <c r="DD935" s="61"/>
      <c r="DE935" s="61"/>
      <c r="DF935" s="61"/>
    </row>
    <row r="936" spans="1:110" ht="12.95" customHeight="1">
      <c r="B936" s="102"/>
      <c r="C936" s="34"/>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424"/>
      <c r="AN936" s="1424"/>
      <c r="AO936" s="1424"/>
      <c r="AP936" s="1424"/>
      <c r="AQ936" s="1424"/>
      <c r="AR936" s="1424"/>
      <c r="AS936" s="1424"/>
      <c r="AT936" s="1424"/>
      <c r="AU936" s="1424"/>
      <c r="AV936" s="1424"/>
      <c r="AW936" s="1424"/>
      <c r="AX936" s="1424"/>
      <c r="AY936" s="1424"/>
      <c r="AZ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46"/>
      <c r="CS936" s="61"/>
      <c r="CT936" s="61"/>
      <c r="CU936" s="61"/>
      <c r="CV936" s="61"/>
      <c r="CW936" s="61"/>
      <c r="CX936" s="61"/>
      <c r="CY936" s="61"/>
      <c r="CZ936" s="61"/>
      <c r="DA936" s="61"/>
      <c r="DB936" s="61"/>
      <c r="DC936" s="61"/>
      <c r="DD936" s="61"/>
      <c r="DE936" s="61"/>
      <c r="DF936" s="61"/>
    </row>
    <row r="937" spans="1:110" ht="12.95" customHeight="1">
      <c r="F937" s="76" t="s">
        <v>580</v>
      </c>
      <c r="G937" s="77"/>
      <c r="H937" s="77"/>
      <c r="I937" s="77"/>
      <c r="J937" s="77"/>
      <c r="K937" s="77"/>
      <c r="L937" s="78"/>
      <c r="M937" s="2374"/>
      <c r="N937" s="2375"/>
      <c r="O937" s="2375"/>
      <c r="P937" s="2375"/>
      <c r="Q937" s="2375"/>
      <c r="R937" s="2375"/>
      <c r="S937" s="2376"/>
      <c r="T937" s="103" t="s">
        <v>814</v>
      </c>
      <c r="U937" s="77"/>
      <c r="V937" s="77"/>
      <c r="W937" s="77"/>
      <c r="X937" s="77"/>
      <c r="Y937" s="77"/>
      <c r="Z937" s="78"/>
      <c r="AA937" s="2374"/>
      <c r="AB937" s="2375"/>
      <c r="AC937" s="2375"/>
      <c r="AD937" s="2375"/>
      <c r="AE937" s="2375"/>
      <c r="AF937" s="2375"/>
      <c r="AG937" s="2376"/>
      <c r="AZ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46"/>
      <c r="CS937" s="61"/>
      <c r="CT937" s="61"/>
      <c r="CU937" s="61"/>
      <c r="CV937" s="61"/>
      <c r="CW937" s="61"/>
      <c r="CX937" s="61"/>
      <c r="CY937" s="61"/>
      <c r="CZ937" s="61"/>
      <c r="DA937" s="61"/>
      <c r="DB937" s="61"/>
      <c r="DC937" s="61"/>
      <c r="DD937" s="61"/>
      <c r="DE937" s="61"/>
      <c r="DF937" s="61"/>
    </row>
    <row r="938" spans="1:110" ht="12.95" customHeight="1">
      <c r="F938" s="76" t="s">
        <v>581</v>
      </c>
      <c r="G938" s="77"/>
      <c r="H938" s="77"/>
      <c r="I938" s="77"/>
      <c r="J938" s="77"/>
      <c r="K938" s="77"/>
      <c r="L938" s="78"/>
      <c r="M938" s="2374"/>
      <c r="N938" s="2375"/>
      <c r="O938" s="2375"/>
      <c r="P938" s="2375"/>
      <c r="Q938" s="2375"/>
      <c r="R938" s="2375"/>
      <c r="S938" s="2376"/>
      <c r="T938" s="103" t="s">
        <v>813</v>
      </c>
      <c r="U938" s="77"/>
      <c r="V938" s="77"/>
      <c r="W938" s="77"/>
      <c r="X938" s="77"/>
      <c r="Y938" s="77"/>
      <c r="Z938" s="78"/>
      <c r="AA938" s="2374"/>
      <c r="AB938" s="2375"/>
      <c r="AC938" s="2375"/>
      <c r="AD938" s="2375"/>
      <c r="AE938" s="2375"/>
      <c r="AF938" s="2375"/>
      <c r="AG938" s="2376"/>
      <c r="AZ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46"/>
      <c r="CS938" s="61"/>
      <c r="CT938" s="61"/>
      <c r="CU938" s="61"/>
      <c r="CV938" s="61"/>
      <c r="CW938" s="61"/>
      <c r="CX938" s="61"/>
      <c r="CY938" s="61"/>
      <c r="CZ938" s="61"/>
      <c r="DA938" s="61"/>
      <c r="DB938" s="61"/>
      <c r="DC938" s="61"/>
      <c r="DD938" s="61"/>
      <c r="DE938" s="61"/>
      <c r="DF938" s="61"/>
    </row>
    <row r="939" spans="1:110" ht="12.95" customHeight="1">
      <c r="F939" s="76" t="s">
        <v>934</v>
      </c>
      <c r="G939" s="77"/>
      <c r="H939" s="77"/>
      <c r="I939" s="77"/>
      <c r="J939" s="77"/>
      <c r="K939" s="77"/>
      <c r="L939" s="78"/>
      <c r="M939" s="2401" t="s">
        <v>600</v>
      </c>
      <c r="N939" s="2402"/>
      <c r="O939" s="2402"/>
      <c r="P939" s="2402"/>
      <c r="Q939" s="2402"/>
      <c r="R939" s="2402"/>
      <c r="S939" s="2403"/>
      <c r="T939" s="76" t="s">
        <v>338</v>
      </c>
      <c r="U939" s="77"/>
      <c r="V939" s="77"/>
      <c r="W939" s="77"/>
      <c r="X939" s="77"/>
      <c r="Y939" s="77"/>
      <c r="Z939" s="78"/>
      <c r="AA939" s="2374"/>
      <c r="AB939" s="2375"/>
      <c r="AC939" s="2375"/>
      <c r="AD939" s="2375"/>
      <c r="AE939" s="2375"/>
      <c r="AF939" s="2375"/>
      <c r="AG939" s="2376"/>
      <c r="AZ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46"/>
      <c r="CS939" s="61"/>
      <c r="CT939" s="61"/>
      <c r="CU939" s="61"/>
      <c r="CV939" s="61"/>
      <c r="CW939" s="61"/>
      <c r="CX939" s="61"/>
      <c r="CY939" s="61"/>
      <c r="CZ939" s="61"/>
      <c r="DA939" s="61"/>
      <c r="DB939" s="61"/>
      <c r="DC939" s="61"/>
      <c r="DD939" s="61"/>
      <c r="DE939" s="61"/>
      <c r="DF939" s="61"/>
    </row>
    <row r="940" spans="1:110" ht="12.95" customHeight="1">
      <c r="F940" s="76" t="s">
        <v>582</v>
      </c>
      <c r="G940" s="77"/>
      <c r="H940" s="77"/>
      <c r="I940" s="77"/>
      <c r="J940" s="77"/>
      <c r="K940" s="77"/>
      <c r="L940" s="78"/>
      <c r="M940" s="2374"/>
      <c r="N940" s="2375"/>
      <c r="O940" s="2375"/>
      <c r="P940" s="2375"/>
      <c r="Q940" s="2375"/>
      <c r="R940" s="2375"/>
      <c r="S940" s="2376"/>
      <c r="T940" s="76" t="s">
        <v>339</v>
      </c>
      <c r="U940" s="77"/>
      <c r="V940" s="77"/>
      <c r="W940" s="77"/>
      <c r="X940" s="77"/>
      <c r="Y940" s="77"/>
      <c r="Z940" s="78"/>
      <c r="AA940" s="2374"/>
      <c r="AB940" s="2375"/>
      <c r="AC940" s="2375"/>
      <c r="AD940" s="2375"/>
      <c r="AE940" s="2375"/>
      <c r="AF940" s="2375"/>
      <c r="AG940" s="2376"/>
      <c r="AZ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46"/>
      <c r="CS940" s="61"/>
      <c r="CT940" s="61"/>
      <c r="CU940" s="61"/>
      <c r="CV940" s="61"/>
      <c r="CW940" s="61"/>
      <c r="CX940" s="61"/>
      <c r="CY940" s="61"/>
      <c r="CZ940" s="61"/>
      <c r="DA940" s="61"/>
      <c r="DB940" s="61"/>
      <c r="DC940" s="61"/>
      <c r="DD940" s="61"/>
      <c r="DE940" s="61"/>
      <c r="DF940" s="61"/>
    </row>
    <row r="941" spans="1:110" ht="12.95" customHeight="1">
      <c r="F941" s="76" t="s">
        <v>473</v>
      </c>
      <c r="G941" s="77"/>
      <c r="H941" s="77"/>
      <c r="I941" s="77"/>
      <c r="J941" s="77"/>
      <c r="K941" s="77"/>
      <c r="L941" s="78"/>
      <c r="M941" s="2374"/>
      <c r="N941" s="2375"/>
      <c r="O941" s="2375"/>
      <c r="P941" s="2375"/>
      <c r="Q941" s="2375"/>
      <c r="R941" s="2375"/>
      <c r="S941" s="2376"/>
      <c r="T941" s="76" t="s">
        <v>377</v>
      </c>
      <c r="U941" s="77"/>
      <c r="V941" s="77"/>
      <c r="W941" s="77"/>
      <c r="X941" s="77"/>
      <c r="Y941" s="77"/>
      <c r="Z941" s="78"/>
      <c r="AA941" s="2374"/>
      <c r="AB941" s="2375"/>
      <c r="AC941" s="2375"/>
      <c r="AD941" s="2375"/>
      <c r="AE941" s="2375"/>
      <c r="AF941" s="2375"/>
      <c r="AG941" s="2376"/>
      <c r="AZ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46"/>
      <c r="CS941" s="61"/>
      <c r="CT941" s="61"/>
      <c r="CU941" s="61"/>
      <c r="CV941" s="61"/>
      <c r="CW941" s="61"/>
      <c r="CX941" s="61"/>
      <c r="CY941" s="61"/>
      <c r="CZ941" s="61"/>
      <c r="DA941" s="61"/>
      <c r="DB941" s="61"/>
      <c r="DC941" s="61"/>
      <c r="DD941" s="61"/>
      <c r="DE941" s="61"/>
      <c r="DF941" s="61"/>
    </row>
    <row r="942" spans="1:110" ht="12.95" customHeight="1">
      <c r="F942" s="386" t="s">
        <v>909</v>
      </c>
      <c r="G942" s="72"/>
      <c r="H942" s="72"/>
      <c r="I942" s="72"/>
      <c r="J942" s="72"/>
      <c r="K942" s="72"/>
      <c r="L942" s="94"/>
      <c r="M942" s="2569" t="s">
        <v>308</v>
      </c>
      <c r="N942" s="2570"/>
      <c r="O942" s="2570"/>
      <c r="P942" s="2570"/>
      <c r="Q942" s="2570"/>
      <c r="R942" s="2570"/>
      <c r="S942" s="2571"/>
      <c r="T942" s="2377"/>
      <c r="U942" s="2378"/>
      <c r="V942" s="2378"/>
      <c r="W942" s="2378"/>
      <c r="X942" s="2378"/>
      <c r="Y942" s="2378"/>
      <c r="Z942" s="2379"/>
      <c r="AA942" s="2374"/>
      <c r="AB942" s="2375"/>
      <c r="AC942" s="2375"/>
      <c r="AD942" s="2375"/>
      <c r="AE942" s="2375"/>
      <c r="AF942" s="2375"/>
      <c r="AG942" s="2376"/>
      <c r="AZ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46"/>
      <c r="CS942" s="61"/>
      <c r="CT942" s="61"/>
      <c r="CU942" s="61"/>
      <c r="CV942" s="61"/>
      <c r="CW942" s="61"/>
      <c r="CX942" s="61"/>
      <c r="CY942" s="61"/>
      <c r="CZ942" s="61"/>
      <c r="DA942" s="61"/>
      <c r="DB942" s="61"/>
      <c r="DC942" s="61"/>
      <c r="DD942" s="61"/>
      <c r="DE942" s="61"/>
      <c r="DF942" s="61"/>
    </row>
    <row r="943" spans="1:110" ht="12.95" customHeight="1">
      <c r="F943" s="71" t="s">
        <v>474</v>
      </c>
      <c r="G943" s="72"/>
      <c r="H943" s="72"/>
      <c r="I943" s="72"/>
      <c r="J943" s="72"/>
      <c r="K943" s="72"/>
      <c r="L943" s="94"/>
      <c r="M943" s="2374"/>
      <c r="N943" s="2375"/>
      <c r="O943" s="2375"/>
      <c r="P943" s="2375"/>
      <c r="Q943" s="2375"/>
      <c r="R943" s="2375"/>
      <c r="S943" s="2376"/>
      <c r="T943" s="2377"/>
      <c r="U943" s="2378"/>
      <c r="V943" s="2378"/>
      <c r="W943" s="2378"/>
      <c r="X943" s="2378"/>
      <c r="Y943" s="2378"/>
      <c r="Z943" s="2379"/>
      <c r="AA943" s="2374"/>
      <c r="AB943" s="2375"/>
      <c r="AC943" s="2375"/>
      <c r="AD943" s="2375"/>
      <c r="AE943" s="2375"/>
      <c r="AF943" s="2375"/>
      <c r="AG943" s="2376"/>
      <c r="AZ943" s="61"/>
      <c r="BB943" s="61"/>
      <c r="BC943" s="61"/>
      <c r="BD943" s="61"/>
      <c r="BE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46"/>
      <c r="CS943" s="61"/>
      <c r="CT943" s="61"/>
      <c r="CU943" s="61"/>
      <c r="CV943" s="61"/>
      <c r="CW943" s="61"/>
      <c r="CX943" s="61"/>
      <c r="CY943" s="61"/>
      <c r="CZ943" s="61"/>
      <c r="DA943" s="61"/>
      <c r="DB943" s="61"/>
      <c r="DC943" s="61"/>
      <c r="DD943" s="61"/>
      <c r="DE943" s="61"/>
      <c r="DF943" s="61"/>
    </row>
    <row r="944" spans="1:110" ht="12.95" customHeight="1">
      <c r="F944" s="71" t="s">
        <v>337</v>
      </c>
      <c r="G944" s="72"/>
      <c r="H944" s="72"/>
      <c r="I944" s="72"/>
      <c r="J944" s="72"/>
      <c r="K944" s="72"/>
      <c r="L944" s="72"/>
      <c r="M944" s="72"/>
      <c r="N944" s="72"/>
      <c r="O944" s="2090" t="s">
        <v>678</v>
      </c>
      <c r="P944" s="2092"/>
      <c r="Q944" s="139"/>
      <c r="R944" s="139"/>
      <c r="S944" s="140"/>
      <c r="T944" s="71" t="s">
        <v>170</v>
      </c>
      <c r="U944" s="72"/>
      <c r="V944" s="72"/>
      <c r="W944" s="2390" t="s">
        <v>335</v>
      </c>
      <c r="X944" s="2391"/>
      <c r="Y944" s="2391"/>
      <c r="Z944" s="2391"/>
      <c r="AA944" s="2391"/>
      <c r="AB944" s="2391"/>
      <c r="AC944" s="2391"/>
      <c r="AD944" s="2391"/>
      <c r="AE944" s="2391"/>
      <c r="AF944" s="2391"/>
      <c r="AG944" s="2392"/>
      <c r="AZ944" s="61"/>
      <c r="BB944" s="61"/>
      <c r="BC944" s="61"/>
      <c r="BD944" s="61"/>
      <c r="BE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46"/>
      <c r="CS944" s="61"/>
      <c r="CT944" s="61"/>
      <c r="CU944" s="61"/>
      <c r="CV944" s="61"/>
      <c r="CW944" s="61"/>
      <c r="CX944" s="61"/>
      <c r="CY944" s="61"/>
      <c r="CZ944" s="61"/>
      <c r="DA944" s="61"/>
      <c r="DB944" s="61"/>
      <c r="DC944" s="61"/>
      <c r="DD944" s="61"/>
      <c r="DE944" s="61"/>
      <c r="DF944" s="61"/>
    </row>
    <row r="945" spans="1:110" ht="12.95" customHeight="1">
      <c r="F945" s="2323" t="s">
        <v>33</v>
      </c>
      <c r="G945" s="2324"/>
      <c r="H945" s="2324"/>
      <c r="I945" s="2324"/>
      <c r="J945" s="2324"/>
      <c r="K945" s="2324"/>
      <c r="L945" s="2324"/>
      <c r="M945" s="2374"/>
      <c r="N945" s="2375"/>
      <c r="O945" s="2375"/>
      <c r="P945" s="2375"/>
      <c r="Q945" s="2375"/>
      <c r="R945" s="2375"/>
      <c r="S945" s="2376"/>
      <c r="T945" s="79"/>
      <c r="U945" s="80"/>
      <c r="V945" s="80"/>
      <c r="W945" s="80"/>
      <c r="X945" s="80"/>
      <c r="Y945" s="80"/>
      <c r="Z945" s="188" t="s">
        <v>135</v>
      </c>
      <c r="AA945" s="2563"/>
      <c r="AB945" s="2564"/>
      <c r="AC945" s="2564"/>
      <c r="AD945" s="2564"/>
      <c r="AE945" s="2564"/>
      <c r="AF945" s="2564"/>
      <c r="AG945" s="2565"/>
      <c r="AZ945" s="61"/>
      <c r="BB945" s="61"/>
      <c r="BC945" s="61"/>
      <c r="BD945" s="61"/>
      <c r="BE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46"/>
      <c r="CS945" s="61"/>
      <c r="CT945" s="61"/>
      <c r="CU945" s="61"/>
      <c r="CV945" s="61"/>
      <c r="CW945" s="61"/>
      <c r="CX945" s="61"/>
      <c r="CY945" s="61"/>
      <c r="CZ945" s="61"/>
      <c r="DA945" s="61"/>
      <c r="DB945" s="61"/>
      <c r="DC945" s="61"/>
      <c r="DD945" s="61"/>
      <c r="DE945" s="61"/>
      <c r="DF945" s="61"/>
    </row>
    <row r="946" spans="1:110" ht="12.95" customHeight="1">
      <c r="AZ946" s="61"/>
      <c r="BB946" s="61"/>
      <c r="BC946" s="61"/>
      <c r="BD946" s="61"/>
      <c r="BE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46"/>
      <c r="CS946" s="61"/>
      <c r="CT946" s="61"/>
      <c r="CU946" s="61"/>
      <c r="CV946" s="61"/>
      <c r="CW946" s="61"/>
      <c r="CX946" s="61"/>
      <c r="CY946" s="61"/>
      <c r="CZ946" s="61"/>
      <c r="DA946" s="61"/>
      <c r="DB946" s="61"/>
      <c r="DC946" s="61"/>
      <c r="DD946" s="61"/>
      <c r="DE946" s="61"/>
      <c r="DF946" s="61"/>
    </row>
    <row r="947" spans="1:110" ht="12.9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46"/>
      <c r="CS947" s="61"/>
      <c r="CT947" s="61"/>
      <c r="CU947" s="61"/>
      <c r="CV947" s="61"/>
      <c r="CW947" s="61"/>
      <c r="CX947" s="61"/>
      <c r="CY947" s="61"/>
      <c r="CZ947" s="61"/>
      <c r="DA947" s="61"/>
      <c r="DB947" s="61"/>
      <c r="DC947" s="61"/>
      <c r="DD947" s="61"/>
      <c r="DE947" s="61"/>
      <c r="DF947" s="61"/>
    </row>
    <row r="948" spans="1:110" ht="12.95" customHeight="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46"/>
      <c r="CS948" s="61"/>
      <c r="CT948" s="61"/>
      <c r="CU948" s="61"/>
      <c r="CV948" s="61"/>
      <c r="CW948" s="61"/>
      <c r="CX948" s="61"/>
      <c r="CY948" s="61"/>
      <c r="CZ948" s="61"/>
      <c r="DA948" s="61"/>
      <c r="DB948" s="61"/>
      <c r="DC948" s="61"/>
      <c r="DD948" s="61"/>
      <c r="DE948" s="61"/>
      <c r="DF948" s="61"/>
    </row>
    <row r="949" spans="1:110" ht="12.95" customHeight="1">
      <c r="A949" s="2493" t="s">
        <v>557</v>
      </c>
      <c r="B949" s="2493"/>
      <c r="C949" s="2493"/>
      <c r="D949" s="2493"/>
      <c r="E949" s="2493"/>
      <c r="F949" s="2493"/>
      <c r="G949" s="2493"/>
      <c r="H949" s="2493"/>
      <c r="I949" s="2493"/>
      <c r="J949" s="2493"/>
      <c r="K949" s="2493"/>
      <c r="L949" s="2493"/>
      <c r="M949" s="2493"/>
      <c r="N949" s="2493"/>
      <c r="O949" s="2493"/>
      <c r="P949" s="2493"/>
      <c r="Q949" s="2493"/>
      <c r="R949" s="2493"/>
      <c r="S949" s="2493"/>
      <c r="T949" s="2493"/>
      <c r="U949" s="2493"/>
      <c r="V949" s="2493"/>
      <c r="W949" s="2493"/>
      <c r="X949" s="2493"/>
      <c r="Y949" s="2493"/>
      <c r="Z949" s="2493"/>
      <c r="AA949" s="2493"/>
      <c r="AB949" s="2493"/>
      <c r="AC949" s="2493"/>
      <c r="AD949" s="2493"/>
      <c r="AE949" s="2493"/>
      <c r="AF949" s="2493"/>
      <c r="AG949" s="2493"/>
      <c r="AH949" s="2493"/>
      <c r="AI949" s="2493"/>
      <c r="AJ949" s="2493"/>
      <c r="AK949" s="2493"/>
      <c r="AL949" s="2493"/>
      <c r="AM949" s="2493"/>
      <c r="AN949" s="2493"/>
      <c r="AO949" s="2493"/>
      <c r="AP949" s="2493"/>
      <c r="AQ949" s="2493"/>
      <c r="AR949" s="2493"/>
      <c r="AS949" s="2493"/>
      <c r="AT949" s="144"/>
      <c r="AU949" s="144"/>
      <c r="AV949" s="144"/>
      <c r="AW949" s="144"/>
      <c r="AX949" s="144"/>
      <c r="AY949" s="144"/>
      <c r="AZ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46"/>
      <c r="CS949" s="61"/>
      <c r="CT949" s="61"/>
      <c r="CU949" s="61"/>
      <c r="CV949" s="61"/>
      <c r="CW949" s="61"/>
      <c r="CX949" s="61"/>
      <c r="CY949" s="61"/>
      <c r="CZ949" s="61"/>
      <c r="DA949" s="61"/>
      <c r="DB949" s="61"/>
      <c r="DC949" s="61"/>
      <c r="DD949" s="61"/>
      <c r="DE949" s="61"/>
      <c r="DF949" s="61"/>
    </row>
    <row r="950" spans="1:110" s="51" customFormat="1" ht="12.95" customHeight="1">
      <c r="A950" s="2493"/>
      <c r="B950" s="2493"/>
      <c r="C950" s="2493"/>
      <c r="D950" s="2493"/>
      <c r="E950" s="2493"/>
      <c r="F950" s="2493"/>
      <c r="G950" s="2493"/>
      <c r="H950" s="2493"/>
      <c r="I950" s="2493"/>
      <c r="J950" s="2493"/>
      <c r="K950" s="2493"/>
      <c r="L950" s="2493"/>
      <c r="M950" s="2493"/>
      <c r="N950" s="2493"/>
      <c r="O950" s="2493"/>
      <c r="P950" s="2493"/>
      <c r="Q950" s="2493"/>
      <c r="R950" s="2493"/>
      <c r="S950" s="2493"/>
      <c r="T950" s="2493"/>
      <c r="U950" s="2493"/>
      <c r="V950" s="2493"/>
      <c r="W950" s="2493"/>
      <c r="X950" s="2493"/>
      <c r="Y950" s="2493"/>
      <c r="Z950" s="2493"/>
      <c r="AA950" s="2493"/>
      <c r="AB950" s="2493"/>
      <c r="AC950" s="2493"/>
      <c r="AD950" s="2493"/>
      <c r="AE950" s="2493"/>
      <c r="AF950" s="2493"/>
      <c r="AG950" s="2493"/>
      <c r="AH950" s="2493"/>
      <c r="AI950" s="2493"/>
      <c r="AJ950" s="2493"/>
      <c r="AK950" s="2493"/>
      <c r="AL950" s="2493"/>
      <c r="AM950" s="2493"/>
      <c r="AN950" s="2493"/>
      <c r="AO950" s="2493"/>
      <c r="AP950" s="2493"/>
      <c r="AQ950" s="2493"/>
      <c r="AR950" s="2493"/>
      <c r="AS950" s="2493"/>
      <c r="AT950" s="144"/>
      <c r="AU950" s="144"/>
      <c r="AV950" s="144"/>
      <c r="AW950" s="144"/>
      <c r="AX950" s="144"/>
      <c r="AY950" s="144"/>
      <c r="BB950" s="61"/>
      <c r="BC950" s="61"/>
      <c r="BD950" s="61"/>
      <c r="BE950" s="61"/>
      <c r="BF950" s="61"/>
      <c r="BG950" s="56"/>
      <c r="BH950" s="56"/>
      <c r="BI950" s="56"/>
      <c r="BJ950" s="56"/>
      <c r="BK950" s="56"/>
      <c r="BL950" s="56"/>
      <c r="BM950" s="56"/>
      <c r="BN950" s="56"/>
      <c r="CB950" s="107"/>
      <c r="CC950" s="107"/>
      <c r="CD950" s="107"/>
      <c r="CE950" s="107"/>
      <c r="CF950" s="107"/>
      <c r="CG950" s="107"/>
      <c r="CH950" s="107"/>
      <c r="CI950" s="107"/>
      <c r="CJ950" s="107"/>
      <c r="CK950" s="107"/>
      <c r="CL950" s="107"/>
      <c r="CM950" s="107"/>
      <c r="CN950" s="107"/>
      <c r="CO950" s="107"/>
      <c r="CP950" s="107"/>
      <c r="CQ950" s="107"/>
      <c r="CR950" s="1639"/>
      <c r="CS950" s="107"/>
      <c r="CT950" s="107"/>
      <c r="CU950" s="107"/>
      <c r="CV950" s="107"/>
      <c r="CW950" s="107"/>
      <c r="CX950" s="107"/>
      <c r="CY950" s="107"/>
      <c r="CZ950" s="107"/>
      <c r="DA950" s="107"/>
      <c r="DB950" s="107"/>
      <c r="DC950" s="107"/>
      <c r="DD950" s="107"/>
      <c r="DE950" s="107"/>
      <c r="DF950" s="107"/>
    </row>
    <row r="951" spans="1:110" s="51" customFormat="1" ht="12.95" customHeight="1">
      <c r="D951" s="25"/>
      <c r="E951" s="25"/>
      <c r="F951" s="25"/>
      <c r="G951" s="3"/>
      <c r="H951" s="25"/>
      <c r="AL951" s="105"/>
      <c r="AM951" s="1425"/>
      <c r="AN951" s="1425"/>
      <c r="AO951" s="1425"/>
      <c r="AP951" s="1425"/>
      <c r="AQ951" s="1425"/>
      <c r="AR951" s="1425"/>
      <c r="AS951" s="1425"/>
      <c r="AT951" s="1425"/>
      <c r="AU951" s="1425"/>
      <c r="AV951" s="1425"/>
      <c r="AW951" s="1425"/>
      <c r="AX951" s="1425"/>
      <c r="AY951" s="1425"/>
      <c r="AZ951" s="21"/>
      <c r="BB951" s="21"/>
      <c r="BC951" s="21"/>
      <c r="BD951" s="21"/>
      <c r="BE951" s="21"/>
      <c r="BF951" s="21"/>
      <c r="BG951" s="2366"/>
      <c r="BH951" s="2366"/>
      <c r="BI951" s="2366"/>
      <c r="BJ951" s="2366"/>
      <c r="BK951" s="2366"/>
      <c r="BL951" s="2366"/>
      <c r="BM951" s="56"/>
      <c r="BN951" s="56"/>
      <c r="CB951" s="107"/>
      <c r="CC951" s="107"/>
      <c r="CD951" s="107"/>
      <c r="CE951" s="107"/>
      <c r="CF951" s="107"/>
      <c r="CG951" s="107"/>
      <c r="CH951" s="107"/>
      <c r="CI951" s="107"/>
      <c r="CJ951" s="107"/>
      <c r="CK951" s="107"/>
      <c r="CL951" s="107"/>
      <c r="CM951" s="107"/>
      <c r="CN951" s="107"/>
      <c r="CO951" s="107"/>
      <c r="CP951" s="107"/>
      <c r="CQ951" s="107"/>
      <c r="CR951" s="1639"/>
      <c r="CS951" s="107"/>
      <c r="CT951" s="107"/>
      <c r="CU951" s="107"/>
      <c r="CV951" s="107"/>
      <c r="CW951" s="107"/>
      <c r="CX951" s="107"/>
      <c r="CY951" s="107"/>
      <c r="CZ951" s="107"/>
      <c r="DA951" s="107"/>
      <c r="DB951" s="107"/>
      <c r="DC951" s="107"/>
      <c r="DD951" s="107"/>
      <c r="DE951" s="107"/>
      <c r="DF951" s="107"/>
    </row>
    <row r="952" spans="1:110" s="51" customFormat="1" ht="12.95" customHeight="1">
      <c r="A952" s="49" t="s">
        <v>320</v>
      </c>
      <c r="B952" s="25"/>
      <c r="C952" s="49" t="s">
        <v>624</v>
      </c>
      <c r="D952" s="25"/>
      <c r="E952" s="25"/>
      <c r="F952" s="25"/>
      <c r="G952" s="3"/>
      <c r="H952" s="25"/>
      <c r="AL952" s="105"/>
      <c r="AM952" s="1425"/>
      <c r="AN952" s="1425"/>
      <c r="AO952" s="1425"/>
      <c r="AP952" s="1425"/>
      <c r="AQ952" s="1425"/>
      <c r="AR952" s="1425"/>
      <c r="AS952" s="1425"/>
      <c r="AT952" s="1425"/>
      <c r="AU952" s="1425"/>
      <c r="AV952" s="1425"/>
      <c r="AW952" s="1425"/>
      <c r="AX952" s="1425"/>
      <c r="AY952" s="1425"/>
      <c r="BB952" s="1450"/>
      <c r="BC952" s="1450"/>
      <c r="BD952" s="21"/>
      <c r="BE952" s="21"/>
      <c r="BF952" s="21"/>
      <c r="BM952" s="56"/>
      <c r="BN952" s="56"/>
      <c r="CB952" s="107"/>
      <c r="CC952" s="107"/>
      <c r="CD952" s="107"/>
      <c r="CE952" s="107"/>
      <c r="CF952" s="107"/>
      <c r="CG952" s="107"/>
      <c r="CH952" s="107"/>
      <c r="CI952" s="107"/>
      <c r="CJ952" s="107"/>
      <c r="CK952" s="107"/>
      <c r="CL952" s="107"/>
      <c r="CM952" s="107"/>
      <c r="CN952" s="107"/>
      <c r="CO952" s="107"/>
      <c r="CP952" s="107"/>
      <c r="CQ952" s="107"/>
      <c r="CR952" s="1639"/>
      <c r="CS952" s="107"/>
      <c r="CT952" s="107"/>
      <c r="CU952" s="107"/>
      <c r="CV952" s="107"/>
      <c r="CW952" s="107"/>
      <c r="CX952" s="107"/>
      <c r="CY952" s="107"/>
      <c r="CZ952" s="107"/>
      <c r="DA952" s="107"/>
      <c r="DB952" s="107"/>
      <c r="DC952" s="107"/>
      <c r="DD952" s="107"/>
      <c r="DE952" s="107"/>
      <c r="DF952" s="107"/>
    </row>
    <row r="953" spans="1:110" s="51" customFormat="1" ht="12.95" customHeight="1">
      <c r="A953" s="49"/>
      <c r="B953" s="25"/>
      <c r="C953" s="49"/>
      <c r="D953" s="25"/>
      <c r="E953" s="25"/>
      <c r="F953" s="25"/>
      <c r="G953" s="3"/>
      <c r="H953" s="25"/>
      <c r="AL953" s="105"/>
      <c r="AM953" s="1425"/>
      <c r="AN953" s="1425"/>
      <c r="AO953" s="1425"/>
      <c r="AP953" s="1425"/>
      <c r="AQ953" s="1425"/>
      <c r="AR953" s="1425"/>
      <c r="AS953" s="1425"/>
      <c r="AT953" s="1425"/>
      <c r="AU953" s="1425"/>
      <c r="AV953" s="1425"/>
      <c r="AW953" s="1425"/>
      <c r="AX953" s="1425"/>
      <c r="AY953" s="1425"/>
      <c r="BB953" s="1450"/>
      <c r="BC953" s="1450"/>
      <c r="BD953" s="21"/>
      <c r="BE953" s="21"/>
      <c r="BF953" s="21"/>
      <c r="BM953" s="56"/>
      <c r="BN953" s="56"/>
      <c r="CB953" s="107"/>
      <c r="CC953" s="107"/>
      <c r="CD953" s="107"/>
      <c r="CE953" s="107"/>
      <c r="CF953" s="107"/>
      <c r="CG953" s="107"/>
      <c r="CH953" s="107"/>
      <c r="CI953" s="107"/>
      <c r="CJ953" s="107"/>
      <c r="CK953" s="107"/>
      <c r="CL953" s="107"/>
      <c r="CM953" s="107"/>
      <c r="CN953" s="107"/>
      <c r="CO953" s="107"/>
      <c r="CP953" s="107"/>
      <c r="CQ953" s="107"/>
      <c r="CR953" s="1639"/>
      <c r="CS953" s="107"/>
      <c r="CT953" s="107"/>
      <c r="CU953" s="107"/>
      <c r="CV953" s="107"/>
      <c r="CW953" s="107"/>
      <c r="CX953" s="107"/>
      <c r="CY953" s="107"/>
      <c r="CZ953" s="107"/>
      <c r="DA953" s="107"/>
      <c r="DB953" s="107"/>
      <c r="DC953" s="107"/>
      <c r="DD953" s="107"/>
      <c r="DE953" s="107"/>
      <c r="DF953" s="107"/>
    </row>
    <row r="954" spans="1:110" s="51" customFormat="1" ht="12.95" customHeight="1">
      <c r="A954" s="104"/>
      <c r="B954" s="117"/>
      <c r="C954" s="1466"/>
      <c r="D954" s="2555" t="s">
        <v>647</v>
      </c>
      <c r="E954" s="2556"/>
      <c r="F954" s="2556"/>
      <c r="G954" s="2556"/>
      <c r="H954" s="2556"/>
      <c r="I954" s="2556"/>
      <c r="J954" s="2556"/>
      <c r="K954" s="2556"/>
      <c r="L954" s="2556"/>
      <c r="M954" s="2556"/>
      <c r="N954" s="2556"/>
      <c r="O954" s="2556"/>
      <c r="P954" s="2556"/>
      <c r="Q954" s="2557"/>
      <c r="R954" s="2555" t="s">
        <v>648</v>
      </c>
      <c r="S954" s="2556"/>
      <c r="T954" s="2556"/>
      <c r="U954" s="2556"/>
      <c r="V954" s="2556"/>
      <c r="W954" s="2556"/>
      <c r="X954" s="2556"/>
      <c r="Y954" s="2556"/>
      <c r="Z954" s="2556"/>
      <c r="AA954" s="2557"/>
      <c r="AB954" s="2555" t="s">
        <v>649</v>
      </c>
      <c r="AC954" s="2556"/>
      <c r="AD954" s="2556"/>
      <c r="AE954" s="2556"/>
      <c r="AF954" s="2556"/>
      <c r="AG954" s="2556"/>
      <c r="AH954" s="2556"/>
      <c r="AI954" s="2557"/>
      <c r="AJ954" s="2555" t="s">
        <v>650</v>
      </c>
      <c r="AK954" s="2556"/>
      <c r="AL954" s="2556"/>
      <c r="AM954" s="2556"/>
      <c r="AN954" s="2556"/>
      <c r="AO954" s="2556"/>
      <c r="AP954" s="2556"/>
      <c r="AQ954" s="2557"/>
      <c r="AR954" s="1425"/>
      <c r="AS954" s="1425"/>
      <c r="AT954" s="1425"/>
      <c r="AU954" s="1425"/>
      <c r="AV954" s="1425"/>
      <c r="AW954" s="1425"/>
      <c r="AX954" s="1425"/>
      <c r="AY954" s="1425"/>
      <c r="AZ954" s="126"/>
      <c r="BG954" s="56"/>
      <c r="BH954" s="56"/>
      <c r="BI954" s="56"/>
      <c r="BJ954" s="56"/>
      <c r="BK954" s="56"/>
      <c r="BL954" s="56"/>
      <c r="BM954" s="56"/>
      <c r="BN954" s="56"/>
      <c r="CB954" s="107"/>
      <c r="CC954" s="107"/>
      <c r="CD954" s="107"/>
      <c r="CE954" s="107"/>
      <c r="CF954" s="107"/>
      <c r="CG954" s="107"/>
      <c r="CH954" s="107"/>
      <c r="CI954" s="107"/>
      <c r="CJ954" s="107"/>
      <c r="CK954" s="107"/>
      <c r="CL954" s="107"/>
      <c r="CM954" s="107"/>
      <c r="CN954" s="107"/>
      <c r="CO954" s="107"/>
      <c r="CP954" s="107"/>
      <c r="CQ954" s="107"/>
      <c r="CR954" s="1639"/>
      <c r="CS954" s="107"/>
      <c r="CT954" s="107"/>
      <c r="CU954" s="107"/>
      <c r="CV954" s="107"/>
      <c r="CW954" s="107"/>
      <c r="CX954" s="107"/>
      <c r="CY954" s="107"/>
      <c r="CZ954" s="107"/>
      <c r="DA954" s="107"/>
      <c r="DB954" s="107"/>
      <c r="DC954" s="107"/>
      <c r="DD954" s="107"/>
      <c r="DE954" s="107"/>
      <c r="DF954" s="107"/>
    </row>
    <row r="955" spans="1:110" s="51" customFormat="1" ht="12.95" customHeight="1">
      <c r="B955" s="110"/>
      <c r="C955" s="1467"/>
      <c r="D955" s="2447" t="s">
        <v>642</v>
      </c>
      <c r="E955" s="2448"/>
      <c r="F955" s="2448"/>
      <c r="G955" s="2448"/>
      <c r="H955" s="2448"/>
      <c r="I955" s="2448"/>
      <c r="J955" s="2448"/>
      <c r="K955" s="2448"/>
      <c r="L955" s="2448"/>
      <c r="M955" s="2448"/>
      <c r="N955" s="2448"/>
      <c r="O955" s="2448"/>
      <c r="P955" s="2448"/>
      <c r="Q955" s="2449"/>
      <c r="R955" s="2457">
        <f>IF(ISNA(IF($BN$785="4%",(INDEX($BP$795:$BT$852,MATCH($CB$785,$BO$795:$BO$852,0),MATCH(D955,$BP$794:$BT$794,0))),(INDEX($BW$795:$CA$852,MATCH($CB$785,$BV$795:$BV$852,0),MATCH(D955,$BW$794:$CA$794,0))))),0,IF($BN$785="4%",(INDEX($BP$795:$BT$852,MATCH($CB$785,$BO$795:$BO$852,0),MATCH(D955,$BP$794:$BT$794,0))),(INDEX($BW$795:$CA$852,MATCH($CB$785,$BV$795:$BV$852,0),MATCH(D955,$BW$794:$CA$794,0)))))</f>
        <v>314634</v>
      </c>
      <c r="S955" s="2457"/>
      <c r="T955" s="2457"/>
      <c r="U955" s="2457"/>
      <c r="V955" s="2457"/>
      <c r="W955" s="2457"/>
      <c r="X955" s="2457"/>
      <c r="Y955" s="2457"/>
      <c r="Z955" s="2457"/>
      <c r="AA955" s="2457"/>
      <c r="AB955" s="2558">
        <f>BN649</f>
        <v>0</v>
      </c>
      <c r="AC955" s="2559"/>
      <c r="AD955" s="2559"/>
      <c r="AE955" s="2559"/>
      <c r="AF955" s="2559"/>
      <c r="AG955" s="2559"/>
      <c r="AH955" s="2559"/>
      <c r="AI955" s="2560"/>
      <c r="AJ955" s="2454">
        <f>IF(ISERROR((R955*AB955)),0,(R955*AB955))</f>
        <v>0</v>
      </c>
      <c r="AK955" s="2455"/>
      <c r="AL955" s="2455"/>
      <c r="AM955" s="2455"/>
      <c r="AN955" s="2455"/>
      <c r="AO955" s="2455"/>
      <c r="AP955" s="2455"/>
      <c r="AQ955" s="2456"/>
      <c r="AR955" s="1425"/>
      <c r="AS955" s="1425"/>
      <c r="AT955" s="1425"/>
      <c r="AU955" s="1425"/>
      <c r="AV955" s="1425"/>
      <c r="AW955" s="1425"/>
      <c r="AX955" s="1425"/>
      <c r="AY955" s="1425"/>
      <c r="AZ955" s="126"/>
      <c r="BG955" s="56"/>
      <c r="BH955" s="56"/>
      <c r="BI955" s="56"/>
      <c r="BJ955" s="56"/>
      <c r="BK955" s="56"/>
      <c r="BL955" s="56"/>
      <c r="BM955" s="56"/>
      <c r="BN955" s="56"/>
      <c r="CB955" s="107"/>
      <c r="CC955" s="107"/>
      <c r="CD955" s="107"/>
      <c r="CE955" s="107"/>
      <c r="CF955" s="107"/>
      <c r="CG955" s="107"/>
      <c r="CH955" s="107"/>
      <c r="CI955" s="107"/>
      <c r="CJ955" s="107"/>
      <c r="CK955" s="107"/>
      <c r="CL955" s="107"/>
      <c r="CM955" s="107"/>
      <c r="CN955" s="107"/>
      <c r="CO955" s="107"/>
      <c r="CP955" s="107"/>
      <c r="CQ955" s="107"/>
      <c r="CR955" s="1639"/>
      <c r="CS955" s="107"/>
      <c r="CT955" s="107"/>
      <c r="CU955" s="107"/>
      <c r="CV955" s="107"/>
      <c r="CW955" s="107"/>
      <c r="CX955" s="107"/>
      <c r="CY955" s="107"/>
      <c r="CZ955" s="107"/>
      <c r="DA955" s="107"/>
      <c r="DB955" s="107"/>
      <c r="DC955" s="107"/>
      <c r="DD955" s="107"/>
      <c r="DE955" s="107"/>
      <c r="DF955" s="107"/>
    </row>
    <row r="956" spans="1:110" s="51" customFormat="1" ht="12.95" customHeight="1">
      <c r="B956" s="110"/>
      <c r="C956" s="1468"/>
      <c r="D956" s="2447" t="s">
        <v>326</v>
      </c>
      <c r="E956" s="2448"/>
      <c r="F956" s="2448"/>
      <c r="G956" s="2448"/>
      <c r="H956" s="2448"/>
      <c r="I956" s="2448"/>
      <c r="J956" s="2448"/>
      <c r="K956" s="2448"/>
      <c r="L956" s="2448"/>
      <c r="M956" s="2448"/>
      <c r="N956" s="2448"/>
      <c r="O956" s="2448"/>
      <c r="P956" s="2448"/>
      <c r="Q956" s="2449"/>
      <c r="R956" s="2457">
        <f>IF(ISNA(IF($BN$785="4%",(INDEX($BP$795:$BT$852,MATCH($CB$785,$BO$795:$BO$852,0),MATCH(D956,$BP$794:$BT$794,0))),(INDEX($BW$795:$CA$852,MATCH($CB$785,$BV$795:$BV$852,0),MATCH(D956,$BW$794:$CA$794,0))))),0,IF($BN$785="4%",(INDEX($BP$795:$BT$852,MATCH($CB$785,$BO$795:$BO$852,0),MATCH(D956,$BP$794:$BT$794,0))),(INDEX($BW$795:$CA$852,MATCH($CB$785,$BV$795:$BV$852,0),MATCH(D956,$BW$794:$CA$794,0)))))</f>
        <v>362770</v>
      </c>
      <c r="S956" s="2457"/>
      <c r="T956" s="2457"/>
      <c r="U956" s="2457"/>
      <c r="V956" s="2457"/>
      <c r="W956" s="2457"/>
      <c r="X956" s="2457"/>
      <c r="Y956" s="2457"/>
      <c r="Z956" s="2457"/>
      <c r="AA956" s="2457"/>
      <c r="AB956" s="2558">
        <f>BS649</f>
        <v>71</v>
      </c>
      <c r="AC956" s="2559"/>
      <c r="AD956" s="2559"/>
      <c r="AE956" s="2559"/>
      <c r="AF956" s="2559"/>
      <c r="AG956" s="2559"/>
      <c r="AH956" s="2559"/>
      <c r="AI956" s="2560"/>
      <c r="AJ956" s="2454">
        <f>IF(ISERROR((R956*AB956)),0,(R956*AB956))</f>
        <v>25756670</v>
      </c>
      <c r="AK956" s="2455"/>
      <c r="AL956" s="2455"/>
      <c r="AM956" s="2455"/>
      <c r="AN956" s="2455"/>
      <c r="AO956" s="2455"/>
      <c r="AP956" s="2455"/>
      <c r="AQ956" s="2456"/>
      <c r="AR956" s="1425"/>
      <c r="AS956" s="1425"/>
      <c r="AT956" s="1425"/>
      <c r="AU956" s="1425"/>
      <c r="AV956" s="1425"/>
      <c r="AW956" s="1425"/>
      <c r="AX956" s="1425"/>
      <c r="AY956" s="1425"/>
      <c r="BG956" s="56"/>
      <c r="BH956" s="56"/>
      <c r="BI956" s="56"/>
      <c r="BJ956" s="56"/>
      <c r="BK956" s="56"/>
      <c r="BL956" s="56"/>
      <c r="BM956" s="56"/>
      <c r="BN956" s="56"/>
      <c r="CB956" s="107"/>
      <c r="CC956" s="107"/>
      <c r="CD956" s="107"/>
      <c r="CE956" s="107"/>
      <c r="CF956" s="107"/>
      <c r="CG956" s="107"/>
      <c r="CH956" s="107"/>
      <c r="CI956" s="107"/>
      <c r="CJ956" s="107"/>
      <c r="CK956" s="107"/>
      <c r="CL956" s="107"/>
      <c r="CM956" s="107"/>
      <c r="CN956" s="107"/>
      <c r="CO956" s="107"/>
      <c r="CP956" s="107"/>
      <c r="CQ956" s="107"/>
      <c r="CR956" s="1639"/>
      <c r="CS956" s="107"/>
      <c r="CT956" s="107"/>
      <c r="CU956" s="107"/>
      <c r="CV956" s="107"/>
      <c r="CW956" s="107"/>
      <c r="CX956" s="107"/>
      <c r="CY956" s="107"/>
      <c r="CZ956" s="107"/>
      <c r="DA956" s="107"/>
      <c r="DB956" s="107"/>
      <c r="DC956" s="107"/>
      <c r="DD956" s="107"/>
      <c r="DE956" s="107"/>
      <c r="DF956" s="107"/>
    </row>
    <row r="957" spans="1:110" s="51" customFormat="1" ht="12.95" customHeight="1">
      <c r="B957" s="110"/>
      <c r="C957" s="1468"/>
      <c r="D957" s="2447" t="s">
        <v>164</v>
      </c>
      <c r="E957" s="2448"/>
      <c r="F957" s="2448"/>
      <c r="G957" s="2448"/>
      <c r="H957" s="2448"/>
      <c r="I957" s="2448"/>
      <c r="J957" s="2448"/>
      <c r="K957" s="2448"/>
      <c r="L957" s="2448"/>
      <c r="M957" s="2448"/>
      <c r="N957" s="2448"/>
      <c r="O957" s="2448"/>
      <c r="P957" s="2448"/>
      <c r="Q957" s="2449"/>
      <c r="R957" s="2457">
        <f>IF(ISNA(IF($BN$785="4%",(INDEX($BP$795:$BT$852,MATCH($CB$785,$BO$795:$BO$852,0),MATCH(D957,$BP$794:$BT$794,0))),(INDEX($BW$795:$CA$852,MATCH($CB$785,$BV$795:$BV$852,0),MATCH(D957,$BW$794:$CA$794,0))))),0,IF($BN$785="4%",(INDEX($BP$795:$BT$852,MATCH($CB$785,$BO$795:$BO$852,0),MATCH(D957,$BP$794:$BT$794,0))),(INDEX($BW$795:$CA$852,MATCH($CB$785,$BV$795:$BV$852,0),MATCH(D957,$BW$794:$CA$794,0)))))</f>
        <v>437600</v>
      </c>
      <c r="S957" s="2457"/>
      <c r="T957" s="2457"/>
      <c r="U957" s="2457"/>
      <c r="V957" s="2457"/>
      <c r="W957" s="2457"/>
      <c r="X957" s="2457"/>
      <c r="Y957" s="2457"/>
      <c r="Z957" s="2457"/>
      <c r="AA957" s="2457"/>
      <c r="AB957" s="2558">
        <f>BX649</f>
        <v>0</v>
      </c>
      <c r="AC957" s="2559"/>
      <c r="AD957" s="2559"/>
      <c r="AE957" s="2559"/>
      <c r="AF957" s="2559"/>
      <c r="AG957" s="2559"/>
      <c r="AH957" s="2559"/>
      <c r="AI957" s="2560"/>
      <c r="AJ957" s="2454">
        <f>IF(ISERROR((R957*AB957)),0,(R957*AB957))</f>
        <v>0</v>
      </c>
      <c r="AK957" s="2455"/>
      <c r="AL957" s="2455"/>
      <c r="AM957" s="2455"/>
      <c r="AN957" s="2455"/>
      <c r="AO957" s="2455"/>
      <c r="AP957" s="2455"/>
      <c r="AQ957" s="2456"/>
      <c r="AR957" s="1425"/>
      <c r="AS957" s="1425"/>
      <c r="AT957" s="1425"/>
      <c r="AU957" s="1425"/>
      <c r="AV957" s="1425"/>
      <c r="AW957" s="1425"/>
      <c r="AX957" s="1425"/>
      <c r="AY957" s="1425"/>
      <c r="BG957" s="56"/>
      <c r="BH957" s="56"/>
      <c r="BI957" s="56"/>
      <c r="BJ957" s="56"/>
      <c r="BK957" s="56"/>
      <c r="BL957" s="56"/>
      <c r="BM957" s="56"/>
      <c r="BN957" s="56"/>
      <c r="CB957" s="107"/>
      <c r="CC957" s="107"/>
      <c r="CD957" s="107"/>
      <c r="CE957" s="107"/>
      <c r="CF957" s="107"/>
      <c r="CG957" s="107"/>
      <c r="CH957" s="107"/>
      <c r="CI957" s="107"/>
      <c r="CJ957" s="107"/>
      <c r="CK957" s="107"/>
      <c r="CL957" s="107"/>
      <c r="CM957" s="107"/>
      <c r="CN957" s="107"/>
      <c r="CO957" s="107"/>
      <c r="CP957" s="107"/>
      <c r="CQ957" s="107"/>
      <c r="CR957" s="1639"/>
      <c r="CS957" s="107"/>
      <c r="CT957" s="107"/>
      <c r="CU957" s="107"/>
      <c r="CV957" s="107"/>
      <c r="CW957" s="107"/>
      <c r="CX957" s="107"/>
      <c r="CY957" s="107"/>
      <c r="CZ957" s="107"/>
      <c r="DA957" s="107"/>
      <c r="DB957" s="107"/>
      <c r="DC957" s="107"/>
      <c r="DD957" s="107"/>
      <c r="DE957" s="107"/>
      <c r="DF957" s="107"/>
    </row>
    <row r="958" spans="1:110" s="51" customFormat="1" ht="12.95" customHeight="1">
      <c r="B958" s="110"/>
      <c r="C958" s="1468"/>
      <c r="D958" s="2447" t="s">
        <v>165</v>
      </c>
      <c r="E958" s="2448"/>
      <c r="F958" s="2448"/>
      <c r="G958" s="2448"/>
      <c r="H958" s="2448"/>
      <c r="I958" s="2448"/>
      <c r="J958" s="2448"/>
      <c r="K958" s="2448"/>
      <c r="L958" s="2448"/>
      <c r="M958" s="2448"/>
      <c r="N958" s="2448"/>
      <c r="O958" s="2448"/>
      <c r="P958" s="2448"/>
      <c r="Q958" s="2449"/>
      <c r="R958" s="2457">
        <f>IF(ISNA(IF($BN$785="4%",(INDEX($BP$795:$BT$852,MATCH($CB$785,$BO$795:$BO$852,0),MATCH(D958,$BP$794:$BT$794,0))),(INDEX($BW$795:$CA$852,MATCH($CB$785,$BV$795:$BV$852,0),MATCH(D958,$BW$794:$CA$794,0))))),0,IF($BN$785="4%",(INDEX($BP$795:$BT$852,MATCH($CB$785,$BO$795:$BO$852,0),MATCH(D958,$BP$794:$BT$794,0))),(INDEX($BW$795:$CA$852,MATCH($CB$785,$BV$795:$BV$852,0),MATCH(D958,$BW$794:$CA$794,0)))))</f>
        <v>560128</v>
      </c>
      <c r="S958" s="2457"/>
      <c r="T958" s="2457"/>
      <c r="U958" s="2457"/>
      <c r="V958" s="2457"/>
      <c r="W958" s="2457"/>
      <c r="X958" s="2457"/>
      <c r="Y958" s="2457"/>
      <c r="Z958" s="2457"/>
      <c r="AA958" s="2457"/>
      <c r="AB958" s="2558">
        <f>CC649</f>
        <v>0</v>
      </c>
      <c r="AC958" s="2559"/>
      <c r="AD958" s="2559"/>
      <c r="AE958" s="2559"/>
      <c r="AF958" s="2559"/>
      <c r="AG958" s="2559"/>
      <c r="AH958" s="2559"/>
      <c r="AI958" s="2560"/>
      <c r="AJ958" s="2454">
        <f>IF(ISERROR((R958*AB958)),0,(R958*AB958))</f>
        <v>0</v>
      </c>
      <c r="AK958" s="2455"/>
      <c r="AL958" s="2455"/>
      <c r="AM958" s="2455"/>
      <c r="AN958" s="2455"/>
      <c r="AO958" s="2455"/>
      <c r="AP958" s="2455"/>
      <c r="AQ958" s="2456"/>
      <c r="AR958" s="1425"/>
      <c r="AS958" s="1425"/>
      <c r="AT958" s="1425"/>
      <c r="AU958" s="1425"/>
      <c r="AV958" s="1425"/>
      <c r="AW958" s="1425"/>
      <c r="AX958" s="1425"/>
      <c r="AY958" s="1425"/>
      <c r="BG958" s="56"/>
      <c r="BH958" s="56"/>
      <c r="BI958" s="56"/>
      <c r="BJ958" s="56"/>
      <c r="BK958" s="56"/>
      <c r="BL958" s="56"/>
      <c r="BM958" s="56"/>
      <c r="BN958" s="56"/>
      <c r="CB958" s="107"/>
      <c r="CC958" s="107"/>
      <c r="CD958" s="107"/>
      <c r="CE958" s="107"/>
      <c r="CF958" s="107"/>
      <c r="CG958" s="107"/>
      <c r="CH958" s="107"/>
      <c r="CI958" s="107"/>
      <c r="CJ958" s="107"/>
      <c r="CK958" s="107"/>
      <c r="CL958" s="107"/>
      <c r="CM958" s="107"/>
      <c r="CN958" s="107"/>
      <c r="CO958" s="107"/>
      <c r="CP958" s="107"/>
      <c r="CQ958" s="107"/>
      <c r="CR958" s="1639"/>
      <c r="CS958" s="107"/>
      <c r="CT958" s="107"/>
      <c r="CU958" s="107"/>
      <c r="CV958" s="107"/>
      <c r="CW958" s="107"/>
      <c r="CX958" s="107"/>
      <c r="CY958" s="107"/>
      <c r="CZ958" s="107"/>
      <c r="DA958" s="107"/>
      <c r="DB958" s="107"/>
      <c r="DC958" s="107"/>
      <c r="DD958" s="107"/>
      <c r="DE958" s="107"/>
      <c r="DF958" s="107"/>
    </row>
    <row r="959" spans="1:110" ht="12.95" customHeight="1">
      <c r="A959" s="51"/>
      <c r="B959" s="79"/>
      <c r="C959" s="1469"/>
      <c r="D959" s="2447" t="s">
        <v>469</v>
      </c>
      <c r="E959" s="2448"/>
      <c r="F959" s="2448"/>
      <c r="G959" s="2448"/>
      <c r="H959" s="2448"/>
      <c r="I959" s="2448"/>
      <c r="J959" s="2448"/>
      <c r="K959" s="2448"/>
      <c r="L959" s="2448"/>
      <c r="M959" s="2448"/>
      <c r="N959" s="2448"/>
      <c r="O959" s="2448"/>
      <c r="P959" s="2448"/>
      <c r="Q959" s="2449"/>
      <c r="R959" s="2457">
        <f>IF(ISNA(IF($BN$785="4%",(INDEX($BP$795:$BT$852,MATCH($CB$785,$BO$795:$BO$852,0),MATCH(D959,$BP$794:$BT$794,0))),(INDEX($BW$795:$CA$852,MATCH($CB$785,$BV$795:$BV$852,0),MATCH(D959,$BW$794:$CA$794,0))))),0,IF($BN$785="4%",(INDEX($BP$795:$BT$852,MATCH($CB$785,$BO$795:$BO$852,0),MATCH(D959,$BP$794:$BT$794,0))),(INDEX($BW$795:$CA$852,MATCH($CB$785,$BV$795:$BV$852,0),MATCH(D959,$BW$794:$CA$794,0)))))</f>
        <v>624018</v>
      </c>
      <c r="S959" s="2457"/>
      <c r="T959" s="2457"/>
      <c r="U959" s="2457"/>
      <c r="V959" s="2457"/>
      <c r="W959" s="2457"/>
      <c r="X959" s="2457"/>
      <c r="Y959" s="2457"/>
      <c r="Z959" s="2457"/>
      <c r="AA959" s="2457"/>
      <c r="AB959" s="2558">
        <f>CM649+CH649</f>
        <v>0</v>
      </c>
      <c r="AC959" s="2559"/>
      <c r="AD959" s="2559"/>
      <c r="AE959" s="2559"/>
      <c r="AF959" s="2559"/>
      <c r="AG959" s="2559"/>
      <c r="AH959" s="2559"/>
      <c r="AI959" s="2560"/>
      <c r="AJ959" s="2454">
        <f>IF(ISERROR((R959*AB959)),0,(R959*AB959))</f>
        <v>0</v>
      </c>
      <c r="AK959" s="2455"/>
      <c r="AL959" s="2455"/>
      <c r="AM959" s="2455"/>
      <c r="AN959" s="2455"/>
      <c r="AO959" s="2455"/>
      <c r="AP959" s="2455"/>
      <c r="AQ959" s="2456"/>
      <c r="AR959" s="1425"/>
      <c r="AS959" s="1425"/>
      <c r="AT959" s="1425"/>
      <c r="AU959" s="1425"/>
      <c r="AV959" s="1425"/>
      <c r="AW959" s="1425"/>
      <c r="AX959" s="1425"/>
      <c r="AY959" s="1425"/>
      <c r="AZ959" s="52"/>
      <c r="BB959" s="51"/>
      <c r="BC959" s="51"/>
      <c r="BD959" s="51"/>
      <c r="BE959" s="21"/>
      <c r="BF959" s="21"/>
      <c r="BG959" s="56"/>
      <c r="BH959" s="56"/>
      <c r="BI959" s="56"/>
      <c r="BJ959" s="56"/>
      <c r="BK959" s="56"/>
      <c r="BL959" s="56"/>
      <c r="BM959" s="56"/>
      <c r="BN959" s="56"/>
      <c r="CB959" s="61"/>
      <c r="CC959" s="61"/>
      <c r="CD959" s="61"/>
      <c r="CE959" s="61"/>
      <c r="CF959" s="61"/>
      <c r="CG959" s="61"/>
      <c r="CH959" s="61"/>
      <c r="CI959" s="61"/>
      <c r="CJ959" s="61"/>
      <c r="CK959" s="61"/>
      <c r="CL959" s="61"/>
      <c r="CM959" s="61"/>
      <c r="CN959" s="61"/>
      <c r="CO959" s="61"/>
      <c r="CP959" s="61"/>
      <c r="CQ959" s="61"/>
      <c r="CR959" s="1446"/>
      <c r="CS959" s="61"/>
      <c r="CT959" s="61"/>
      <c r="CU959" s="61"/>
      <c r="CV959" s="61"/>
      <c r="CW959" s="61"/>
      <c r="CX959" s="61"/>
      <c r="CY959" s="61"/>
      <c r="CZ959" s="61"/>
      <c r="DA959" s="61"/>
      <c r="DB959" s="61"/>
      <c r="DC959" s="61"/>
      <c r="DD959" s="61"/>
      <c r="DE959" s="61"/>
      <c r="DF959" s="61"/>
    </row>
    <row r="960" spans="1:110" ht="12.95" customHeight="1">
      <c r="A960" s="51"/>
      <c r="B960" s="2572" t="s">
        <v>815</v>
      </c>
      <c r="C960" s="2573"/>
      <c r="D960" s="2573"/>
      <c r="E960" s="2573"/>
      <c r="F960" s="2573"/>
      <c r="G960" s="2573"/>
      <c r="H960" s="2573"/>
      <c r="I960" s="2573"/>
      <c r="J960" s="2573"/>
      <c r="K960" s="2573"/>
      <c r="L960" s="2573"/>
      <c r="M960" s="2573"/>
      <c r="N960" s="2573"/>
      <c r="O960" s="2573"/>
      <c r="P960" s="2573"/>
      <c r="Q960" s="2573"/>
      <c r="R960" s="2573"/>
      <c r="S960" s="2573"/>
      <c r="T960" s="2573"/>
      <c r="U960" s="2573"/>
      <c r="V960" s="2573"/>
      <c r="W960" s="2573"/>
      <c r="X960" s="2573"/>
      <c r="Y960" s="2573"/>
      <c r="Z960" s="2573"/>
      <c r="AA960" s="2574"/>
      <c r="AB960" s="2558">
        <f>SUM(AB955:AI959)</f>
        <v>71</v>
      </c>
      <c r="AC960" s="2559"/>
      <c r="AD960" s="2559"/>
      <c r="AE960" s="2559"/>
      <c r="AF960" s="2559"/>
      <c r="AG960" s="2559"/>
      <c r="AH960" s="2559"/>
      <c r="AI960" s="2560"/>
      <c r="AJ960" s="2454"/>
      <c r="AK960" s="2455"/>
      <c r="AL960" s="2455"/>
      <c r="AM960" s="2455"/>
      <c r="AN960" s="2455"/>
      <c r="AO960" s="2455"/>
      <c r="AP960" s="2455"/>
      <c r="AQ960" s="2456"/>
      <c r="AR960" s="1425"/>
      <c r="AS960" s="1425"/>
      <c r="AT960" s="1425"/>
      <c r="AU960" s="1425"/>
      <c r="AV960" s="1425"/>
      <c r="AW960" s="1425"/>
      <c r="AX960" s="1425"/>
      <c r="AY960" s="1425"/>
      <c r="AZ960" s="52"/>
      <c r="BB960" s="21"/>
      <c r="BC960" s="21"/>
      <c r="BD960" s="21"/>
      <c r="BE960" s="21"/>
      <c r="BF960" s="21"/>
      <c r="BG960" s="56"/>
      <c r="BH960" s="56"/>
      <c r="BI960" s="56"/>
      <c r="BJ960" s="56"/>
      <c r="BK960" s="56"/>
      <c r="BL960" s="56"/>
      <c r="BM960" s="56"/>
      <c r="BN960" s="56"/>
      <c r="CB960" s="61"/>
      <c r="CC960" s="61"/>
      <c r="CD960" s="61"/>
      <c r="CE960" s="61"/>
      <c r="CF960" s="61"/>
      <c r="CG960" s="61"/>
      <c r="CH960" s="61"/>
      <c r="CI960" s="61"/>
      <c r="CJ960" s="61"/>
      <c r="CK960" s="61"/>
      <c r="CL960" s="61"/>
      <c r="CM960" s="61"/>
      <c r="CN960" s="61"/>
      <c r="CO960" s="61"/>
      <c r="CP960" s="61"/>
      <c r="CQ960" s="61"/>
      <c r="CR960" s="1446"/>
      <c r="CS960" s="61"/>
      <c r="CT960" s="61"/>
      <c r="CU960" s="61"/>
      <c r="CV960" s="61"/>
      <c r="CW960" s="61"/>
      <c r="CX960" s="61"/>
      <c r="CY960" s="61"/>
      <c r="CZ960" s="61"/>
      <c r="DA960" s="61"/>
      <c r="DB960" s="61"/>
      <c r="DC960" s="61"/>
      <c r="DD960" s="61"/>
      <c r="DE960" s="61"/>
      <c r="DF960" s="61"/>
    </row>
    <row r="961" spans="1:110" ht="12.95" customHeight="1">
      <c r="A961" s="51"/>
      <c r="B961" s="2590" t="s">
        <v>521</v>
      </c>
      <c r="C961" s="2591"/>
      <c r="D961" s="2591"/>
      <c r="E961" s="2591"/>
      <c r="F961" s="2591"/>
      <c r="G961" s="2591"/>
      <c r="H961" s="2591"/>
      <c r="I961" s="2591"/>
      <c r="J961" s="2591"/>
      <c r="K961" s="2591"/>
      <c r="L961" s="2591"/>
      <c r="M961" s="2591"/>
      <c r="N961" s="2591"/>
      <c r="O961" s="2591"/>
      <c r="P961" s="2591"/>
      <c r="Q961" s="2591"/>
      <c r="R961" s="2591"/>
      <c r="S961" s="2591"/>
      <c r="T961" s="2591"/>
      <c r="U961" s="2591"/>
      <c r="V961" s="2591"/>
      <c r="W961" s="2591"/>
      <c r="X961" s="2591"/>
      <c r="Y961" s="2591"/>
      <c r="Z961" s="2591"/>
      <c r="AA961" s="2591"/>
      <c r="AB961" s="2591"/>
      <c r="AC961" s="2591"/>
      <c r="AD961" s="2591"/>
      <c r="AE961" s="2591"/>
      <c r="AF961" s="2591"/>
      <c r="AG961" s="2591"/>
      <c r="AH961" s="2591"/>
      <c r="AI961" s="2592"/>
      <c r="AJ961" s="2454">
        <f>SUM(AJ955:AQ959)</f>
        <v>25756670</v>
      </c>
      <c r="AK961" s="2455"/>
      <c r="AL961" s="2455"/>
      <c r="AM961" s="2455"/>
      <c r="AN961" s="2455"/>
      <c r="AO961" s="2455"/>
      <c r="AP961" s="2455"/>
      <c r="AQ961" s="2456"/>
      <c r="AR961" s="1425"/>
      <c r="AS961" s="1425"/>
      <c r="AT961" s="1425"/>
      <c r="AU961" s="1425"/>
      <c r="AV961" s="1425"/>
      <c r="AW961" s="1425"/>
      <c r="AX961" s="1425"/>
      <c r="AY961" s="1425"/>
      <c r="AZ961" s="52"/>
      <c r="BB961" s="21"/>
      <c r="BC961" s="21"/>
      <c r="BD961" s="21"/>
      <c r="BE961" s="21"/>
      <c r="BF961" s="21"/>
      <c r="BG961" s="56"/>
      <c r="BH961" s="56"/>
      <c r="BI961" s="56"/>
      <c r="BJ961" s="56"/>
      <c r="BK961" s="56"/>
      <c r="BL961" s="56"/>
      <c r="BM961" s="56"/>
      <c r="BN961" s="56"/>
      <c r="CB961" s="61"/>
      <c r="CC961" s="61"/>
      <c r="CD961" s="61"/>
      <c r="CE961" s="61"/>
      <c r="CF961" s="61"/>
      <c r="CG961" s="61"/>
      <c r="CH961" s="61"/>
      <c r="CI961" s="61"/>
      <c r="CJ961" s="61"/>
      <c r="CK961" s="61"/>
      <c r="CL961" s="61"/>
      <c r="CM961" s="61"/>
      <c r="CN961" s="61"/>
      <c r="CO961" s="61"/>
      <c r="CP961" s="61"/>
      <c r="CQ961" s="61"/>
      <c r="CR961" s="1446"/>
      <c r="CS961" s="61"/>
      <c r="CT961" s="61"/>
      <c r="CU961" s="61"/>
      <c r="CV961" s="61"/>
      <c r="CW961" s="61"/>
      <c r="CX961" s="61"/>
      <c r="CY961" s="61"/>
      <c r="CZ961" s="61"/>
      <c r="DA961" s="61"/>
      <c r="DB961" s="61"/>
      <c r="DC961" s="61"/>
      <c r="DD961" s="61"/>
      <c r="DE961" s="61"/>
      <c r="DF961" s="61"/>
    </row>
    <row r="962" spans="1:110" ht="12.95" customHeight="1">
      <c r="A962" s="51"/>
      <c r="B962" s="2548"/>
      <c r="C962" s="2549"/>
      <c r="D962" s="2549"/>
      <c r="E962" s="2549"/>
      <c r="F962" s="2549"/>
      <c r="G962" s="2549"/>
      <c r="H962" s="2549"/>
      <c r="I962" s="2549"/>
      <c r="J962" s="2549"/>
      <c r="K962" s="2549"/>
      <c r="L962" s="2549"/>
      <c r="M962" s="2549"/>
      <c r="N962" s="2549"/>
      <c r="O962" s="2549"/>
      <c r="P962" s="2549"/>
      <c r="Q962" s="2549"/>
      <c r="R962" s="2549"/>
      <c r="S962" s="2549"/>
      <c r="T962" s="2549"/>
      <c r="U962" s="2549"/>
      <c r="V962" s="2549"/>
      <c r="W962" s="2549"/>
      <c r="X962" s="2549"/>
      <c r="Y962" s="2549"/>
      <c r="Z962" s="2549"/>
      <c r="AA962" s="2549"/>
      <c r="AB962" s="2549"/>
      <c r="AC962" s="2549"/>
      <c r="AD962" s="2549"/>
      <c r="AE962" s="2550"/>
      <c r="AF962" s="2593" t="s">
        <v>675</v>
      </c>
      <c r="AG962" s="2594"/>
      <c r="AH962" s="2594"/>
      <c r="AI962" s="2595"/>
      <c r="AJ962" s="2548"/>
      <c r="AK962" s="2549"/>
      <c r="AL962" s="2549"/>
      <c r="AM962" s="2549"/>
      <c r="AN962" s="2549"/>
      <c r="AO962" s="2549"/>
      <c r="AP962" s="2549"/>
      <c r="AQ962" s="2550"/>
      <c r="AR962" s="1425"/>
      <c r="AS962" s="1425"/>
      <c r="AT962" s="1425"/>
      <c r="AU962" s="1425"/>
      <c r="AV962" s="1425"/>
      <c r="AW962" s="1425"/>
      <c r="AX962" s="1425"/>
      <c r="AY962" s="1425"/>
      <c r="AZ962" s="52"/>
      <c r="BB962" s="21"/>
      <c r="BC962" s="21"/>
      <c r="BD962" s="21"/>
      <c r="BE962" s="21"/>
      <c r="BF962" s="21"/>
      <c r="BG962" s="56"/>
      <c r="BH962" s="56"/>
      <c r="BI962" s="56"/>
      <c r="BJ962" s="56"/>
      <c r="BK962" s="56"/>
      <c r="BL962" s="56"/>
      <c r="BM962" s="56"/>
      <c r="BN962" s="56"/>
      <c r="CB962" s="61"/>
      <c r="CC962" s="61"/>
      <c r="CD962" s="61"/>
      <c r="CE962" s="61"/>
      <c r="CF962" s="61"/>
      <c r="CG962" s="61"/>
      <c r="CH962" s="61"/>
      <c r="CI962" s="61"/>
      <c r="CJ962" s="61"/>
      <c r="CK962" s="61"/>
      <c r="CL962" s="61"/>
      <c r="CM962" s="61"/>
      <c r="CN962" s="61"/>
      <c r="CO962" s="61"/>
      <c r="CP962" s="61"/>
      <c r="CQ962" s="61"/>
      <c r="CR962" s="1446"/>
      <c r="CS962" s="61"/>
      <c r="CT962" s="61"/>
      <c r="CU962" s="61"/>
      <c r="CV962" s="61"/>
      <c r="CW962" s="61"/>
      <c r="CX962" s="61"/>
      <c r="CY962" s="61"/>
      <c r="CZ962" s="61"/>
      <c r="DA962" s="61"/>
      <c r="DB962" s="61"/>
      <c r="DC962" s="61"/>
      <c r="DD962" s="61"/>
      <c r="DE962" s="61"/>
      <c r="DF962" s="61"/>
    </row>
    <row r="963" spans="1:110" ht="12.95" customHeight="1">
      <c r="A963" s="51"/>
      <c r="B963" s="110"/>
      <c r="C963" s="1465" t="s">
        <v>677</v>
      </c>
      <c r="D963" s="2551" t="s">
        <v>1363</v>
      </c>
      <c r="E963" s="2552"/>
      <c r="F963" s="2552"/>
      <c r="G963" s="2552"/>
      <c r="H963" s="2552"/>
      <c r="I963" s="2552"/>
      <c r="J963" s="2552"/>
      <c r="K963" s="2552"/>
      <c r="L963" s="2552"/>
      <c r="M963" s="2552"/>
      <c r="N963" s="2552"/>
      <c r="O963" s="2552"/>
      <c r="P963" s="2552"/>
      <c r="Q963" s="2552"/>
      <c r="R963" s="2552"/>
      <c r="S963" s="2552"/>
      <c r="T963" s="2552"/>
      <c r="U963" s="2552"/>
      <c r="V963" s="2552"/>
      <c r="W963" s="2552"/>
      <c r="X963" s="2552"/>
      <c r="Y963" s="2552"/>
      <c r="Z963" s="2552"/>
      <c r="AA963" s="2552"/>
      <c r="AB963" s="2552"/>
      <c r="AC963" s="2552"/>
      <c r="AD963" s="2552"/>
      <c r="AE963" s="2553"/>
      <c r="AF963" s="117"/>
      <c r="AG963" s="2596" t="s">
        <v>554</v>
      </c>
      <c r="AH963" s="2597"/>
      <c r="AI963" s="125"/>
      <c r="AJ963" s="2539">
        <f>ROUND(IF(AND(AG963="yes",D965&gt;0),AJ961*0.2,0),0)</f>
        <v>5151334</v>
      </c>
      <c r="AK963" s="2540"/>
      <c r="AL963" s="2540"/>
      <c r="AM963" s="2540"/>
      <c r="AN963" s="2540"/>
      <c r="AO963" s="2540"/>
      <c r="AP963" s="2540"/>
      <c r="AQ963" s="2541"/>
      <c r="AR963" s="1425"/>
      <c r="AS963" s="1425"/>
      <c r="AT963" s="1425"/>
      <c r="AU963" s="1425"/>
      <c r="AV963" s="1425"/>
      <c r="AW963" s="1425"/>
      <c r="AX963" s="1425"/>
      <c r="AY963" s="1425"/>
      <c r="AZ963" s="52"/>
      <c r="BA963" s="61"/>
      <c r="BB963" s="21"/>
      <c r="BC963" s="21"/>
      <c r="BD963" s="21"/>
      <c r="BE963" s="21"/>
      <c r="BF963" s="21"/>
      <c r="BG963" s="56"/>
      <c r="BH963" s="56"/>
      <c r="BI963" s="56"/>
      <c r="BJ963" s="56"/>
      <c r="BK963" s="56"/>
      <c r="BL963" s="56"/>
      <c r="BM963" s="56"/>
      <c r="BN963" s="56"/>
      <c r="CB963" s="61"/>
      <c r="CC963" s="61"/>
      <c r="CD963" s="61"/>
      <c r="CE963" s="61"/>
      <c r="CF963" s="61"/>
      <c r="CG963" s="61"/>
      <c r="CH963" s="61"/>
      <c r="CI963" s="61"/>
      <c r="CJ963" s="61"/>
      <c r="CK963" s="61"/>
      <c r="CL963" s="61"/>
      <c r="CM963" s="61"/>
      <c r="CN963" s="61"/>
      <c r="CO963" s="61"/>
      <c r="CP963" s="61"/>
      <c r="CQ963" s="61"/>
      <c r="CR963" s="1446"/>
      <c r="CS963" s="61"/>
      <c r="CT963" s="61"/>
      <c r="CU963" s="61"/>
      <c r="CV963" s="61"/>
      <c r="CW963" s="61"/>
      <c r="CX963" s="61"/>
      <c r="CY963" s="61"/>
      <c r="CZ963" s="61"/>
      <c r="DA963" s="61"/>
      <c r="DB963" s="61"/>
      <c r="DC963" s="61"/>
      <c r="DD963" s="61"/>
      <c r="DE963" s="61"/>
      <c r="DF963" s="61"/>
    </row>
    <row r="964" spans="1:110" ht="66" customHeight="1">
      <c r="A964" s="51"/>
      <c r="B964" s="407"/>
      <c r="C964" s="406"/>
      <c r="D964" s="2575" t="s">
        <v>1364</v>
      </c>
      <c r="E964" s="2576"/>
      <c r="F964" s="2576"/>
      <c r="G964" s="2576"/>
      <c r="H964" s="2576"/>
      <c r="I964" s="2576"/>
      <c r="J964" s="2576"/>
      <c r="K964" s="2576"/>
      <c r="L964" s="2576"/>
      <c r="M964" s="2576"/>
      <c r="N964" s="2576"/>
      <c r="O964" s="2576"/>
      <c r="P964" s="2576"/>
      <c r="Q964" s="2576"/>
      <c r="R964" s="2576"/>
      <c r="S964" s="2576"/>
      <c r="T964" s="2576"/>
      <c r="U964" s="2576"/>
      <c r="V964" s="2576"/>
      <c r="W964" s="2576"/>
      <c r="X964" s="2576"/>
      <c r="Y964" s="2576"/>
      <c r="Z964" s="2576"/>
      <c r="AA964" s="2576"/>
      <c r="AB964" s="2576"/>
      <c r="AC964" s="2576"/>
      <c r="AD964" s="2576"/>
      <c r="AE964" s="2577"/>
      <c r="AF964" s="110"/>
      <c r="AG964" s="112"/>
      <c r="AH964" s="112"/>
      <c r="AI964" s="121"/>
      <c r="AJ964" s="2542"/>
      <c r="AK964" s="2543"/>
      <c r="AL964" s="2543"/>
      <c r="AM964" s="2543"/>
      <c r="AN964" s="2543"/>
      <c r="AO964" s="2543"/>
      <c r="AP964" s="2543"/>
      <c r="AQ964" s="2544"/>
      <c r="AR964" s="1425"/>
      <c r="AS964" s="1425"/>
      <c r="AT964" s="1425"/>
      <c r="AU964" s="1425"/>
      <c r="AV964" s="1425"/>
      <c r="AW964" s="1425"/>
      <c r="AX964" s="1425"/>
      <c r="AY964" s="1425"/>
      <c r="AZ964" s="52"/>
      <c r="BB964" s="21"/>
      <c r="BC964" s="21"/>
      <c r="BD964" s="21"/>
      <c r="BE964" s="21"/>
      <c r="BF964" s="21"/>
      <c r="BG964" s="56"/>
      <c r="BH964" s="56"/>
      <c r="BI964" s="56"/>
      <c r="BJ964" s="56"/>
      <c r="BK964" s="56"/>
      <c r="BL964" s="56"/>
      <c r="BM964" s="56"/>
      <c r="BN964" s="56"/>
      <c r="CB964" s="61"/>
      <c r="CC964" s="61"/>
      <c r="CD964" s="61"/>
      <c r="CE964" s="61"/>
      <c r="CF964" s="61"/>
      <c r="CG964" s="61"/>
      <c r="CH964" s="61"/>
      <c r="CI964" s="61"/>
      <c r="CJ964" s="61"/>
      <c r="CK964" s="61"/>
      <c r="CL964" s="61"/>
      <c r="CM964" s="61"/>
      <c r="CN964" s="61"/>
      <c r="CO964" s="61"/>
      <c r="CP964" s="61"/>
      <c r="CQ964" s="61"/>
      <c r="CR964" s="1446"/>
      <c r="CS964" s="61"/>
      <c r="CT964" s="61"/>
      <c r="CU964" s="61"/>
      <c r="CV964" s="61"/>
      <c r="CW964" s="61"/>
      <c r="CX964" s="61"/>
      <c r="CY964" s="61"/>
      <c r="CZ964" s="61"/>
      <c r="DA964" s="61"/>
      <c r="DB964" s="61"/>
      <c r="DC964" s="61"/>
      <c r="DD964" s="61"/>
      <c r="DE964" s="61"/>
      <c r="DF964" s="61"/>
    </row>
    <row r="965" spans="1:110" ht="12.95" customHeight="1">
      <c r="A965" s="51"/>
      <c r="B965" s="407"/>
      <c r="C965" s="406"/>
      <c r="D965" s="2578" t="s">
        <v>2615</v>
      </c>
      <c r="E965" s="2579"/>
      <c r="F965" s="2579"/>
      <c r="G965" s="2579"/>
      <c r="H965" s="2579"/>
      <c r="I965" s="2579"/>
      <c r="J965" s="2579"/>
      <c r="K965" s="2579"/>
      <c r="L965" s="2579"/>
      <c r="M965" s="2579"/>
      <c r="N965" s="2579"/>
      <c r="O965" s="2579"/>
      <c r="P965" s="2579"/>
      <c r="Q965" s="2579"/>
      <c r="R965" s="2579"/>
      <c r="S965" s="2579"/>
      <c r="T965" s="2579"/>
      <c r="U965" s="2579"/>
      <c r="V965" s="2579"/>
      <c r="W965" s="2579"/>
      <c r="X965" s="2579"/>
      <c r="Y965" s="2579"/>
      <c r="Z965" s="2579"/>
      <c r="AA965" s="2579"/>
      <c r="AB965" s="2579"/>
      <c r="AC965" s="2579"/>
      <c r="AD965" s="2579"/>
      <c r="AE965" s="2580"/>
      <c r="AF965" s="115"/>
      <c r="AG965" s="11"/>
      <c r="AH965" s="11"/>
      <c r="AI965" s="116"/>
      <c r="AJ965" s="2545"/>
      <c r="AK965" s="2546"/>
      <c r="AL965" s="2546"/>
      <c r="AM965" s="2546"/>
      <c r="AN965" s="2546"/>
      <c r="AO965" s="2546"/>
      <c r="AP965" s="2546"/>
      <c r="AQ965" s="2547"/>
      <c r="AR965" s="1425"/>
      <c r="AS965" s="1425"/>
      <c r="AT965" s="1425"/>
      <c r="AU965" s="1425"/>
      <c r="AV965" s="1425"/>
      <c r="AW965" s="1425"/>
      <c r="AX965" s="1425"/>
      <c r="AY965" s="1425"/>
      <c r="AZ965" s="61"/>
      <c r="BA965" s="61"/>
      <c r="BB965" s="21"/>
      <c r="BC965" s="21"/>
      <c r="BD965" s="21"/>
      <c r="BE965" s="21"/>
      <c r="BF965" s="2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1446"/>
      <c r="CS965" s="61"/>
      <c r="CT965" s="61"/>
      <c r="CU965" s="61"/>
      <c r="CV965" s="61"/>
      <c r="CW965" s="61"/>
      <c r="CX965" s="61"/>
      <c r="CY965" s="61"/>
      <c r="CZ965" s="61"/>
      <c r="DA965" s="61"/>
      <c r="DB965" s="61"/>
      <c r="DC965" s="61"/>
      <c r="DD965" s="61"/>
      <c r="DE965" s="61"/>
      <c r="DF965" s="61"/>
    </row>
    <row r="966" spans="1:110" ht="12.95" customHeight="1">
      <c r="A966" s="51"/>
      <c r="B966" s="405"/>
      <c r="C966" s="492"/>
      <c r="D966" s="2502" t="s">
        <v>1449</v>
      </c>
      <c r="E966" s="2503"/>
      <c r="F966" s="2503"/>
      <c r="G966" s="2503"/>
      <c r="H966" s="2503"/>
      <c r="I966" s="2503"/>
      <c r="J966" s="2503"/>
      <c r="K966" s="2503"/>
      <c r="L966" s="2503"/>
      <c r="M966" s="2503"/>
      <c r="N966" s="2503"/>
      <c r="O966" s="2503"/>
      <c r="P966" s="2503"/>
      <c r="Q966" s="2503"/>
      <c r="R966" s="2503"/>
      <c r="S966" s="2503"/>
      <c r="T966" s="2503"/>
      <c r="U966" s="2503"/>
      <c r="V966" s="2503"/>
      <c r="W966" s="2503"/>
      <c r="X966" s="2503"/>
      <c r="Y966" s="2503"/>
      <c r="Z966" s="2503"/>
      <c r="AA966" s="2503"/>
      <c r="AB966" s="2503"/>
      <c r="AC966" s="2503"/>
      <c r="AD966" s="2503"/>
      <c r="AE966" s="2504"/>
      <c r="AF966" s="117"/>
      <c r="AG966" s="2514" t="s">
        <v>678</v>
      </c>
      <c r="AH966" s="2515"/>
      <c r="AI966" s="125"/>
      <c r="AJ966" s="2539">
        <f>ROUND(IF(AG966="yes",AJ961*0.05,0),0)</f>
        <v>0</v>
      </c>
      <c r="AK966" s="2540"/>
      <c r="AL966" s="2540"/>
      <c r="AM966" s="2540"/>
      <c r="AN966" s="2540"/>
      <c r="AO966" s="2540"/>
      <c r="AP966" s="2540"/>
      <c r="AQ966" s="2541"/>
      <c r="AR966" s="1425"/>
      <c r="AS966" s="1425"/>
      <c r="AT966" s="1425"/>
      <c r="AU966" s="1425"/>
      <c r="AV966" s="1425"/>
      <c r="AW966" s="1425"/>
      <c r="AX966" s="1425"/>
      <c r="AY966" s="1425"/>
      <c r="AZ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1446"/>
      <c r="CS966" s="61"/>
      <c r="CT966" s="61"/>
      <c r="CU966" s="61"/>
      <c r="CV966" s="61"/>
      <c r="CW966" s="61"/>
      <c r="CX966" s="61"/>
      <c r="CY966" s="61"/>
      <c r="CZ966" s="61"/>
      <c r="DA966" s="61"/>
      <c r="DB966" s="61"/>
      <c r="DC966" s="61"/>
      <c r="DD966" s="61"/>
      <c r="DE966" s="61"/>
      <c r="DF966" s="61"/>
    </row>
    <row r="967" spans="1:110" ht="12.95" customHeight="1">
      <c r="A967" s="51"/>
      <c r="B967" s="407"/>
      <c r="C967" s="120"/>
      <c r="D967" s="2575" t="s">
        <v>1447</v>
      </c>
      <c r="E967" s="2576"/>
      <c r="F967" s="2576"/>
      <c r="G967" s="2576"/>
      <c r="H967" s="2576"/>
      <c r="I967" s="2576"/>
      <c r="J967" s="2576"/>
      <c r="K967" s="2576"/>
      <c r="L967" s="2576"/>
      <c r="M967" s="2576"/>
      <c r="N967" s="2576"/>
      <c r="O967" s="2576"/>
      <c r="P967" s="2576"/>
      <c r="Q967" s="2576"/>
      <c r="R967" s="2576"/>
      <c r="S967" s="2576"/>
      <c r="T967" s="2576"/>
      <c r="U967" s="2576"/>
      <c r="V967" s="2576"/>
      <c r="W967" s="2576"/>
      <c r="X967" s="2576"/>
      <c r="Y967" s="2576"/>
      <c r="Z967" s="2576"/>
      <c r="AA967" s="2576"/>
      <c r="AB967" s="2576"/>
      <c r="AC967" s="2576"/>
      <c r="AD967" s="2576"/>
      <c r="AE967" s="2577"/>
      <c r="AF967" s="110"/>
      <c r="AG967" s="112"/>
      <c r="AH967" s="112"/>
      <c r="AI967" s="121"/>
      <c r="AJ967" s="2542"/>
      <c r="AK967" s="2543"/>
      <c r="AL967" s="2543"/>
      <c r="AM967" s="2543"/>
      <c r="AN967" s="2543"/>
      <c r="AO967" s="2543"/>
      <c r="AP967" s="2543"/>
      <c r="AQ967" s="2544"/>
      <c r="AR967" s="1425"/>
      <c r="AS967" s="1425"/>
      <c r="AT967" s="1425"/>
      <c r="AU967" s="1425"/>
      <c r="AV967" s="1425"/>
      <c r="AW967" s="1425"/>
      <c r="AX967" s="1425"/>
      <c r="AY967" s="1425"/>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1446"/>
      <c r="CS967" s="61"/>
      <c r="CT967" s="61"/>
      <c r="CU967" s="61"/>
      <c r="CV967" s="61"/>
      <c r="CW967" s="61"/>
      <c r="CX967" s="61"/>
      <c r="CY967" s="61"/>
      <c r="CZ967" s="61"/>
      <c r="DA967" s="61"/>
      <c r="DB967" s="61"/>
      <c r="DC967" s="61"/>
      <c r="DD967" s="61"/>
      <c r="DE967" s="61"/>
      <c r="DF967" s="61"/>
    </row>
    <row r="968" spans="1:110" ht="12.95" customHeight="1">
      <c r="A968" s="51"/>
      <c r="B968" s="407"/>
      <c r="C968" s="120"/>
      <c r="D968" s="2575"/>
      <c r="E968" s="2576"/>
      <c r="F968" s="2576"/>
      <c r="G968" s="2576"/>
      <c r="H968" s="2576"/>
      <c r="I968" s="2576"/>
      <c r="J968" s="2576"/>
      <c r="K968" s="2576"/>
      <c r="L968" s="2576"/>
      <c r="M968" s="2576"/>
      <c r="N968" s="2576"/>
      <c r="O968" s="2576"/>
      <c r="P968" s="2576"/>
      <c r="Q968" s="2576"/>
      <c r="R968" s="2576"/>
      <c r="S968" s="2576"/>
      <c r="T968" s="2576"/>
      <c r="U968" s="2576"/>
      <c r="V968" s="2576"/>
      <c r="W968" s="2576"/>
      <c r="X968" s="2576"/>
      <c r="Y968" s="2576"/>
      <c r="Z968" s="2576"/>
      <c r="AA968" s="2576"/>
      <c r="AB968" s="2576"/>
      <c r="AC968" s="2576"/>
      <c r="AD968" s="2576"/>
      <c r="AE968" s="2577"/>
      <c r="AF968" s="110"/>
      <c r="AG968" s="112"/>
      <c r="AH968" s="112"/>
      <c r="AI968" s="121"/>
      <c r="AJ968" s="2542"/>
      <c r="AK968" s="2543"/>
      <c r="AL968" s="2543"/>
      <c r="AM968" s="2543"/>
      <c r="AN968" s="2543"/>
      <c r="AO968" s="2543"/>
      <c r="AP968" s="2543"/>
      <c r="AQ968" s="2544"/>
      <c r="AR968" s="1425"/>
      <c r="AS968" s="1425"/>
      <c r="AT968" s="1425"/>
      <c r="AU968" s="1425"/>
      <c r="AV968" s="1425"/>
      <c r="AW968" s="1425"/>
      <c r="AX968" s="1425"/>
      <c r="AY968" s="1425"/>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1446"/>
      <c r="CS968" s="61"/>
      <c r="CT968" s="61"/>
      <c r="CU968" s="61"/>
      <c r="CV968" s="61"/>
      <c r="CW968" s="61"/>
      <c r="CX968" s="61"/>
      <c r="CY968" s="61"/>
      <c r="CZ968" s="61"/>
      <c r="DA968" s="61"/>
      <c r="DB968" s="61"/>
      <c r="DC968" s="61"/>
      <c r="DD968" s="61"/>
      <c r="DE968" s="61"/>
      <c r="DF968" s="61"/>
    </row>
    <row r="969" spans="1:110" s="708" customFormat="1" ht="12.95" customHeight="1">
      <c r="A969" s="51"/>
      <c r="B969" s="407"/>
      <c r="C969" s="120"/>
      <c r="D969" s="2575"/>
      <c r="E969" s="2576"/>
      <c r="F969" s="2576"/>
      <c r="G969" s="2576"/>
      <c r="H969" s="2576"/>
      <c r="I969" s="2576"/>
      <c r="J969" s="2576"/>
      <c r="K969" s="2576"/>
      <c r="L969" s="2576"/>
      <c r="M969" s="2576"/>
      <c r="N969" s="2576"/>
      <c r="O969" s="2576"/>
      <c r="P969" s="2576"/>
      <c r="Q969" s="2576"/>
      <c r="R969" s="2576"/>
      <c r="S969" s="2576"/>
      <c r="T969" s="2576"/>
      <c r="U969" s="2576"/>
      <c r="V969" s="2576"/>
      <c r="W969" s="2576"/>
      <c r="X969" s="2576"/>
      <c r="Y969" s="2576"/>
      <c r="Z969" s="2576"/>
      <c r="AA969" s="2576"/>
      <c r="AB969" s="2576"/>
      <c r="AC969" s="2576"/>
      <c r="AD969" s="2576"/>
      <c r="AE969" s="2577"/>
      <c r="AF969" s="110"/>
      <c r="AG969" s="112"/>
      <c r="AH969" s="112"/>
      <c r="AI969" s="121"/>
      <c r="AJ969" s="2542"/>
      <c r="AK969" s="2543"/>
      <c r="AL969" s="2543"/>
      <c r="AM969" s="2543"/>
      <c r="AN969" s="2543"/>
      <c r="AO969" s="2543"/>
      <c r="AP969" s="2543"/>
      <c r="AQ969" s="2544"/>
      <c r="AR969" s="1425"/>
      <c r="AS969" s="1425"/>
      <c r="AT969" s="1425"/>
      <c r="AU969" s="1425"/>
      <c r="AV969" s="1425"/>
      <c r="AW969" s="1425"/>
      <c r="AX969" s="1425"/>
      <c r="AY969" s="1425"/>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1446"/>
      <c r="CS969" s="61"/>
      <c r="CT969" s="61"/>
      <c r="CU969" s="61"/>
      <c r="CV969" s="61"/>
      <c r="CW969" s="61"/>
      <c r="CX969" s="61"/>
      <c r="CY969" s="61"/>
      <c r="CZ969" s="61"/>
      <c r="DA969" s="61"/>
      <c r="DB969" s="61"/>
      <c r="DC969" s="61"/>
      <c r="DD969" s="61"/>
      <c r="DE969" s="61"/>
      <c r="DF969" s="61"/>
    </row>
    <row r="970" spans="1:110" s="708" customFormat="1" ht="12.95" customHeight="1">
      <c r="A970" s="51"/>
      <c r="B970" s="407"/>
      <c r="C970" s="120"/>
      <c r="D970" s="2575"/>
      <c r="E970" s="2576"/>
      <c r="F970" s="2576"/>
      <c r="G970" s="2576"/>
      <c r="H970" s="2576"/>
      <c r="I970" s="2576"/>
      <c r="J970" s="2576"/>
      <c r="K970" s="2576"/>
      <c r="L970" s="2576"/>
      <c r="M970" s="2576"/>
      <c r="N970" s="2576"/>
      <c r="O970" s="2576"/>
      <c r="P970" s="2576"/>
      <c r="Q970" s="2576"/>
      <c r="R970" s="2576"/>
      <c r="S970" s="2576"/>
      <c r="T970" s="2576"/>
      <c r="U970" s="2576"/>
      <c r="V970" s="2576"/>
      <c r="W970" s="2576"/>
      <c r="X970" s="2576"/>
      <c r="Y970" s="2576"/>
      <c r="Z970" s="2576"/>
      <c r="AA970" s="2576"/>
      <c r="AB970" s="2576"/>
      <c r="AC970" s="2576"/>
      <c r="AD970" s="2576"/>
      <c r="AE970" s="2577"/>
      <c r="AF970" s="110"/>
      <c r="AG970" s="112"/>
      <c r="AH970" s="112"/>
      <c r="AI970" s="121"/>
      <c r="AJ970" s="2542"/>
      <c r="AK970" s="2543"/>
      <c r="AL970" s="2543"/>
      <c r="AM970" s="2543"/>
      <c r="AN970" s="2543"/>
      <c r="AO970" s="2543"/>
      <c r="AP970" s="2543"/>
      <c r="AQ970" s="2544"/>
      <c r="AR970" s="1425"/>
      <c r="AS970" s="1425"/>
      <c r="AT970" s="1425"/>
      <c r="AU970" s="1425"/>
      <c r="AV970" s="1425"/>
      <c r="AW970" s="1425"/>
      <c r="AX970" s="1425"/>
      <c r="AY970" s="1425"/>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1446"/>
      <c r="CS970" s="61"/>
      <c r="CT970" s="61"/>
      <c r="CU970" s="61"/>
      <c r="CV970" s="61"/>
      <c r="CW970" s="61"/>
      <c r="CX970" s="61"/>
      <c r="CY970" s="61"/>
      <c r="CZ970" s="61"/>
      <c r="DA970" s="61"/>
      <c r="DB970" s="61"/>
      <c r="DC970" s="61"/>
      <c r="DD970" s="61"/>
      <c r="DE970" s="61"/>
      <c r="DF970" s="61"/>
    </row>
    <row r="971" spans="1:110" s="708" customFormat="1" ht="12.95" customHeight="1">
      <c r="A971" s="51"/>
      <c r="B971" s="113"/>
      <c r="C971" s="114"/>
      <c r="D971" s="2581"/>
      <c r="E971" s="2582"/>
      <c r="F971" s="2582"/>
      <c r="G971" s="2582"/>
      <c r="H971" s="2582"/>
      <c r="I971" s="2582"/>
      <c r="J971" s="2582"/>
      <c r="K971" s="2582"/>
      <c r="L971" s="2582"/>
      <c r="M971" s="2582"/>
      <c r="N971" s="2582"/>
      <c r="O971" s="2582"/>
      <c r="P971" s="2582"/>
      <c r="Q971" s="2582"/>
      <c r="R971" s="2582"/>
      <c r="S971" s="2582"/>
      <c r="T971" s="2582"/>
      <c r="U971" s="2582"/>
      <c r="V971" s="2582"/>
      <c r="W971" s="2582"/>
      <c r="X971" s="2582"/>
      <c r="Y971" s="2582"/>
      <c r="Z971" s="2582"/>
      <c r="AA971" s="2582"/>
      <c r="AB971" s="2582"/>
      <c r="AC971" s="2582"/>
      <c r="AD971" s="2582"/>
      <c r="AE971" s="2583"/>
      <c r="AF971" s="115"/>
      <c r="AG971" s="11"/>
      <c r="AH971" s="11"/>
      <c r="AI971" s="116"/>
      <c r="AJ971" s="2545"/>
      <c r="AK971" s="2546"/>
      <c r="AL971" s="2546"/>
      <c r="AM971" s="2546"/>
      <c r="AN971" s="2546"/>
      <c r="AO971" s="2546"/>
      <c r="AP971" s="2546"/>
      <c r="AQ971" s="2547"/>
      <c r="AR971" s="1425"/>
      <c r="AS971" s="1425"/>
      <c r="AT971" s="1425"/>
      <c r="AU971" s="1425"/>
      <c r="AV971" s="1425"/>
      <c r="AW971" s="1425"/>
      <c r="AX971" s="1425"/>
      <c r="AY971" s="1425"/>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1446"/>
      <c r="CS971" s="61"/>
      <c r="CT971" s="61"/>
      <c r="CU971" s="61"/>
      <c r="CV971" s="61"/>
      <c r="CW971" s="61"/>
      <c r="CX971" s="61"/>
      <c r="CY971" s="61"/>
      <c r="CZ971" s="61"/>
      <c r="DA971" s="61"/>
      <c r="DB971" s="61"/>
      <c r="DC971" s="61"/>
      <c r="DD971" s="61"/>
      <c r="DE971" s="61"/>
      <c r="DF971" s="61"/>
    </row>
    <row r="972" spans="1:110" ht="12.95" customHeight="1">
      <c r="A972" s="51"/>
      <c r="B972" s="405"/>
      <c r="C972" s="118" t="s">
        <v>681</v>
      </c>
      <c r="D972" s="2502" t="s">
        <v>1937</v>
      </c>
      <c r="E972" s="2503"/>
      <c r="F972" s="2503"/>
      <c r="G972" s="2503"/>
      <c r="H972" s="2503"/>
      <c r="I972" s="2503"/>
      <c r="J972" s="2503"/>
      <c r="K972" s="2503"/>
      <c r="L972" s="2503"/>
      <c r="M972" s="2503"/>
      <c r="N972" s="2503"/>
      <c r="O972" s="2503"/>
      <c r="P972" s="2503"/>
      <c r="Q972" s="2503"/>
      <c r="R972" s="2503"/>
      <c r="S972" s="2503"/>
      <c r="T972" s="2503"/>
      <c r="U972" s="2503"/>
      <c r="V972" s="2503"/>
      <c r="W972" s="2503"/>
      <c r="X972" s="2503"/>
      <c r="Y972" s="2503"/>
      <c r="Z972" s="2503"/>
      <c r="AA972" s="2503"/>
      <c r="AB972" s="2503"/>
      <c r="AC972" s="2503"/>
      <c r="AD972" s="2503"/>
      <c r="AE972" s="2504"/>
      <c r="AF972" s="124"/>
      <c r="AG972" s="2514" t="s">
        <v>678</v>
      </c>
      <c r="AH972" s="2515"/>
      <c r="AI972" s="125"/>
      <c r="AJ972" s="2539">
        <f>ROUND(IF(AG972="yes",AJ961*0.1,0),0)</f>
        <v>0</v>
      </c>
      <c r="AK972" s="2540"/>
      <c r="AL972" s="2540"/>
      <c r="AM972" s="2540"/>
      <c r="AN972" s="2540"/>
      <c r="AO972" s="2540"/>
      <c r="AP972" s="2540"/>
      <c r="AQ972" s="2541"/>
      <c r="AR972" s="1425"/>
      <c r="AS972" s="1425"/>
      <c r="AT972" s="1425"/>
      <c r="AU972" s="1425"/>
      <c r="AV972" s="1425"/>
      <c r="AW972" s="1425"/>
      <c r="AX972" s="1425"/>
      <c r="AY972" s="1425"/>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1446"/>
      <c r="CS972" s="61"/>
      <c r="CT972" s="61"/>
      <c r="CU972" s="61"/>
      <c r="CV972" s="61"/>
      <c r="CW972" s="61"/>
      <c r="CX972" s="61"/>
      <c r="CY972" s="61"/>
      <c r="CZ972" s="61"/>
      <c r="DA972" s="61"/>
      <c r="DB972" s="61"/>
      <c r="DC972" s="61"/>
      <c r="DD972" s="61"/>
      <c r="DE972" s="61"/>
      <c r="DF972" s="61"/>
    </row>
    <row r="973" spans="1:110" ht="12.95" customHeight="1">
      <c r="A973" s="51"/>
      <c r="B973" s="110"/>
      <c r="C973" s="111"/>
      <c r="D973" s="2505" t="s">
        <v>1448</v>
      </c>
      <c r="E973" s="2506"/>
      <c r="F973" s="2506"/>
      <c r="G973" s="2506"/>
      <c r="H973" s="2506"/>
      <c r="I973" s="2506"/>
      <c r="J973" s="2506"/>
      <c r="K973" s="2506"/>
      <c r="L973" s="2506"/>
      <c r="M973" s="2506"/>
      <c r="N973" s="2506"/>
      <c r="O973" s="2506"/>
      <c r="P973" s="2506"/>
      <c r="Q973" s="2506"/>
      <c r="R973" s="2506"/>
      <c r="S973" s="2506"/>
      <c r="T973" s="2506"/>
      <c r="U973" s="2506"/>
      <c r="V973" s="2506"/>
      <c r="W973" s="2506"/>
      <c r="X973" s="2506"/>
      <c r="Y973" s="2506"/>
      <c r="Z973" s="2506"/>
      <c r="AA973" s="2506"/>
      <c r="AB973" s="2506"/>
      <c r="AC973" s="2506"/>
      <c r="AD973" s="2506"/>
      <c r="AE973" s="2507"/>
      <c r="AF973" s="110"/>
      <c r="AG973" s="25"/>
      <c r="AH973" s="25"/>
      <c r="AI973" s="121"/>
      <c r="AJ973" s="2542"/>
      <c r="AK973" s="2543"/>
      <c r="AL973" s="2543"/>
      <c r="AM973" s="2543"/>
      <c r="AN973" s="2543"/>
      <c r="AO973" s="2543"/>
      <c r="AP973" s="2543"/>
      <c r="AQ973" s="2544"/>
      <c r="AR973" s="1425"/>
      <c r="AS973" s="1425"/>
      <c r="AT973" s="1425"/>
      <c r="AU973" s="1425"/>
      <c r="AV973" s="1425"/>
      <c r="AW973" s="1425"/>
      <c r="AX973" s="1425"/>
      <c r="AY973" s="1425"/>
      <c r="AZ973" s="61"/>
      <c r="BA973" s="1452">
        <f>G739+O782</f>
        <v>69</v>
      </c>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1446"/>
      <c r="CS973" s="61"/>
      <c r="CT973" s="61"/>
      <c r="CU973" s="61"/>
      <c r="CV973" s="61"/>
      <c r="CW973" s="61"/>
      <c r="CX973" s="61"/>
      <c r="CY973" s="61"/>
      <c r="CZ973" s="61"/>
      <c r="DA973" s="61"/>
      <c r="DB973" s="61"/>
      <c r="DC973" s="61"/>
      <c r="DD973" s="61"/>
      <c r="DE973" s="61"/>
      <c r="DF973" s="61"/>
    </row>
    <row r="974" spans="1:110" ht="12.95" customHeight="1">
      <c r="A974" s="51"/>
      <c r="B974" s="110"/>
      <c r="C974" s="111"/>
      <c r="D974" s="2505"/>
      <c r="E974" s="2506"/>
      <c r="F974" s="2506"/>
      <c r="G974" s="2506"/>
      <c r="H974" s="2506"/>
      <c r="I974" s="2506"/>
      <c r="J974" s="2506"/>
      <c r="K974" s="2506"/>
      <c r="L974" s="2506"/>
      <c r="M974" s="2506"/>
      <c r="N974" s="2506"/>
      <c r="O974" s="2506"/>
      <c r="P974" s="2506"/>
      <c r="Q974" s="2506"/>
      <c r="R974" s="2506"/>
      <c r="S974" s="2506"/>
      <c r="T974" s="2506"/>
      <c r="U974" s="2506"/>
      <c r="V974" s="2506"/>
      <c r="W974" s="2506"/>
      <c r="X974" s="2506"/>
      <c r="Y974" s="2506"/>
      <c r="Z974" s="2506"/>
      <c r="AA974" s="2506"/>
      <c r="AB974" s="2506"/>
      <c r="AC974" s="2506"/>
      <c r="AD974" s="2506"/>
      <c r="AE974" s="2507"/>
      <c r="AF974" s="110"/>
      <c r="AG974" s="112"/>
      <c r="AH974" s="112"/>
      <c r="AI974" s="121"/>
      <c r="AJ974" s="2542"/>
      <c r="AK974" s="2543"/>
      <c r="AL974" s="2543"/>
      <c r="AM974" s="2543"/>
      <c r="AN974" s="2543"/>
      <c r="AO974" s="2543"/>
      <c r="AP974" s="2543"/>
      <c r="AQ974" s="2544"/>
      <c r="AR974" s="1425"/>
      <c r="AS974" s="1425"/>
      <c r="AT974" s="1425"/>
      <c r="AU974" s="1425"/>
      <c r="AV974" s="1425"/>
      <c r="AW974" s="1425"/>
      <c r="AX974" s="1425"/>
      <c r="AY974" s="1425"/>
      <c r="AZ974" s="61"/>
      <c r="BA974" s="21"/>
      <c r="BB974" s="61"/>
      <c r="BC974" s="61"/>
      <c r="BD974" s="61"/>
      <c r="BE974" s="61"/>
      <c r="BF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1446"/>
      <c r="CS974" s="61"/>
      <c r="CT974" s="61"/>
      <c r="CU974" s="61"/>
      <c r="CV974" s="61"/>
      <c r="CW974" s="61"/>
      <c r="CX974" s="61"/>
      <c r="CY974" s="61"/>
      <c r="CZ974" s="61"/>
      <c r="DA974" s="61"/>
      <c r="DB974" s="61"/>
      <c r="DC974" s="61"/>
      <c r="DD974" s="61"/>
      <c r="DE974" s="61"/>
      <c r="DF974" s="61"/>
    </row>
    <row r="975" spans="1:110" ht="12.95" customHeight="1">
      <c r="A975" s="51"/>
      <c r="B975" s="123"/>
      <c r="C975" s="114"/>
      <c r="D975" s="2518"/>
      <c r="E975" s="2519"/>
      <c r="F975" s="2519"/>
      <c r="G975" s="2519"/>
      <c r="H975" s="2519"/>
      <c r="I975" s="2519"/>
      <c r="J975" s="2519"/>
      <c r="K975" s="2519"/>
      <c r="L975" s="2519"/>
      <c r="M975" s="2519"/>
      <c r="N975" s="2519"/>
      <c r="O975" s="2519"/>
      <c r="P975" s="2519"/>
      <c r="Q975" s="2519"/>
      <c r="R975" s="2519"/>
      <c r="S975" s="2519"/>
      <c r="T975" s="2519"/>
      <c r="U975" s="2519"/>
      <c r="V975" s="2519"/>
      <c r="W975" s="2519"/>
      <c r="X975" s="2519"/>
      <c r="Y975" s="2519"/>
      <c r="Z975" s="2519"/>
      <c r="AA975" s="2519"/>
      <c r="AB975" s="2519"/>
      <c r="AC975" s="2519"/>
      <c r="AD975" s="2519"/>
      <c r="AE975" s="2520"/>
      <c r="AF975" s="115"/>
      <c r="AG975" s="11"/>
      <c r="AH975" s="11"/>
      <c r="AI975" s="116"/>
      <c r="AJ975" s="2545"/>
      <c r="AK975" s="2546"/>
      <c r="AL975" s="2546"/>
      <c r="AM975" s="2546"/>
      <c r="AN975" s="2546"/>
      <c r="AO975" s="2546"/>
      <c r="AP975" s="2546"/>
      <c r="AQ975" s="2547"/>
      <c r="AR975" s="1425"/>
      <c r="AS975" s="1425"/>
      <c r="AT975" s="1425"/>
      <c r="AU975" s="1425"/>
      <c r="AV975" s="1425"/>
      <c r="AW975" s="1425"/>
      <c r="AX975" s="1425"/>
      <c r="AY975" s="1425"/>
      <c r="AZ975" s="61"/>
      <c r="BA975" s="1451">
        <f>ROUNDDOWN(X1013/I1013,2)</f>
        <v>0.04</v>
      </c>
      <c r="BB975" s="61"/>
      <c r="BC975" s="61"/>
      <c r="BD975" s="61"/>
      <c r="BE975" s="61"/>
      <c r="BF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1446"/>
      <c r="CS975" s="61"/>
      <c r="CT975" s="61"/>
      <c r="CU975" s="61"/>
      <c r="CV975" s="61"/>
      <c r="CW975" s="61"/>
      <c r="CX975" s="61"/>
      <c r="CY975" s="61"/>
      <c r="CZ975" s="61"/>
      <c r="DA975" s="61"/>
      <c r="DB975" s="61"/>
      <c r="DC975" s="61"/>
      <c r="DD975" s="61"/>
      <c r="DE975" s="61"/>
      <c r="DF975" s="61"/>
    </row>
    <row r="976" spans="1:110" ht="12.95" customHeight="1">
      <c r="A976" s="51"/>
      <c r="B976" s="117"/>
      <c r="C976" s="118" t="s">
        <v>213</v>
      </c>
      <c r="D976" s="2502" t="s">
        <v>1450</v>
      </c>
      <c r="E976" s="2503"/>
      <c r="F976" s="2503"/>
      <c r="G976" s="2503"/>
      <c r="H976" s="2503"/>
      <c r="I976" s="2503"/>
      <c r="J976" s="2503"/>
      <c r="K976" s="2503"/>
      <c r="L976" s="2503"/>
      <c r="M976" s="2503"/>
      <c r="N976" s="2503"/>
      <c r="O976" s="2503"/>
      <c r="P976" s="2503"/>
      <c r="Q976" s="2503"/>
      <c r="R976" s="2503"/>
      <c r="S976" s="2503"/>
      <c r="T976" s="2503"/>
      <c r="U976" s="2503"/>
      <c r="V976" s="2503"/>
      <c r="W976" s="2503"/>
      <c r="X976" s="2503"/>
      <c r="Y976" s="2503"/>
      <c r="Z976" s="2503"/>
      <c r="AA976" s="2503"/>
      <c r="AB976" s="2503"/>
      <c r="AC976" s="2503"/>
      <c r="AD976" s="2503"/>
      <c r="AE976" s="2504"/>
      <c r="AF976" s="117"/>
      <c r="AG976" s="2514" t="s">
        <v>678</v>
      </c>
      <c r="AH976" s="2515"/>
      <c r="AI976" s="125"/>
      <c r="AJ976" s="2539">
        <f>ROUND(IF(AG976="yes",AJ961*0.02,0),0)</f>
        <v>0</v>
      </c>
      <c r="AK976" s="2540"/>
      <c r="AL976" s="2540"/>
      <c r="AM976" s="2540"/>
      <c r="AN976" s="2540"/>
      <c r="AO976" s="2540"/>
      <c r="AP976" s="2540"/>
      <c r="AQ976" s="2541"/>
      <c r="AR976" s="1425"/>
      <c r="AS976" s="1425"/>
      <c r="AT976" s="1425"/>
      <c r="AU976" s="1425"/>
      <c r="AV976" s="1425"/>
      <c r="AW976" s="1425"/>
      <c r="AX976" s="1425"/>
      <c r="AY976" s="1425"/>
      <c r="AZ976" s="61"/>
      <c r="BA976" s="1451">
        <f>ROUNDDOWN(X1017/I1017,2)</f>
        <v>0.46</v>
      </c>
      <c r="BB976" s="61"/>
      <c r="BC976" s="61"/>
      <c r="BD976" s="61"/>
      <c r="BE976" s="61"/>
      <c r="BF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1446"/>
      <c r="CS976" s="61"/>
      <c r="CT976" s="61"/>
      <c r="CU976" s="61"/>
      <c r="CV976" s="61"/>
      <c r="CW976" s="61"/>
      <c r="CX976" s="61"/>
      <c r="CY976" s="61"/>
      <c r="CZ976" s="61"/>
      <c r="DA976" s="61"/>
      <c r="DB976" s="61"/>
      <c r="DC976" s="61"/>
      <c r="DD976" s="61"/>
      <c r="DE976" s="61"/>
      <c r="DF976" s="61"/>
    </row>
    <row r="977" spans="1:96" s="32" customFormat="1" ht="12.95" customHeight="1">
      <c r="A977" s="51"/>
      <c r="B977" s="110"/>
      <c r="C977" s="111"/>
      <c r="D977" s="2518" t="s">
        <v>1451</v>
      </c>
      <c r="E977" s="2519"/>
      <c r="F977" s="2519"/>
      <c r="G977" s="2519"/>
      <c r="H977" s="2519"/>
      <c r="I977" s="2519"/>
      <c r="J977" s="2519"/>
      <c r="K977" s="2519"/>
      <c r="L977" s="2519"/>
      <c r="M977" s="2519"/>
      <c r="N977" s="2519"/>
      <c r="O977" s="2519"/>
      <c r="P977" s="2519"/>
      <c r="Q977" s="2519"/>
      <c r="R977" s="2519"/>
      <c r="S977" s="2519"/>
      <c r="T977" s="2519"/>
      <c r="U977" s="2519"/>
      <c r="V977" s="2519"/>
      <c r="W977" s="2519"/>
      <c r="X977" s="2519"/>
      <c r="Y977" s="2519"/>
      <c r="Z977" s="2519"/>
      <c r="AA977" s="2519"/>
      <c r="AB977" s="2519"/>
      <c r="AC977" s="2519"/>
      <c r="AD977" s="2519"/>
      <c r="AE977" s="2520"/>
      <c r="AF977" s="115"/>
      <c r="AG977" s="11"/>
      <c r="AH977" s="11"/>
      <c r="AI977" s="116"/>
      <c r="AJ977" s="2545"/>
      <c r="AK977" s="2546"/>
      <c r="AL977" s="2546"/>
      <c r="AM977" s="2546"/>
      <c r="AN977" s="2546"/>
      <c r="AO977" s="2546"/>
      <c r="AP977" s="2546"/>
      <c r="AQ977" s="2547"/>
      <c r="AR977" s="1425"/>
      <c r="AS977" s="1425"/>
      <c r="AT977" s="1425"/>
      <c r="AU977" s="1425"/>
      <c r="AV977" s="1425"/>
      <c r="AW977" s="1425"/>
      <c r="AX977" s="1425"/>
      <c r="AY977" s="1425"/>
      <c r="BB977" s="61"/>
      <c r="BC977" s="61"/>
      <c r="BD977" s="61"/>
      <c r="BE977" s="61"/>
      <c r="BF977" s="61"/>
      <c r="CR977" s="204"/>
    </row>
    <row r="978" spans="1:96" ht="12.95" customHeight="1">
      <c r="A978" s="51"/>
      <c r="B978" s="117"/>
      <c r="C978" s="118" t="s">
        <v>216</v>
      </c>
      <c r="D978" s="2502" t="s">
        <v>1452</v>
      </c>
      <c r="E978" s="2503"/>
      <c r="F978" s="2503"/>
      <c r="G978" s="2503"/>
      <c r="H978" s="2503"/>
      <c r="I978" s="2503"/>
      <c r="J978" s="2503"/>
      <c r="K978" s="2503"/>
      <c r="L978" s="2503"/>
      <c r="M978" s="2503"/>
      <c r="N978" s="2503"/>
      <c r="O978" s="2503"/>
      <c r="P978" s="2503"/>
      <c r="Q978" s="2503"/>
      <c r="R978" s="2503"/>
      <c r="S978" s="2503"/>
      <c r="T978" s="2503"/>
      <c r="U978" s="2503"/>
      <c r="V978" s="2503"/>
      <c r="W978" s="2503"/>
      <c r="X978" s="2503"/>
      <c r="Y978" s="2503"/>
      <c r="Z978" s="2503"/>
      <c r="AA978" s="2503"/>
      <c r="AB978" s="2503"/>
      <c r="AC978" s="2503"/>
      <c r="AD978" s="2503"/>
      <c r="AE978" s="2504"/>
      <c r="AF978" s="117"/>
      <c r="AG978" s="2514" t="s">
        <v>678</v>
      </c>
      <c r="AH978" s="2515"/>
      <c r="AI978" s="117"/>
      <c r="AJ978" s="2539">
        <f>ROUND(IF(AG978="yes",AJ961*0.02,0),0)</f>
        <v>0</v>
      </c>
      <c r="AK978" s="2540"/>
      <c r="AL978" s="2540"/>
      <c r="AM978" s="2540"/>
      <c r="AN978" s="2540"/>
      <c r="AO978" s="2540"/>
      <c r="AP978" s="2540"/>
      <c r="AQ978" s="2541"/>
      <c r="AR978" s="1425"/>
      <c r="AS978" s="1425"/>
      <c r="AT978" s="1425"/>
      <c r="AU978" s="1425"/>
      <c r="AV978" s="1425"/>
      <c r="AW978" s="1425"/>
      <c r="AX978" s="1425"/>
      <c r="AY978" s="1425"/>
      <c r="BB978" s="32"/>
      <c r="BC978" s="32"/>
      <c r="BD978" s="32"/>
      <c r="BE978" s="32"/>
      <c r="BF978" s="32"/>
    </row>
    <row r="979" spans="1:96" s="708" customFormat="1" ht="12.95" customHeight="1">
      <c r="A979" s="51"/>
      <c r="B979" s="110"/>
      <c r="C979" s="111"/>
      <c r="D979" s="2505" t="s">
        <v>1453</v>
      </c>
      <c r="E979" s="2506"/>
      <c r="F979" s="2506"/>
      <c r="G979" s="2506"/>
      <c r="H979" s="2506"/>
      <c r="I979" s="2506"/>
      <c r="J979" s="2506"/>
      <c r="K979" s="2506"/>
      <c r="L979" s="2506"/>
      <c r="M979" s="2506"/>
      <c r="N979" s="2506"/>
      <c r="O979" s="2506"/>
      <c r="P979" s="2506"/>
      <c r="Q979" s="2506"/>
      <c r="R979" s="2506"/>
      <c r="S979" s="2506"/>
      <c r="T979" s="2506"/>
      <c r="U979" s="2506"/>
      <c r="V979" s="2506"/>
      <c r="W979" s="2506"/>
      <c r="X979" s="2506"/>
      <c r="Y979" s="2506"/>
      <c r="Z979" s="2506"/>
      <c r="AA979" s="2506"/>
      <c r="AB979" s="2506"/>
      <c r="AC979" s="2506"/>
      <c r="AD979" s="2506"/>
      <c r="AE979" s="2507"/>
      <c r="AF979" s="110"/>
      <c r="AG979" s="25"/>
      <c r="AH979" s="25"/>
      <c r="AI979" s="112"/>
      <c r="AJ979" s="2542"/>
      <c r="AK979" s="2543"/>
      <c r="AL979" s="2543"/>
      <c r="AM979" s="2543"/>
      <c r="AN979" s="2543"/>
      <c r="AO979" s="2543"/>
      <c r="AP979" s="2543"/>
      <c r="AQ979" s="2544"/>
      <c r="AR979" s="1425"/>
      <c r="AS979" s="1425"/>
      <c r="AT979" s="1425"/>
      <c r="AU979" s="1425"/>
      <c r="AV979" s="1425"/>
      <c r="AW979" s="1425"/>
      <c r="AX979" s="1425"/>
      <c r="AY979" s="1425"/>
      <c r="BB979" s="883"/>
      <c r="BC979" s="883"/>
      <c r="BD979" s="883"/>
      <c r="BE979" s="883"/>
      <c r="BF979" s="883"/>
      <c r="CR979" s="25"/>
    </row>
    <row r="980" spans="1:96" ht="12.95" customHeight="1">
      <c r="A980" s="51"/>
      <c r="B980" s="113"/>
      <c r="C980" s="114"/>
      <c r="D980" s="2518"/>
      <c r="E980" s="2519"/>
      <c r="F980" s="2519"/>
      <c r="G980" s="2519"/>
      <c r="H980" s="2519"/>
      <c r="I980" s="2519"/>
      <c r="J980" s="2519"/>
      <c r="K980" s="2519"/>
      <c r="L980" s="2519"/>
      <c r="M980" s="2519"/>
      <c r="N980" s="2519"/>
      <c r="O980" s="2519"/>
      <c r="P980" s="2519"/>
      <c r="Q980" s="2519"/>
      <c r="R980" s="2519"/>
      <c r="S980" s="2519"/>
      <c r="T980" s="2519"/>
      <c r="U980" s="2519"/>
      <c r="V980" s="2519"/>
      <c r="W980" s="2519"/>
      <c r="X980" s="2519"/>
      <c r="Y980" s="2519"/>
      <c r="Z980" s="2519"/>
      <c r="AA980" s="2519"/>
      <c r="AB980" s="2519"/>
      <c r="AC980" s="2519"/>
      <c r="AD980" s="2519"/>
      <c r="AE980" s="2520"/>
      <c r="AF980" s="115"/>
      <c r="AG980" s="11"/>
      <c r="AH980" s="11"/>
      <c r="AI980" s="116"/>
      <c r="AJ980" s="2545"/>
      <c r="AK980" s="2546"/>
      <c r="AL980" s="2546"/>
      <c r="AM980" s="2546"/>
      <c r="AN980" s="2546"/>
      <c r="AO980" s="2546"/>
      <c r="AP980" s="2546"/>
      <c r="AQ980" s="2547"/>
      <c r="AR980" s="1425"/>
      <c r="AS980" s="1425"/>
      <c r="AT980" s="1425"/>
      <c r="AU980" s="1425"/>
      <c r="AV980" s="1425"/>
      <c r="AW980" s="1425"/>
      <c r="AX980" s="1425"/>
      <c r="AY980" s="1425"/>
    </row>
    <row r="981" spans="1:96" s="708" customFormat="1" ht="12.95" customHeight="1">
      <c r="A981" s="51"/>
      <c r="B981" s="117"/>
      <c r="C981" s="118" t="s">
        <v>219</v>
      </c>
      <c r="D981" s="2551" t="s">
        <v>1454</v>
      </c>
      <c r="E981" s="2552"/>
      <c r="F981" s="2552"/>
      <c r="G981" s="2552"/>
      <c r="H981" s="2552"/>
      <c r="I981" s="2552"/>
      <c r="J981" s="2552"/>
      <c r="K981" s="2552"/>
      <c r="L981" s="2552"/>
      <c r="M981" s="2552"/>
      <c r="N981" s="2552"/>
      <c r="O981" s="2552"/>
      <c r="P981" s="2552"/>
      <c r="Q981" s="2552"/>
      <c r="R981" s="2552"/>
      <c r="S981" s="2552"/>
      <c r="T981" s="2552"/>
      <c r="U981" s="2552"/>
      <c r="V981" s="2552"/>
      <c r="W981" s="2552"/>
      <c r="X981" s="2552"/>
      <c r="Y981" s="2552"/>
      <c r="Z981" s="2552"/>
      <c r="AA981" s="2552"/>
      <c r="AB981" s="2552"/>
      <c r="AC981" s="2552"/>
      <c r="AD981" s="2552"/>
      <c r="AE981" s="2553"/>
      <c r="AF981" s="117"/>
      <c r="AG981" s="2514" t="s">
        <v>678</v>
      </c>
      <c r="AH981" s="2515"/>
      <c r="AI981" s="125"/>
      <c r="AJ981" s="2539">
        <f>IF(AG981="yes",AJ961*BA981,0)</f>
        <v>0</v>
      </c>
      <c r="AK981" s="2540"/>
      <c r="AL981" s="2540"/>
      <c r="AM981" s="2540"/>
      <c r="AN981" s="2540"/>
      <c r="AO981" s="2540"/>
      <c r="AP981" s="2540"/>
      <c r="AQ981" s="2541"/>
      <c r="AR981" s="1425"/>
      <c r="AS981" s="1425"/>
      <c r="AT981" s="1425"/>
      <c r="AU981" s="1425"/>
      <c r="AV981" s="1425"/>
      <c r="AW981" s="1425"/>
      <c r="AX981" s="1425"/>
      <c r="AY981" s="1425"/>
      <c r="BA981" s="321">
        <f>IF(SUM(BA983:BA991)&lt;=0.1,SUM(BA983:BA991),0.1)</f>
        <v>0</v>
      </c>
      <c r="CR981" s="25"/>
    </row>
    <row r="982" spans="1:96" ht="12.95" customHeight="1">
      <c r="A982" s="51"/>
      <c r="B982" s="110"/>
      <c r="C982" s="111"/>
      <c r="D982" s="2505" t="s">
        <v>1455</v>
      </c>
      <c r="E982" s="2506"/>
      <c r="F982" s="2506"/>
      <c r="G982" s="2506"/>
      <c r="H982" s="2506"/>
      <c r="I982" s="2506"/>
      <c r="J982" s="2506"/>
      <c r="K982" s="2506"/>
      <c r="L982" s="2506"/>
      <c r="M982" s="2506"/>
      <c r="N982" s="2506"/>
      <c r="O982" s="2506"/>
      <c r="P982" s="2506"/>
      <c r="Q982" s="2506"/>
      <c r="R982" s="2506"/>
      <c r="S982" s="2506"/>
      <c r="T982" s="2506"/>
      <c r="U982" s="2506"/>
      <c r="V982" s="2506"/>
      <c r="W982" s="2506"/>
      <c r="X982" s="2506"/>
      <c r="Y982" s="2506"/>
      <c r="Z982" s="2506"/>
      <c r="AA982" s="2506"/>
      <c r="AB982" s="2506"/>
      <c r="AC982" s="2506"/>
      <c r="AD982" s="2506"/>
      <c r="AE982" s="2507"/>
      <c r="AF982" s="110"/>
      <c r="AG982" s="112"/>
      <c r="AH982" s="112"/>
      <c r="AI982" s="121"/>
      <c r="AJ982" s="2542"/>
      <c r="AK982" s="2543"/>
      <c r="AL982" s="2543"/>
      <c r="AM982" s="2543"/>
      <c r="AN982" s="2543"/>
      <c r="AO982" s="2543"/>
      <c r="AP982" s="2543"/>
      <c r="AQ982" s="2544"/>
      <c r="AR982" s="1425"/>
      <c r="AS982" s="1425"/>
      <c r="AT982" s="1425"/>
      <c r="AU982" s="1425"/>
      <c r="AV982" s="1425"/>
      <c r="AW982" s="1425"/>
      <c r="AX982" s="1425"/>
      <c r="AY982" s="1425"/>
    </row>
    <row r="983" spans="1:96" ht="12.95" customHeight="1">
      <c r="A983" s="51"/>
      <c r="B983" s="110"/>
      <c r="C983" s="111"/>
      <c r="D983" s="2505"/>
      <c r="E983" s="2506"/>
      <c r="F983" s="2506"/>
      <c r="G983" s="2506"/>
      <c r="H983" s="2506"/>
      <c r="I983" s="2506"/>
      <c r="J983" s="2506"/>
      <c r="K983" s="2506"/>
      <c r="L983" s="2506"/>
      <c r="M983" s="2506"/>
      <c r="N983" s="2506"/>
      <c r="O983" s="2506"/>
      <c r="P983" s="2506"/>
      <c r="Q983" s="2506"/>
      <c r="R983" s="2506"/>
      <c r="S983" s="2506"/>
      <c r="T983" s="2506"/>
      <c r="U983" s="2506"/>
      <c r="V983" s="2506"/>
      <c r="W983" s="2506"/>
      <c r="X983" s="2506"/>
      <c r="Y983" s="2506"/>
      <c r="Z983" s="2506"/>
      <c r="AA983" s="2506"/>
      <c r="AB983" s="2506"/>
      <c r="AC983" s="2506"/>
      <c r="AD983" s="2506"/>
      <c r="AE983" s="2507"/>
      <c r="AF983" s="110"/>
      <c r="AG983" s="112"/>
      <c r="AH983" s="112"/>
      <c r="AI983" s="121"/>
      <c r="AJ983" s="2542"/>
      <c r="AK983" s="2543"/>
      <c r="AL983" s="2543"/>
      <c r="AM983" s="2543"/>
      <c r="AN983" s="2543"/>
      <c r="AO983" s="2543"/>
      <c r="AP983" s="2543"/>
      <c r="AQ983" s="2544"/>
      <c r="AR983" s="1425"/>
      <c r="AS983" s="1425"/>
      <c r="AT983" s="1425"/>
      <c r="AU983" s="1425"/>
      <c r="AV983" s="1425"/>
      <c r="AW983" s="1425"/>
      <c r="AX983" s="1425"/>
      <c r="AY983" s="1425"/>
      <c r="BA983" s="319">
        <f>IF(A1030="Yes",0.05,0)</f>
        <v>0</v>
      </c>
    </row>
    <row r="984" spans="1:96" ht="12.95" customHeight="1">
      <c r="A984" s="51"/>
      <c r="B984" s="119"/>
      <c r="C984" s="120"/>
      <c r="D984" s="2518"/>
      <c r="E984" s="2519"/>
      <c r="F984" s="2519"/>
      <c r="G984" s="2519"/>
      <c r="H984" s="2519"/>
      <c r="I984" s="2519"/>
      <c r="J984" s="2519"/>
      <c r="K984" s="2519"/>
      <c r="L984" s="2519"/>
      <c r="M984" s="2519"/>
      <c r="N984" s="2519"/>
      <c r="O984" s="2519"/>
      <c r="P984" s="2519"/>
      <c r="Q984" s="2519"/>
      <c r="R984" s="2519"/>
      <c r="S984" s="2519"/>
      <c r="T984" s="2519"/>
      <c r="U984" s="2519"/>
      <c r="V984" s="2519"/>
      <c r="W984" s="2519"/>
      <c r="X984" s="2519"/>
      <c r="Y984" s="2519"/>
      <c r="Z984" s="2519"/>
      <c r="AA984" s="2519"/>
      <c r="AB984" s="2519"/>
      <c r="AC984" s="2519"/>
      <c r="AD984" s="2519"/>
      <c r="AE984" s="2520"/>
      <c r="AF984" s="115"/>
      <c r="AG984" s="11"/>
      <c r="AH984" s="11"/>
      <c r="AI984" s="116"/>
      <c r="AJ984" s="2545"/>
      <c r="AK984" s="2546"/>
      <c r="AL984" s="2546"/>
      <c r="AM984" s="2546"/>
      <c r="AN984" s="2546"/>
      <c r="AO984" s="2546"/>
      <c r="AP984" s="2546"/>
      <c r="AQ984" s="2547"/>
      <c r="AR984" s="1425"/>
      <c r="AS984" s="1425"/>
      <c r="AT984" s="1425"/>
      <c r="AU984" s="1425"/>
      <c r="AV984" s="1425"/>
      <c r="AW984" s="1425"/>
      <c r="AX984" s="1425"/>
      <c r="AY984" s="1425"/>
      <c r="BA984" s="319">
        <f>IF(A1036="Yes",0.02,0)</f>
        <v>0</v>
      </c>
    </row>
    <row r="985" spans="1:96" s="708" customFormat="1" ht="12.95" customHeight="1">
      <c r="A985" s="51"/>
      <c r="B985" s="117"/>
      <c r="C985" s="118" t="s">
        <v>224</v>
      </c>
      <c r="D985" s="2584" t="s">
        <v>1456</v>
      </c>
      <c r="E985" s="2585"/>
      <c r="F985" s="2585"/>
      <c r="G985" s="2585"/>
      <c r="H985" s="2585"/>
      <c r="I985" s="2585"/>
      <c r="J985" s="2585"/>
      <c r="K985" s="2585"/>
      <c r="L985" s="2585"/>
      <c r="M985" s="2585"/>
      <c r="N985" s="2585"/>
      <c r="O985" s="2585"/>
      <c r="P985" s="2585"/>
      <c r="Q985" s="2585"/>
      <c r="R985" s="2585"/>
      <c r="S985" s="2585"/>
      <c r="T985" s="2585"/>
      <c r="U985" s="2585"/>
      <c r="V985" s="2585"/>
      <c r="W985" s="2585"/>
      <c r="X985" s="2585"/>
      <c r="Y985" s="2585"/>
      <c r="Z985" s="2585"/>
      <c r="AA985" s="2585"/>
      <c r="AB985" s="2585"/>
      <c r="AC985" s="2585"/>
      <c r="AD985" s="2585"/>
      <c r="AE985" s="2586"/>
      <c r="AF985" s="117"/>
      <c r="AG985" s="2514" t="s">
        <v>678</v>
      </c>
      <c r="AH985" s="2515"/>
      <c r="AI985" s="125"/>
      <c r="AJ985" s="2539">
        <f>ROUND(IF(AG985="Yes",MIN(AF988,(0.15*AJ961)),0),0)</f>
        <v>0</v>
      </c>
      <c r="AK985" s="2540"/>
      <c r="AL985" s="2540"/>
      <c r="AM985" s="2540"/>
      <c r="AN985" s="2540"/>
      <c r="AO985" s="2540"/>
      <c r="AP985" s="2540"/>
      <c r="AQ985" s="2541"/>
      <c r="AR985" s="1425"/>
      <c r="AS985" s="1425"/>
      <c r="AT985" s="1425"/>
      <c r="AU985" s="1425"/>
      <c r="AV985" s="1425"/>
      <c r="AW985" s="1425"/>
      <c r="AX985" s="1425"/>
      <c r="AY985" s="1425"/>
      <c r="BA985" s="319">
        <f>IF(A1042="Yes",0.04,0)</f>
        <v>0</v>
      </c>
      <c r="CR985" s="25"/>
    </row>
    <row r="986" spans="1:96" ht="12.95" customHeight="1">
      <c r="A986" s="51"/>
      <c r="B986" s="119"/>
      <c r="C986" s="122"/>
      <c r="D986" s="2587"/>
      <c r="E986" s="2588"/>
      <c r="F986" s="2588"/>
      <c r="G986" s="2588"/>
      <c r="H986" s="2588"/>
      <c r="I986" s="2588"/>
      <c r="J986" s="2588"/>
      <c r="K986" s="2588"/>
      <c r="L986" s="2588"/>
      <c r="M986" s="2588"/>
      <c r="N986" s="2588"/>
      <c r="O986" s="2588"/>
      <c r="P986" s="2588"/>
      <c r="Q986" s="2588"/>
      <c r="R986" s="2588"/>
      <c r="S986" s="2588"/>
      <c r="T986" s="2588"/>
      <c r="U986" s="2588"/>
      <c r="V986" s="2588"/>
      <c r="W986" s="2588"/>
      <c r="X986" s="2588"/>
      <c r="Y986" s="2588"/>
      <c r="Z986" s="2588"/>
      <c r="AA986" s="2588"/>
      <c r="AB986" s="2588"/>
      <c r="AC986" s="2588"/>
      <c r="AD986" s="2588"/>
      <c r="AE986" s="2589"/>
      <c r="AF986" s="2598" t="str">
        <f>IF(AG985="yes","Please Select Type and Enter Amount:","")</f>
        <v/>
      </c>
      <c r="AG986" s="2599"/>
      <c r="AH986" s="2599"/>
      <c r="AI986" s="2600"/>
      <c r="AJ986" s="2542"/>
      <c r="AK986" s="2543"/>
      <c r="AL986" s="2543"/>
      <c r="AM986" s="2543"/>
      <c r="AN986" s="2543"/>
      <c r="AO986" s="2543"/>
      <c r="AP986" s="2543"/>
      <c r="AQ986" s="2544"/>
      <c r="AR986" s="1425"/>
      <c r="AS986" s="1425"/>
      <c r="AT986" s="1425"/>
      <c r="AU986" s="1425"/>
      <c r="AV986" s="1425"/>
      <c r="AW986" s="1425"/>
      <c r="AX986" s="1425"/>
      <c r="AY986" s="1425"/>
      <c r="BA986" s="319">
        <f>IF(A1049="Yes",0.04,0)</f>
        <v>0</v>
      </c>
    </row>
    <row r="987" spans="1:96" ht="12.95" customHeight="1">
      <c r="A987" s="51"/>
      <c r="B987" s="119"/>
      <c r="C987" s="122"/>
      <c r="D987" s="2505" t="s">
        <v>1457</v>
      </c>
      <c r="E987" s="2506"/>
      <c r="F987" s="2506"/>
      <c r="G987" s="2506"/>
      <c r="H987" s="2506"/>
      <c r="I987" s="2506"/>
      <c r="J987" s="2506"/>
      <c r="K987" s="2506"/>
      <c r="L987" s="2506"/>
      <c r="M987" s="2506"/>
      <c r="N987" s="2506"/>
      <c r="O987" s="2506"/>
      <c r="P987" s="2506"/>
      <c r="Q987" s="2506"/>
      <c r="R987" s="2506"/>
      <c r="S987" s="2506"/>
      <c r="T987" s="2506"/>
      <c r="U987" s="2506"/>
      <c r="V987" s="2506"/>
      <c r="W987" s="2506"/>
      <c r="X987" s="2506"/>
      <c r="Y987" s="2506"/>
      <c r="Z987" s="2506"/>
      <c r="AA987" s="2506"/>
      <c r="AB987" s="2506"/>
      <c r="AC987" s="2506"/>
      <c r="AD987" s="2506"/>
      <c r="AE987" s="2507"/>
      <c r="AF987" s="2598"/>
      <c r="AG987" s="2599"/>
      <c r="AH987" s="2599"/>
      <c r="AI987" s="2600"/>
      <c r="AJ987" s="2542"/>
      <c r="AK987" s="2543"/>
      <c r="AL987" s="2543"/>
      <c r="AM987" s="2543"/>
      <c r="AN987" s="2543"/>
      <c r="AO987" s="2543"/>
      <c r="AP987" s="2543"/>
      <c r="AQ987" s="2544"/>
      <c r="AR987" s="1425"/>
      <c r="AS987" s="1425"/>
      <c r="AT987" s="1425"/>
      <c r="AU987" s="1425"/>
      <c r="AV987" s="1425"/>
      <c r="AW987" s="1425"/>
      <c r="AX987" s="1425"/>
      <c r="AY987" s="1425"/>
      <c r="BA987" s="319">
        <f>IF(A1052="Yes",0.01,0)</f>
        <v>0</v>
      </c>
    </row>
    <row r="988" spans="1:96" ht="12.95" customHeight="1">
      <c r="A988" s="51"/>
      <c r="B988" s="119"/>
      <c r="C988" s="122"/>
      <c r="D988" s="2505"/>
      <c r="E988" s="2506"/>
      <c r="F988" s="2506"/>
      <c r="G988" s="2506"/>
      <c r="H988" s="2506"/>
      <c r="I988" s="2506"/>
      <c r="J988" s="2506"/>
      <c r="K988" s="2506"/>
      <c r="L988" s="2506"/>
      <c r="M988" s="2506"/>
      <c r="N988" s="2506"/>
      <c r="O988" s="2506"/>
      <c r="P988" s="2506"/>
      <c r="Q988" s="2506"/>
      <c r="R988" s="2506"/>
      <c r="S988" s="2506"/>
      <c r="T988" s="2506"/>
      <c r="U988" s="2506"/>
      <c r="V988" s="2506"/>
      <c r="W988" s="2506"/>
      <c r="X988" s="2506"/>
      <c r="Y988" s="2506"/>
      <c r="Z988" s="2506"/>
      <c r="AA988" s="2506"/>
      <c r="AB988" s="2506"/>
      <c r="AC988" s="2506"/>
      <c r="AD988" s="2506"/>
      <c r="AE988" s="2507"/>
      <c r="AF988" s="2601"/>
      <c r="AG988" s="2601"/>
      <c r="AH988" s="2601"/>
      <c r="AI988" s="2601"/>
      <c r="AJ988" s="2542"/>
      <c r="AK988" s="2543"/>
      <c r="AL988" s="2543"/>
      <c r="AM988" s="2543"/>
      <c r="AN988" s="2543"/>
      <c r="AO988" s="2543"/>
      <c r="AP988" s="2543"/>
      <c r="AQ988" s="2544"/>
      <c r="AR988" s="1425"/>
      <c r="AS988" s="1425"/>
      <c r="AT988" s="1425"/>
      <c r="AU988" s="1425"/>
      <c r="AV988" s="1425"/>
      <c r="AW988" s="1425"/>
      <c r="AX988" s="1425"/>
      <c r="AY988" s="1425"/>
      <c r="BA988" s="319">
        <f>IF(A1057="Yes",0.01,0)</f>
        <v>0</v>
      </c>
    </row>
    <row r="989" spans="1:96" s="708" customFormat="1" ht="12.95" customHeight="1">
      <c r="A989" s="51"/>
      <c r="B989" s="119"/>
      <c r="C989" s="122"/>
      <c r="D989" s="887" t="s">
        <v>360</v>
      </c>
      <c r="E989" s="133"/>
      <c r="F989" s="133"/>
      <c r="G989" s="160"/>
      <c r="H989" s="160"/>
      <c r="I989" s="81"/>
      <c r="J989" s="2606" t="s">
        <v>600</v>
      </c>
      <c r="K989" s="2607"/>
      <c r="L989" s="2607"/>
      <c r="M989" s="2607"/>
      <c r="N989" s="2607"/>
      <c r="O989" s="2607"/>
      <c r="P989" s="2607"/>
      <c r="Q989" s="2607"/>
      <c r="R989" s="2607"/>
      <c r="S989" s="2607"/>
      <c r="T989" s="2607"/>
      <c r="U989" s="2607"/>
      <c r="V989" s="2607"/>
      <c r="W989" s="2607"/>
      <c r="X989" s="2607"/>
      <c r="Y989" s="2607"/>
      <c r="Z989" s="2607"/>
      <c r="AA989" s="2607"/>
      <c r="AB989" s="2607"/>
      <c r="AC989" s="2607"/>
      <c r="AD989" s="2607"/>
      <c r="AE989" s="2608"/>
      <c r="AF989" s="2601"/>
      <c r="AG989" s="2601"/>
      <c r="AH989" s="2601"/>
      <c r="AI989" s="2601"/>
      <c r="AJ989" s="2545"/>
      <c r="AK989" s="2546"/>
      <c r="AL989" s="2546"/>
      <c r="AM989" s="2546"/>
      <c r="AN989" s="2546"/>
      <c r="AO989" s="2546"/>
      <c r="AP989" s="2546"/>
      <c r="AQ989" s="2547"/>
      <c r="AR989" s="1425"/>
      <c r="AS989" s="1425"/>
      <c r="AT989" s="1425"/>
      <c r="AU989" s="1425"/>
      <c r="AV989" s="1425"/>
      <c r="AW989" s="1425"/>
      <c r="AX989" s="1425"/>
      <c r="AY989" s="1425"/>
      <c r="BA989" s="319">
        <f>IF(A1060="Yes",0.01,0)</f>
        <v>0</v>
      </c>
      <c r="CR989" s="25"/>
    </row>
    <row r="990" spans="1:96" ht="12.95" customHeight="1">
      <c r="A990" s="51"/>
      <c r="B990" s="117"/>
      <c r="C990" s="118" t="s">
        <v>230</v>
      </c>
      <c r="D990" s="2502" t="s">
        <v>1458</v>
      </c>
      <c r="E990" s="2503"/>
      <c r="F990" s="2503"/>
      <c r="G990" s="2503"/>
      <c r="H990" s="2503"/>
      <c r="I990" s="2503"/>
      <c r="J990" s="2503"/>
      <c r="K990" s="2503"/>
      <c r="L990" s="2503"/>
      <c r="M990" s="2503"/>
      <c r="N990" s="2503"/>
      <c r="O990" s="2503"/>
      <c r="P990" s="2503"/>
      <c r="Q990" s="2503"/>
      <c r="R990" s="2503"/>
      <c r="S990" s="2503"/>
      <c r="T990" s="2503"/>
      <c r="U990" s="2503"/>
      <c r="V990" s="2503"/>
      <c r="W990" s="2503"/>
      <c r="X990" s="2503"/>
      <c r="Y990" s="2503"/>
      <c r="Z990" s="2503"/>
      <c r="AA990" s="2503"/>
      <c r="AB990" s="2503"/>
      <c r="AC990" s="2503"/>
      <c r="AD990" s="2503"/>
      <c r="AE990" s="2504"/>
      <c r="AF990" s="117"/>
      <c r="AG990" s="2514" t="s">
        <v>554</v>
      </c>
      <c r="AH990" s="2515"/>
      <c r="AI990" s="125"/>
      <c r="AJ990" s="2539">
        <f>ROUND(IF(AG990="Yes",AF992,0),0)</f>
        <v>45000</v>
      </c>
      <c r="AK990" s="2540"/>
      <c r="AL990" s="2540"/>
      <c r="AM990" s="2540"/>
      <c r="AN990" s="2540"/>
      <c r="AO990" s="2540"/>
      <c r="AP990" s="2540"/>
      <c r="AQ990" s="2541"/>
      <c r="AR990" s="1425"/>
      <c r="AS990" s="1425"/>
      <c r="AT990" s="1425"/>
      <c r="AU990" s="1425"/>
      <c r="AV990" s="1425"/>
      <c r="AW990" s="1425"/>
      <c r="AX990" s="1425"/>
      <c r="AY990" s="1425"/>
      <c r="BA990" s="319">
        <f>IF(A1064="Yes",0.02,0)</f>
        <v>0</v>
      </c>
    </row>
    <row r="991" spans="1:96" ht="12.95" customHeight="1">
      <c r="A991" s="51"/>
      <c r="B991" s="110"/>
      <c r="C991" s="111"/>
      <c r="D991" s="2505" t="s">
        <v>1944</v>
      </c>
      <c r="E991" s="2506"/>
      <c r="F991" s="2506"/>
      <c r="G991" s="2506"/>
      <c r="H991" s="2506"/>
      <c r="I991" s="2506"/>
      <c r="J991" s="2506"/>
      <c r="K991" s="2506"/>
      <c r="L991" s="2506"/>
      <c r="M991" s="2506"/>
      <c r="N991" s="2506"/>
      <c r="O991" s="2506"/>
      <c r="P991" s="2506"/>
      <c r="Q991" s="2506"/>
      <c r="R991" s="2506"/>
      <c r="S991" s="2506"/>
      <c r="T991" s="2506"/>
      <c r="U991" s="2506"/>
      <c r="V991" s="2506"/>
      <c r="W991" s="2506"/>
      <c r="X991" s="2506"/>
      <c r="Y991" s="2506"/>
      <c r="Z991" s="2506"/>
      <c r="AA991" s="2506"/>
      <c r="AB991" s="2506"/>
      <c r="AC991" s="2506"/>
      <c r="AD991" s="2506"/>
      <c r="AE991" s="2507"/>
      <c r="AF991" s="2602" t="str">
        <f>IF(AG990="yes","Enter Amount:","")</f>
        <v>Enter Amount:</v>
      </c>
      <c r="AG991" s="2603"/>
      <c r="AH991" s="2603"/>
      <c r="AI991" s="2604"/>
      <c r="AJ991" s="2542"/>
      <c r="AK991" s="2543"/>
      <c r="AL991" s="2543"/>
      <c r="AM991" s="2543"/>
      <c r="AN991" s="2543"/>
      <c r="AO991" s="2543"/>
      <c r="AP991" s="2543"/>
      <c r="AQ991" s="2544"/>
      <c r="AR991" s="1425"/>
      <c r="AS991" s="1425"/>
      <c r="AT991" s="1425"/>
      <c r="AU991" s="1425"/>
      <c r="AV991" s="1425"/>
      <c r="AW991" s="1425"/>
      <c r="AX991" s="1425"/>
      <c r="AY991" s="1425"/>
      <c r="BA991" s="320">
        <f>IF(A1068="Yes",0.02,0)</f>
        <v>0</v>
      </c>
    </row>
    <row r="992" spans="1:96" ht="12.95" customHeight="1">
      <c r="A992" s="51"/>
      <c r="B992" s="110"/>
      <c r="C992" s="111"/>
      <c r="D992" s="2505"/>
      <c r="E992" s="2506"/>
      <c r="F992" s="2506"/>
      <c r="G992" s="2506"/>
      <c r="H992" s="2506"/>
      <c r="I992" s="2506"/>
      <c r="J992" s="2506"/>
      <c r="K992" s="2506"/>
      <c r="L992" s="2506"/>
      <c r="M992" s="2506"/>
      <c r="N992" s="2506"/>
      <c r="O992" s="2506"/>
      <c r="P992" s="2506"/>
      <c r="Q992" s="2506"/>
      <c r="R992" s="2506"/>
      <c r="S992" s="2506"/>
      <c r="T992" s="2506"/>
      <c r="U992" s="2506"/>
      <c r="V992" s="2506"/>
      <c r="W992" s="2506"/>
      <c r="X992" s="2506"/>
      <c r="Y992" s="2506"/>
      <c r="Z992" s="2506"/>
      <c r="AA992" s="2506"/>
      <c r="AB992" s="2506"/>
      <c r="AC992" s="2506"/>
      <c r="AD992" s="2506"/>
      <c r="AE992" s="2507"/>
      <c r="AF992" s="2601">
        <v>45000</v>
      </c>
      <c r="AG992" s="2601"/>
      <c r="AH992" s="2601"/>
      <c r="AI992" s="2601"/>
      <c r="AJ992" s="2542"/>
      <c r="AK992" s="2543"/>
      <c r="AL992" s="2543"/>
      <c r="AM992" s="2543"/>
      <c r="AN992" s="2543"/>
      <c r="AO992" s="2543"/>
      <c r="AP992" s="2543"/>
      <c r="AQ992" s="2544"/>
      <c r="AR992" s="1425"/>
      <c r="AS992" s="1425"/>
      <c r="AT992" s="1425"/>
      <c r="AU992" s="1425"/>
      <c r="AV992" s="1425"/>
      <c r="AW992" s="1425"/>
      <c r="AX992" s="1425"/>
      <c r="AY992" s="1425"/>
    </row>
    <row r="993" spans="1:96" ht="12.95" customHeight="1">
      <c r="A993" s="51"/>
      <c r="B993" s="123"/>
      <c r="C993" s="122"/>
      <c r="D993" s="2518"/>
      <c r="E993" s="2519"/>
      <c r="F993" s="2519"/>
      <c r="G993" s="2519"/>
      <c r="H993" s="2519"/>
      <c r="I993" s="2519"/>
      <c r="J993" s="2519"/>
      <c r="K993" s="2519"/>
      <c r="L993" s="2519"/>
      <c r="M993" s="2519"/>
      <c r="N993" s="2519"/>
      <c r="O993" s="2519"/>
      <c r="P993" s="2519"/>
      <c r="Q993" s="2519"/>
      <c r="R993" s="2519"/>
      <c r="S993" s="2519"/>
      <c r="T993" s="2519"/>
      <c r="U993" s="2519"/>
      <c r="V993" s="2519"/>
      <c r="W993" s="2519"/>
      <c r="X993" s="2519"/>
      <c r="Y993" s="2519"/>
      <c r="Z993" s="2519"/>
      <c r="AA993" s="2519"/>
      <c r="AB993" s="2519"/>
      <c r="AC993" s="2519"/>
      <c r="AD993" s="2519"/>
      <c r="AE993" s="2520"/>
      <c r="AF993" s="2601"/>
      <c r="AG993" s="2601"/>
      <c r="AH993" s="2601"/>
      <c r="AI993" s="2601"/>
      <c r="AJ993" s="2545"/>
      <c r="AK993" s="2546"/>
      <c r="AL993" s="2546"/>
      <c r="AM993" s="2546"/>
      <c r="AN993" s="2546"/>
      <c r="AO993" s="2546"/>
      <c r="AP993" s="2546"/>
      <c r="AQ993" s="2547"/>
      <c r="AR993" s="1425"/>
      <c r="AS993" s="1425"/>
      <c r="AT993" s="1425"/>
      <c r="AU993" s="1425"/>
      <c r="AV993" s="1425"/>
      <c r="AW993" s="1425"/>
      <c r="AX993" s="1425"/>
      <c r="AY993" s="1425"/>
    </row>
    <row r="994" spans="1:96" s="708" customFormat="1" ht="12.95" customHeight="1">
      <c r="A994" s="51"/>
      <c r="B994" s="117"/>
      <c r="C994" s="118" t="s">
        <v>235</v>
      </c>
      <c r="D994" s="2551" t="s">
        <v>1459</v>
      </c>
      <c r="E994" s="2552"/>
      <c r="F994" s="2552"/>
      <c r="G994" s="2552"/>
      <c r="H994" s="2552"/>
      <c r="I994" s="2552"/>
      <c r="J994" s="2552"/>
      <c r="K994" s="2552"/>
      <c r="L994" s="2552"/>
      <c r="M994" s="2552"/>
      <c r="N994" s="2552"/>
      <c r="O994" s="2552"/>
      <c r="P994" s="2552"/>
      <c r="Q994" s="2552"/>
      <c r="R994" s="2552"/>
      <c r="S994" s="2552"/>
      <c r="T994" s="2552"/>
      <c r="U994" s="2552"/>
      <c r="V994" s="2552"/>
      <c r="W994" s="2552"/>
      <c r="X994" s="2552"/>
      <c r="Y994" s="2552"/>
      <c r="Z994" s="2552"/>
      <c r="AA994" s="2552"/>
      <c r="AB994" s="2552"/>
      <c r="AC994" s="2552"/>
      <c r="AD994" s="2552"/>
      <c r="AE994" s="2553"/>
      <c r="AF994" s="117"/>
      <c r="AG994" s="2514" t="s">
        <v>678</v>
      </c>
      <c r="AH994" s="2515"/>
      <c r="AI994" s="125"/>
      <c r="AJ994" s="2539">
        <f>ROUND(IF(AG994="yes",(AJ961*0.1),0),0)</f>
        <v>0</v>
      </c>
      <c r="AK994" s="2540"/>
      <c r="AL994" s="2540"/>
      <c r="AM994" s="2540"/>
      <c r="AN994" s="2540"/>
      <c r="AO994" s="2540"/>
      <c r="AP994" s="2540"/>
      <c r="AQ994" s="2541"/>
      <c r="AR994" s="1425"/>
      <c r="AS994" s="1425"/>
      <c r="AT994" s="1425"/>
      <c r="AU994" s="1425"/>
      <c r="AV994" s="1425"/>
      <c r="AW994" s="1425"/>
      <c r="AX994" s="1425"/>
      <c r="AY994" s="1425"/>
      <c r="CR994" s="25"/>
    </row>
    <row r="995" spans="1:96" ht="12.95" customHeight="1">
      <c r="A995" s="51"/>
      <c r="B995" s="110"/>
      <c r="C995" s="111"/>
      <c r="D995" s="2505" t="s">
        <v>1460</v>
      </c>
      <c r="E995" s="2506"/>
      <c r="F995" s="2506"/>
      <c r="G995" s="2506"/>
      <c r="H995" s="2506"/>
      <c r="I995" s="2506"/>
      <c r="J995" s="2506"/>
      <c r="K995" s="2506"/>
      <c r="L995" s="2506"/>
      <c r="M995" s="2506"/>
      <c r="N995" s="2506"/>
      <c r="O995" s="2506"/>
      <c r="P995" s="2506"/>
      <c r="Q995" s="2506"/>
      <c r="R995" s="2506"/>
      <c r="S995" s="2506"/>
      <c r="T995" s="2506"/>
      <c r="U995" s="2506"/>
      <c r="V995" s="2506"/>
      <c r="W995" s="2506"/>
      <c r="X995" s="2506"/>
      <c r="Y995" s="2506"/>
      <c r="Z995" s="2506"/>
      <c r="AA995" s="2506"/>
      <c r="AB995" s="2506"/>
      <c r="AC995" s="2506"/>
      <c r="AD995" s="2506"/>
      <c r="AE995" s="2507"/>
      <c r="AF995" s="110"/>
      <c r="AG995" s="112"/>
      <c r="AH995" s="112"/>
      <c r="AI995" s="121"/>
      <c r="AJ995" s="2542"/>
      <c r="AK995" s="2543"/>
      <c r="AL995" s="2543"/>
      <c r="AM995" s="2543"/>
      <c r="AN995" s="2543"/>
      <c r="AO995" s="2543"/>
      <c r="AP995" s="2543"/>
      <c r="AQ995" s="2544"/>
      <c r="AR995" s="1425"/>
      <c r="AS995" s="1425"/>
      <c r="AT995" s="1425"/>
      <c r="AU995" s="1425"/>
      <c r="AV995" s="1425"/>
      <c r="AW995" s="1425"/>
      <c r="AX995" s="1425"/>
      <c r="AY995" s="1425"/>
    </row>
    <row r="996" spans="1:96" ht="12.95" customHeight="1">
      <c r="A996" s="51"/>
      <c r="B996" s="115"/>
      <c r="C996" s="111"/>
      <c r="D996" s="2518"/>
      <c r="E996" s="2519"/>
      <c r="F996" s="2519"/>
      <c r="G996" s="2519"/>
      <c r="H996" s="2519"/>
      <c r="I996" s="2519"/>
      <c r="J996" s="2519"/>
      <c r="K996" s="2519"/>
      <c r="L996" s="2519"/>
      <c r="M996" s="2519"/>
      <c r="N996" s="2519"/>
      <c r="O996" s="2519"/>
      <c r="P996" s="2519"/>
      <c r="Q996" s="2519"/>
      <c r="R996" s="2519"/>
      <c r="S996" s="2519"/>
      <c r="T996" s="2519"/>
      <c r="U996" s="2519"/>
      <c r="V996" s="2519"/>
      <c r="W996" s="2519"/>
      <c r="X996" s="2519"/>
      <c r="Y996" s="2519"/>
      <c r="Z996" s="2519"/>
      <c r="AA996" s="2519"/>
      <c r="AB996" s="2519"/>
      <c r="AC996" s="2519"/>
      <c r="AD996" s="2519"/>
      <c r="AE996" s="2520"/>
      <c r="AF996" s="110"/>
      <c r="AG996" s="112"/>
      <c r="AH996" s="112"/>
      <c r="AI996" s="121"/>
      <c r="AJ996" s="2545"/>
      <c r="AK996" s="2546"/>
      <c r="AL996" s="2546"/>
      <c r="AM996" s="2546"/>
      <c r="AN996" s="2546"/>
      <c r="AO996" s="2546"/>
      <c r="AP996" s="2546"/>
      <c r="AQ996" s="2547"/>
      <c r="AR996" s="1425"/>
      <c r="AS996" s="1425"/>
      <c r="AT996" s="1425"/>
      <c r="AU996" s="1425"/>
      <c r="AV996" s="1425"/>
      <c r="AW996" s="1425"/>
      <c r="AX996" s="1425"/>
      <c r="AY996" s="1425"/>
    </row>
    <row r="997" spans="1:96" s="708" customFormat="1" ht="12.95" customHeight="1">
      <c r="A997" s="51"/>
      <c r="B997" s="110"/>
      <c r="C997" s="522" t="s">
        <v>697</v>
      </c>
      <c r="D997" s="2502" t="s">
        <v>1940</v>
      </c>
      <c r="E997" s="2503"/>
      <c r="F997" s="2503"/>
      <c r="G997" s="2503"/>
      <c r="H997" s="2503"/>
      <c r="I997" s="2503"/>
      <c r="J997" s="2503"/>
      <c r="K997" s="2503"/>
      <c r="L997" s="2503"/>
      <c r="M997" s="2503"/>
      <c r="N997" s="2503"/>
      <c r="O997" s="2503"/>
      <c r="P997" s="2503"/>
      <c r="Q997" s="2503"/>
      <c r="R997" s="2503"/>
      <c r="S997" s="2503"/>
      <c r="T997" s="2503"/>
      <c r="U997" s="2503"/>
      <c r="V997" s="2503"/>
      <c r="W997" s="2503"/>
      <c r="X997" s="2503"/>
      <c r="Y997" s="2503"/>
      <c r="Z997" s="2503"/>
      <c r="AA997" s="2503"/>
      <c r="AB997" s="2503"/>
      <c r="AC997" s="2503"/>
      <c r="AD997" s="2503"/>
      <c r="AE997" s="2504"/>
      <c r="AF997" s="117"/>
      <c r="AG997" s="2514" t="s">
        <v>678</v>
      </c>
      <c r="AH997" s="2515"/>
      <c r="AI997" s="125"/>
      <c r="AJ997" s="2539">
        <f>ROUND(IF(AG997="yes",(AJ961*0.15),0),0)</f>
        <v>0</v>
      </c>
      <c r="AK997" s="2540"/>
      <c r="AL997" s="2540"/>
      <c r="AM997" s="2540"/>
      <c r="AN997" s="2540"/>
      <c r="AO997" s="2540"/>
      <c r="AP997" s="2540"/>
      <c r="AQ997" s="2541"/>
      <c r="AR997" s="1425"/>
      <c r="AS997" s="1425"/>
      <c r="AT997" s="1425"/>
      <c r="AU997" s="1425"/>
      <c r="AV997" s="1425"/>
      <c r="AW997" s="1425"/>
      <c r="AX997" s="1425"/>
      <c r="AY997" s="1425"/>
      <c r="CR997" s="25"/>
    </row>
    <row r="998" spans="1:96" s="708" customFormat="1" ht="12.95" customHeight="1">
      <c r="A998" s="51"/>
      <c r="B998" s="110"/>
      <c r="C998" s="111"/>
      <c r="D998" s="2533" t="s">
        <v>1941</v>
      </c>
      <c r="E998" s="2534"/>
      <c r="F998" s="2534"/>
      <c r="G998" s="2534"/>
      <c r="H998" s="2534"/>
      <c r="I998" s="2534"/>
      <c r="J998" s="2534"/>
      <c r="K998" s="2534"/>
      <c r="L998" s="2534"/>
      <c r="M998" s="2534"/>
      <c r="N998" s="2534"/>
      <c r="O998" s="2534"/>
      <c r="P998" s="2534"/>
      <c r="Q998" s="2534"/>
      <c r="R998" s="2534"/>
      <c r="S998" s="2534"/>
      <c r="T998" s="2534"/>
      <c r="U998" s="2534"/>
      <c r="V998" s="2534"/>
      <c r="W998" s="2534"/>
      <c r="X998" s="2534"/>
      <c r="Y998" s="2534"/>
      <c r="Z998" s="2534"/>
      <c r="AA998" s="2534"/>
      <c r="AB998" s="2534"/>
      <c r="AC998" s="2534"/>
      <c r="AD998" s="2534"/>
      <c r="AE998" s="2535"/>
      <c r="AF998" s="1453"/>
      <c r="AG998" s="1454"/>
      <c r="AH998" s="1454"/>
      <c r="AI998" s="1455"/>
      <c r="AJ998" s="2542"/>
      <c r="AK998" s="2543"/>
      <c r="AL998" s="2543"/>
      <c r="AM998" s="2543"/>
      <c r="AN998" s="2543"/>
      <c r="AO998" s="2543"/>
      <c r="AP998" s="2543"/>
      <c r="AQ998" s="2544"/>
      <c r="AR998" s="1425"/>
      <c r="AS998" s="1425"/>
      <c r="AT998" s="1425"/>
      <c r="AU998" s="1425"/>
      <c r="AV998" s="1425"/>
      <c r="AW998" s="1425"/>
      <c r="AX998" s="1425"/>
      <c r="AY998" s="1425"/>
      <c r="CR998" s="25"/>
    </row>
    <row r="999" spans="1:96" s="708" customFormat="1" ht="12.95" customHeight="1">
      <c r="A999" s="51"/>
      <c r="B999" s="110"/>
      <c r="C999" s="111"/>
      <c r="D999" s="2533"/>
      <c r="E999" s="2534"/>
      <c r="F999" s="2534"/>
      <c r="G999" s="2534"/>
      <c r="H999" s="2534"/>
      <c r="I999" s="2534"/>
      <c r="J999" s="2534"/>
      <c r="K999" s="2534"/>
      <c r="L999" s="2534"/>
      <c r="M999" s="2534"/>
      <c r="N999" s="2534"/>
      <c r="O999" s="2534"/>
      <c r="P999" s="2534"/>
      <c r="Q999" s="2534"/>
      <c r="R999" s="2534"/>
      <c r="S999" s="2534"/>
      <c r="T999" s="2534"/>
      <c r="U999" s="2534"/>
      <c r="V999" s="2534"/>
      <c r="W999" s="2534"/>
      <c r="X999" s="2534"/>
      <c r="Y999" s="2534"/>
      <c r="Z999" s="2534"/>
      <c r="AA999" s="2534"/>
      <c r="AB999" s="2534"/>
      <c r="AC999" s="2534"/>
      <c r="AD999" s="2534"/>
      <c r="AE999" s="2535"/>
      <c r="AF999" s="1453"/>
      <c r="AG999" s="1454"/>
      <c r="AH999" s="1454"/>
      <c r="AI999" s="1455"/>
      <c r="AJ999" s="2542"/>
      <c r="AK999" s="2543"/>
      <c r="AL999" s="2543"/>
      <c r="AM999" s="2543"/>
      <c r="AN999" s="2543"/>
      <c r="AO999" s="2543"/>
      <c r="AP999" s="2543"/>
      <c r="AQ999" s="2544"/>
      <c r="AR999" s="1425"/>
      <c r="AS999" s="1425"/>
      <c r="AT999" s="1425"/>
      <c r="AU999" s="1425"/>
      <c r="AV999" s="1425"/>
      <c r="AW999" s="1425"/>
      <c r="AX999" s="1425"/>
      <c r="AY999" s="1425"/>
      <c r="CR999" s="25"/>
    </row>
    <row r="1000" spans="1:96" s="708" customFormat="1" ht="12.95" customHeight="1">
      <c r="A1000" s="51"/>
      <c r="B1000" s="110"/>
      <c r="C1000" s="111"/>
      <c r="D1000" s="2536"/>
      <c r="E1000" s="2537"/>
      <c r="F1000" s="2537"/>
      <c r="G1000" s="2537"/>
      <c r="H1000" s="2537"/>
      <c r="I1000" s="2537"/>
      <c r="J1000" s="2537"/>
      <c r="K1000" s="2537"/>
      <c r="L1000" s="2537"/>
      <c r="M1000" s="2537"/>
      <c r="N1000" s="2537"/>
      <c r="O1000" s="2537"/>
      <c r="P1000" s="2537"/>
      <c r="Q1000" s="2537"/>
      <c r="R1000" s="2537"/>
      <c r="S1000" s="2537"/>
      <c r="T1000" s="2537"/>
      <c r="U1000" s="2537"/>
      <c r="V1000" s="2537"/>
      <c r="W1000" s="2537"/>
      <c r="X1000" s="2537"/>
      <c r="Y1000" s="2537"/>
      <c r="Z1000" s="2537"/>
      <c r="AA1000" s="2537"/>
      <c r="AB1000" s="2537"/>
      <c r="AC1000" s="2537"/>
      <c r="AD1000" s="2537"/>
      <c r="AE1000" s="2538"/>
      <c r="AF1000" s="1456"/>
      <c r="AG1000" s="1457"/>
      <c r="AH1000" s="1457"/>
      <c r="AI1000" s="1458"/>
      <c r="AJ1000" s="2545"/>
      <c r="AK1000" s="2546"/>
      <c r="AL1000" s="2546"/>
      <c r="AM1000" s="2546"/>
      <c r="AN1000" s="2546"/>
      <c r="AO1000" s="2546"/>
      <c r="AP1000" s="2546"/>
      <c r="AQ1000" s="2547"/>
      <c r="AR1000" s="1425"/>
      <c r="AS1000" s="1425"/>
      <c r="AT1000" s="1425"/>
      <c r="AU1000" s="1425"/>
      <c r="AV1000" s="1425"/>
      <c r="AW1000" s="1425"/>
      <c r="AX1000" s="1425"/>
      <c r="AY1000" s="1425"/>
      <c r="CR1000" s="25"/>
    </row>
    <row r="1001" spans="1:96" s="708" customFormat="1" ht="12.95" customHeight="1">
      <c r="A1001" s="51"/>
      <c r="B1001" s="110"/>
      <c r="C1001" s="522" t="s">
        <v>697</v>
      </c>
      <c r="D1001" s="2551" t="s">
        <v>1942</v>
      </c>
      <c r="E1001" s="2552"/>
      <c r="F1001" s="2552"/>
      <c r="G1001" s="2552"/>
      <c r="H1001" s="2552"/>
      <c r="I1001" s="2552"/>
      <c r="J1001" s="2552"/>
      <c r="K1001" s="2552"/>
      <c r="L1001" s="2552"/>
      <c r="M1001" s="2552"/>
      <c r="N1001" s="2552"/>
      <c r="O1001" s="2552"/>
      <c r="P1001" s="2552"/>
      <c r="Q1001" s="2552"/>
      <c r="R1001" s="2552"/>
      <c r="S1001" s="2552"/>
      <c r="T1001" s="2552"/>
      <c r="U1001" s="2552"/>
      <c r="V1001" s="2552"/>
      <c r="W1001" s="2552"/>
      <c r="X1001" s="2552"/>
      <c r="Y1001" s="2552"/>
      <c r="Z1001" s="2552"/>
      <c r="AA1001" s="2552"/>
      <c r="AB1001" s="2552"/>
      <c r="AC1001" s="2552"/>
      <c r="AD1001" s="2552"/>
      <c r="AE1001" s="2553"/>
      <c r="AF1001" s="110"/>
      <c r="AG1001" s="2516" t="s">
        <v>678</v>
      </c>
      <c r="AH1001" s="2517"/>
      <c r="AI1001" s="121"/>
      <c r="AJ1001" s="2539">
        <f>ROUND(IF(AND(AG1001="yes",AJ997=0),(AJ961*0.1),0),0)</f>
        <v>0</v>
      </c>
      <c r="AK1001" s="2540"/>
      <c r="AL1001" s="2540"/>
      <c r="AM1001" s="2540"/>
      <c r="AN1001" s="2540"/>
      <c r="AO1001" s="2540"/>
      <c r="AP1001" s="2540"/>
      <c r="AQ1001" s="2541"/>
      <c r="AR1001" s="1425"/>
      <c r="AS1001" s="1425"/>
      <c r="AT1001" s="1425"/>
      <c r="AU1001" s="1425"/>
      <c r="AV1001" s="1425"/>
      <c r="AW1001" s="1425"/>
      <c r="AX1001" s="1425"/>
      <c r="AY1001" s="1425"/>
      <c r="CR1001" s="25"/>
    </row>
    <row r="1002" spans="1:96" s="708" customFormat="1" ht="12.95" customHeight="1">
      <c r="A1002" s="51"/>
      <c r="B1002" s="110"/>
      <c r="C1002" s="111"/>
      <c r="D1002" s="2533" t="s">
        <v>1943</v>
      </c>
      <c r="E1002" s="2534"/>
      <c r="F1002" s="2534"/>
      <c r="G1002" s="2534"/>
      <c r="H1002" s="2534"/>
      <c r="I1002" s="2534"/>
      <c r="J1002" s="2534"/>
      <c r="K1002" s="2534"/>
      <c r="L1002" s="2534"/>
      <c r="M1002" s="2534"/>
      <c r="N1002" s="2534"/>
      <c r="O1002" s="2534"/>
      <c r="P1002" s="2534"/>
      <c r="Q1002" s="2534"/>
      <c r="R1002" s="2534"/>
      <c r="S1002" s="2534"/>
      <c r="T1002" s="2534"/>
      <c r="U1002" s="2534"/>
      <c r="V1002" s="2534"/>
      <c r="W1002" s="2534"/>
      <c r="X1002" s="2534"/>
      <c r="Y1002" s="2534"/>
      <c r="Z1002" s="2534"/>
      <c r="AA1002" s="2534"/>
      <c r="AB1002" s="2534"/>
      <c r="AC1002" s="2534"/>
      <c r="AD1002" s="2534"/>
      <c r="AE1002" s="2535"/>
      <c r="AF1002" s="110"/>
      <c r="AG1002" s="112"/>
      <c r="AH1002" s="112"/>
      <c r="AI1002" s="121"/>
      <c r="AJ1002" s="2542"/>
      <c r="AK1002" s="2543"/>
      <c r="AL1002" s="2543"/>
      <c r="AM1002" s="2543"/>
      <c r="AN1002" s="2543"/>
      <c r="AO1002" s="2543"/>
      <c r="AP1002" s="2543"/>
      <c r="AQ1002" s="2544"/>
      <c r="AR1002" s="1425"/>
      <c r="AS1002" s="1425"/>
      <c r="AT1002" s="1425"/>
      <c r="AU1002" s="1425"/>
      <c r="AV1002" s="1425"/>
      <c r="AW1002" s="1425"/>
      <c r="AX1002" s="1425"/>
      <c r="AY1002" s="1425"/>
      <c r="CR1002" s="25"/>
    </row>
    <row r="1003" spans="1:96" s="708" customFormat="1" ht="12.95" customHeight="1">
      <c r="A1003" s="51"/>
      <c r="B1003" s="110"/>
      <c r="C1003" s="111"/>
      <c r="D1003" s="2533"/>
      <c r="E1003" s="2534"/>
      <c r="F1003" s="2534"/>
      <c r="G1003" s="2534"/>
      <c r="H1003" s="2534"/>
      <c r="I1003" s="2534"/>
      <c r="J1003" s="2534"/>
      <c r="K1003" s="2534"/>
      <c r="L1003" s="2534"/>
      <c r="M1003" s="2534"/>
      <c r="N1003" s="2534"/>
      <c r="O1003" s="2534"/>
      <c r="P1003" s="2534"/>
      <c r="Q1003" s="2534"/>
      <c r="R1003" s="2534"/>
      <c r="S1003" s="2534"/>
      <c r="T1003" s="2534"/>
      <c r="U1003" s="2534"/>
      <c r="V1003" s="2534"/>
      <c r="W1003" s="2534"/>
      <c r="X1003" s="2534"/>
      <c r="Y1003" s="2534"/>
      <c r="Z1003" s="2534"/>
      <c r="AA1003" s="2534"/>
      <c r="AB1003" s="2534"/>
      <c r="AC1003" s="2534"/>
      <c r="AD1003" s="2534"/>
      <c r="AE1003" s="2535"/>
      <c r="AF1003" s="110"/>
      <c r="AG1003" s="112"/>
      <c r="AH1003" s="112"/>
      <c r="AI1003" s="121"/>
      <c r="AJ1003" s="2542"/>
      <c r="AK1003" s="2543"/>
      <c r="AL1003" s="2543"/>
      <c r="AM1003" s="2543"/>
      <c r="AN1003" s="2543"/>
      <c r="AO1003" s="2543"/>
      <c r="AP1003" s="2543"/>
      <c r="AQ1003" s="2544"/>
      <c r="AR1003" s="1425"/>
      <c r="AS1003" s="1425"/>
      <c r="AT1003" s="1425"/>
      <c r="AU1003" s="1425"/>
      <c r="AV1003" s="1425"/>
      <c r="AW1003" s="1425"/>
      <c r="AX1003" s="1425"/>
      <c r="AY1003" s="1425"/>
      <c r="CR1003" s="25"/>
    </row>
    <row r="1004" spans="1:96" s="708" customFormat="1" ht="12.95" customHeight="1">
      <c r="A1004" s="51"/>
      <c r="B1004" s="110"/>
      <c r="C1004" s="111"/>
      <c r="D1004" s="2533"/>
      <c r="E1004" s="2534"/>
      <c r="F1004" s="2534"/>
      <c r="G1004" s="2534"/>
      <c r="H1004" s="2534"/>
      <c r="I1004" s="2534"/>
      <c r="J1004" s="2534"/>
      <c r="K1004" s="2534"/>
      <c r="L1004" s="2534"/>
      <c r="M1004" s="2534"/>
      <c r="N1004" s="2534"/>
      <c r="O1004" s="2534"/>
      <c r="P1004" s="2534"/>
      <c r="Q1004" s="2534"/>
      <c r="R1004" s="2534"/>
      <c r="S1004" s="2534"/>
      <c r="T1004" s="2534"/>
      <c r="U1004" s="2534"/>
      <c r="V1004" s="2534"/>
      <c r="W1004" s="2534"/>
      <c r="X1004" s="2534"/>
      <c r="Y1004" s="2534"/>
      <c r="Z1004" s="2534"/>
      <c r="AA1004" s="2534"/>
      <c r="AB1004" s="2534"/>
      <c r="AC1004" s="2534"/>
      <c r="AD1004" s="2534"/>
      <c r="AE1004" s="2535"/>
      <c r="AF1004" s="110"/>
      <c r="AG1004" s="112"/>
      <c r="AH1004" s="112"/>
      <c r="AI1004" s="121"/>
      <c r="AJ1004" s="2542"/>
      <c r="AK1004" s="2543"/>
      <c r="AL1004" s="2543"/>
      <c r="AM1004" s="2543"/>
      <c r="AN1004" s="2543"/>
      <c r="AO1004" s="2543"/>
      <c r="AP1004" s="2543"/>
      <c r="AQ1004" s="2544"/>
      <c r="AR1004" s="1425"/>
      <c r="AS1004" s="1425"/>
      <c r="AT1004" s="1425"/>
      <c r="AU1004" s="1425"/>
      <c r="AV1004" s="1425"/>
      <c r="AW1004" s="1425"/>
      <c r="AX1004" s="1425"/>
      <c r="AY1004" s="1425"/>
      <c r="CR1004" s="25"/>
    </row>
    <row r="1005" spans="1:96" s="708" customFormat="1" ht="12.95" customHeight="1">
      <c r="A1005" s="51"/>
      <c r="B1005" s="110"/>
      <c r="C1005" s="111"/>
      <c r="D1005" s="2536"/>
      <c r="E1005" s="2537"/>
      <c r="F1005" s="2537"/>
      <c r="G1005" s="2537"/>
      <c r="H1005" s="2537"/>
      <c r="I1005" s="2537"/>
      <c r="J1005" s="2537"/>
      <c r="K1005" s="2537"/>
      <c r="L1005" s="2537"/>
      <c r="M1005" s="2537"/>
      <c r="N1005" s="2537"/>
      <c r="O1005" s="2537"/>
      <c r="P1005" s="2537"/>
      <c r="Q1005" s="2537"/>
      <c r="R1005" s="2537"/>
      <c r="S1005" s="2537"/>
      <c r="T1005" s="2537"/>
      <c r="U1005" s="2537"/>
      <c r="V1005" s="2537"/>
      <c r="W1005" s="2537"/>
      <c r="X1005" s="2537"/>
      <c r="Y1005" s="2537"/>
      <c r="Z1005" s="2537"/>
      <c r="AA1005" s="2537"/>
      <c r="AB1005" s="2537"/>
      <c r="AC1005" s="2537"/>
      <c r="AD1005" s="2537"/>
      <c r="AE1005" s="2538"/>
      <c r="AF1005" s="110"/>
      <c r="AG1005" s="112"/>
      <c r="AH1005" s="112"/>
      <c r="AI1005" s="121"/>
      <c r="AJ1005" s="2542"/>
      <c r="AK1005" s="2543"/>
      <c r="AL1005" s="2543"/>
      <c r="AM1005" s="2543"/>
      <c r="AN1005" s="2543"/>
      <c r="AO1005" s="2543"/>
      <c r="AP1005" s="2543"/>
      <c r="AQ1005" s="2544"/>
      <c r="AR1005" s="1425"/>
      <c r="AS1005" s="1425"/>
      <c r="AT1005" s="1425"/>
      <c r="AU1005" s="1425"/>
      <c r="AV1005" s="1425"/>
      <c r="AW1005" s="1425"/>
      <c r="AX1005" s="1425"/>
      <c r="AY1005" s="1425"/>
      <c r="CR1005" s="25"/>
    </row>
    <row r="1006" spans="1:96" s="708" customFormat="1" ht="12.95" customHeight="1">
      <c r="A1006" s="51"/>
      <c r="B1006" s="117"/>
      <c r="C1006" s="198" t="s">
        <v>1066</v>
      </c>
      <c r="D1006" s="2502" t="s">
        <v>1461</v>
      </c>
      <c r="E1006" s="2503"/>
      <c r="F1006" s="2503"/>
      <c r="G1006" s="2503"/>
      <c r="H1006" s="2503"/>
      <c r="I1006" s="2503"/>
      <c r="J1006" s="2503"/>
      <c r="K1006" s="2503"/>
      <c r="L1006" s="2503"/>
      <c r="M1006" s="2503"/>
      <c r="N1006" s="2503"/>
      <c r="O1006" s="2503"/>
      <c r="P1006" s="2503"/>
      <c r="Q1006" s="2503"/>
      <c r="R1006" s="2503"/>
      <c r="S1006" s="2503"/>
      <c r="T1006" s="2503"/>
      <c r="U1006" s="2503"/>
      <c r="V1006" s="2503"/>
      <c r="W1006" s="2503"/>
      <c r="X1006" s="2503"/>
      <c r="Y1006" s="2503"/>
      <c r="Z1006" s="2503"/>
      <c r="AA1006" s="2503"/>
      <c r="AB1006" s="2503"/>
      <c r="AC1006" s="2503"/>
      <c r="AD1006" s="2503"/>
      <c r="AE1006" s="2504"/>
      <c r="AF1006" s="117"/>
      <c r="AG1006" s="2514" t="s">
        <v>554</v>
      </c>
      <c r="AH1006" s="2515"/>
      <c r="AI1006" s="125"/>
      <c r="AJ1006" s="2539">
        <f>ROUND(IF(AG1006="yes",(AJ961*0.1),0),0)</f>
        <v>2575667</v>
      </c>
      <c r="AK1006" s="2540"/>
      <c r="AL1006" s="2540"/>
      <c r="AM1006" s="2540"/>
      <c r="AN1006" s="2540"/>
      <c r="AO1006" s="2540"/>
      <c r="AP1006" s="2540"/>
      <c r="AQ1006" s="2541"/>
      <c r="AR1006" s="1425"/>
      <c r="AS1006" s="1425"/>
      <c r="AT1006" s="1425"/>
      <c r="AU1006" s="1425"/>
      <c r="AV1006" s="1425"/>
      <c r="AW1006" s="1425"/>
      <c r="AX1006" s="1425"/>
      <c r="AY1006" s="1425"/>
      <c r="CR1006" s="25"/>
    </row>
    <row r="1007" spans="1:96" ht="12.95" customHeight="1">
      <c r="A1007" s="51"/>
      <c r="B1007" s="110"/>
      <c r="C1007" s="111"/>
      <c r="D1007" s="2505" t="s">
        <v>2505</v>
      </c>
      <c r="E1007" s="2506"/>
      <c r="F1007" s="2506"/>
      <c r="G1007" s="2506"/>
      <c r="H1007" s="2506"/>
      <c r="I1007" s="2506"/>
      <c r="J1007" s="2506"/>
      <c r="K1007" s="2506"/>
      <c r="L1007" s="2506"/>
      <c r="M1007" s="2506"/>
      <c r="N1007" s="2506"/>
      <c r="O1007" s="2506"/>
      <c r="P1007" s="2506"/>
      <c r="Q1007" s="2506"/>
      <c r="R1007" s="2506"/>
      <c r="S1007" s="2506"/>
      <c r="T1007" s="2506"/>
      <c r="U1007" s="2506"/>
      <c r="V1007" s="2506"/>
      <c r="W1007" s="2506"/>
      <c r="X1007" s="2506"/>
      <c r="Y1007" s="2506"/>
      <c r="Z1007" s="2506"/>
      <c r="AA1007" s="2506"/>
      <c r="AB1007" s="2506"/>
      <c r="AC1007" s="2506"/>
      <c r="AD1007" s="2506"/>
      <c r="AE1007" s="2507"/>
      <c r="AF1007" s="110"/>
      <c r="AG1007" s="112"/>
      <c r="AH1007" s="112"/>
      <c r="AI1007" s="121"/>
      <c r="AJ1007" s="2542"/>
      <c r="AK1007" s="2543"/>
      <c r="AL1007" s="2543"/>
      <c r="AM1007" s="2543"/>
      <c r="AN1007" s="2543"/>
      <c r="AO1007" s="2543"/>
      <c r="AP1007" s="2543"/>
      <c r="AQ1007" s="2544"/>
      <c r="AR1007" s="1425"/>
      <c r="AS1007" s="1425"/>
      <c r="AT1007" s="1425"/>
      <c r="AU1007" s="1425"/>
      <c r="AV1007" s="1425"/>
      <c r="AW1007" s="1425"/>
      <c r="AX1007" s="1425"/>
      <c r="AY1007" s="1425"/>
    </row>
    <row r="1008" spans="1:96" ht="12.95" customHeight="1">
      <c r="A1008" s="51"/>
      <c r="B1008" s="110"/>
      <c r="C1008" s="111"/>
      <c r="D1008" s="2505"/>
      <c r="E1008" s="2506"/>
      <c r="F1008" s="2506"/>
      <c r="G1008" s="2506"/>
      <c r="H1008" s="2506"/>
      <c r="I1008" s="2506"/>
      <c r="J1008" s="2506"/>
      <c r="K1008" s="2506"/>
      <c r="L1008" s="2506"/>
      <c r="M1008" s="2506"/>
      <c r="N1008" s="2506"/>
      <c r="O1008" s="2506"/>
      <c r="P1008" s="2506"/>
      <c r="Q1008" s="2506"/>
      <c r="R1008" s="2506"/>
      <c r="S1008" s="2506"/>
      <c r="T1008" s="2506"/>
      <c r="U1008" s="2506"/>
      <c r="V1008" s="2506"/>
      <c r="W1008" s="2506"/>
      <c r="X1008" s="2506"/>
      <c r="Y1008" s="2506"/>
      <c r="Z1008" s="2506"/>
      <c r="AA1008" s="2506"/>
      <c r="AB1008" s="2506"/>
      <c r="AC1008" s="2506"/>
      <c r="AD1008" s="2506"/>
      <c r="AE1008" s="2507"/>
      <c r="AF1008" s="110"/>
      <c r="AG1008" s="112"/>
      <c r="AH1008" s="112"/>
      <c r="AI1008" s="121"/>
      <c r="AJ1008" s="2542"/>
      <c r="AK1008" s="2543"/>
      <c r="AL1008" s="2543"/>
      <c r="AM1008" s="2543"/>
      <c r="AN1008" s="2543"/>
      <c r="AO1008" s="2543"/>
      <c r="AP1008" s="2543"/>
      <c r="AQ1008" s="2544"/>
      <c r="AR1008" s="1425"/>
      <c r="AS1008" s="1425"/>
      <c r="AT1008" s="1425"/>
      <c r="AU1008" s="1425"/>
      <c r="AV1008" s="1425"/>
      <c r="AW1008" s="1425"/>
      <c r="AX1008" s="1425"/>
      <c r="AY1008" s="1425"/>
    </row>
    <row r="1009" spans="1:96" s="671" customFormat="1" ht="12.95" customHeight="1">
      <c r="A1009" s="51"/>
      <c r="B1009" s="110"/>
      <c r="C1009" s="111"/>
      <c r="D1009" s="2518"/>
      <c r="E1009" s="2519"/>
      <c r="F1009" s="2519"/>
      <c r="G1009" s="2519"/>
      <c r="H1009" s="2519"/>
      <c r="I1009" s="2519"/>
      <c r="J1009" s="2519"/>
      <c r="K1009" s="2519"/>
      <c r="L1009" s="2519"/>
      <c r="M1009" s="2519"/>
      <c r="N1009" s="2519"/>
      <c r="O1009" s="2519"/>
      <c r="P1009" s="2519"/>
      <c r="Q1009" s="2519"/>
      <c r="R1009" s="2519"/>
      <c r="S1009" s="2519"/>
      <c r="T1009" s="2519"/>
      <c r="U1009" s="2519"/>
      <c r="V1009" s="2519"/>
      <c r="W1009" s="2519"/>
      <c r="X1009" s="2519"/>
      <c r="Y1009" s="2519"/>
      <c r="Z1009" s="2519"/>
      <c r="AA1009" s="2519"/>
      <c r="AB1009" s="2519"/>
      <c r="AC1009" s="2519"/>
      <c r="AD1009" s="2519"/>
      <c r="AE1009" s="2520"/>
      <c r="AF1009" s="110"/>
      <c r="AG1009" s="112"/>
      <c r="AH1009" s="112"/>
      <c r="AI1009" s="121"/>
      <c r="AJ1009" s="2545"/>
      <c r="AK1009" s="2546"/>
      <c r="AL1009" s="2546"/>
      <c r="AM1009" s="2546"/>
      <c r="AN1009" s="2546"/>
      <c r="AO1009" s="2546"/>
      <c r="AP1009" s="2546"/>
      <c r="AQ1009" s="2547"/>
      <c r="AR1009" s="1425"/>
      <c r="AS1009" s="1425"/>
      <c r="AT1009" s="1425"/>
      <c r="AU1009" s="1425"/>
      <c r="AV1009" s="1425"/>
      <c r="AW1009" s="1425"/>
      <c r="AX1009" s="1425"/>
      <c r="AY1009" s="1425"/>
      <c r="CR1009" s="25"/>
    </row>
    <row r="1010" spans="1:96" ht="12.95" customHeight="1">
      <c r="A1010" s="51"/>
      <c r="B1010" s="117"/>
      <c r="C1010" s="198" t="s">
        <v>1938</v>
      </c>
      <c r="D1010" s="2551" t="s">
        <v>2122</v>
      </c>
      <c r="E1010" s="2552"/>
      <c r="F1010" s="2552"/>
      <c r="G1010" s="2552"/>
      <c r="H1010" s="2552"/>
      <c r="I1010" s="2552"/>
      <c r="J1010" s="2552"/>
      <c r="K1010" s="2552"/>
      <c r="L1010" s="2552"/>
      <c r="M1010" s="2552"/>
      <c r="N1010" s="2552"/>
      <c r="O1010" s="2552"/>
      <c r="P1010" s="2552"/>
      <c r="Q1010" s="2552"/>
      <c r="R1010" s="2552"/>
      <c r="S1010" s="2552"/>
      <c r="T1010" s="2552"/>
      <c r="U1010" s="2552"/>
      <c r="V1010" s="2552"/>
      <c r="W1010" s="2552"/>
      <c r="X1010" s="2552"/>
      <c r="Y1010" s="2552"/>
      <c r="Z1010" s="2552"/>
      <c r="AA1010" s="2552"/>
      <c r="AB1010" s="2552"/>
      <c r="AC1010" s="2552"/>
      <c r="AD1010" s="2552"/>
      <c r="AE1010" s="2553"/>
      <c r="AF1010" s="117"/>
      <c r="AG1010" s="2512" t="str">
        <f>IF(X1013&gt;0,"Yes","No")</f>
        <v>Yes</v>
      </c>
      <c r="AH1010" s="2513"/>
      <c r="AI1010" s="125"/>
      <c r="AJ1010" s="2521">
        <f>IF((X1013=0),0,BA975*AJ961)</f>
        <v>1030266.8</v>
      </c>
      <c r="AK1010" s="2522"/>
      <c r="AL1010" s="2522"/>
      <c r="AM1010" s="2522"/>
      <c r="AN1010" s="2522"/>
      <c r="AO1010" s="2522"/>
      <c r="AP1010" s="2522"/>
      <c r="AQ1010" s="2523"/>
      <c r="AR1010" s="1425"/>
      <c r="AS1010" s="1425"/>
      <c r="AT1010" s="1425"/>
      <c r="AU1010" s="1425"/>
      <c r="AV1010" s="1425"/>
      <c r="AW1010" s="1425"/>
      <c r="AX1010" s="1425"/>
      <c r="AY1010" s="1425"/>
    </row>
    <row r="1011" spans="1:96" ht="12.95" customHeight="1">
      <c r="A1011" s="51"/>
      <c r="B1011" s="110"/>
      <c r="C1011" s="691"/>
      <c r="D1011" s="2505" t="s">
        <v>1463</v>
      </c>
      <c r="E1011" s="2506"/>
      <c r="F1011" s="2506"/>
      <c r="G1011" s="2506"/>
      <c r="H1011" s="2506"/>
      <c r="I1011" s="2506"/>
      <c r="J1011" s="2506"/>
      <c r="K1011" s="2506"/>
      <c r="L1011" s="2506"/>
      <c r="M1011" s="2506"/>
      <c r="N1011" s="2506"/>
      <c r="O1011" s="2506"/>
      <c r="P1011" s="2506"/>
      <c r="Q1011" s="2506"/>
      <c r="R1011" s="2506"/>
      <c r="S1011" s="2506"/>
      <c r="T1011" s="2506"/>
      <c r="U1011" s="2506"/>
      <c r="V1011" s="2506"/>
      <c r="W1011" s="2506"/>
      <c r="X1011" s="2506"/>
      <c r="Y1011" s="2506"/>
      <c r="Z1011" s="2506"/>
      <c r="AA1011" s="2506"/>
      <c r="AB1011" s="2506"/>
      <c r="AC1011" s="2506"/>
      <c r="AD1011" s="2506"/>
      <c r="AE1011" s="2507"/>
      <c r="AF1011" s="110"/>
      <c r="AG1011" s="692"/>
      <c r="AH1011" s="692"/>
      <c r="AI1011" s="121"/>
      <c r="AJ1011" s="2524"/>
      <c r="AK1011" s="2525"/>
      <c r="AL1011" s="2525"/>
      <c r="AM1011" s="2525"/>
      <c r="AN1011" s="2525"/>
      <c r="AO1011" s="2525"/>
      <c r="AP1011" s="2525"/>
      <c r="AQ1011" s="2526"/>
      <c r="AR1011" s="1425"/>
      <c r="AS1011" s="1425"/>
      <c r="AT1011" s="1425"/>
      <c r="AU1011" s="1425"/>
      <c r="AV1011" s="1425"/>
      <c r="AW1011" s="1425"/>
      <c r="AX1011" s="1425"/>
      <c r="AY1011" s="1425"/>
    </row>
    <row r="1012" spans="1:96" ht="12.95" customHeight="1">
      <c r="A1012" s="51"/>
      <c r="B1012" s="110"/>
      <c r="C1012" s="691"/>
      <c r="D1012" s="2505"/>
      <c r="E1012" s="2506"/>
      <c r="F1012" s="2506"/>
      <c r="G1012" s="2506"/>
      <c r="H1012" s="2506"/>
      <c r="I1012" s="2506"/>
      <c r="J1012" s="2506"/>
      <c r="K1012" s="2506"/>
      <c r="L1012" s="2506"/>
      <c r="M1012" s="2506"/>
      <c r="N1012" s="2506"/>
      <c r="O1012" s="2506"/>
      <c r="P1012" s="2506"/>
      <c r="Q1012" s="2506"/>
      <c r="R1012" s="2506"/>
      <c r="S1012" s="2506"/>
      <c r="T1012" s="2506"/>
      <c r="U1012" s="2506"/>
      <c r="V1012" s="2506"/>
      <c r="W1012" s="2506"/>
      <c r="X1012" s="2506"/>
      <c r="Y1012" s="2506"/>
      <c r="Z1012" s="2506"/>
      <c r="AA1012" s="2506"/>
      <c r="AB1012" s="2506"/>
      <c r="AC1012" s="2506"/>
      <c r="AD1012" s="2506"/>
      <c r="AE1012" s="2507"/>
      <c r="AF1012" s="110"/>
      <c r="AG1012" s="692"/>
      <c r="AH1012" s="692"/>
      <c r="AI1012" s="121"/>
      <c r="AJ1012" s="2524"/>
      <c r="AK1012" s="2525"/>
      <c r="AL1012" s="2525"/>
      <c r="AM1012" s="2525"/>
      <c r="AN1012" s="2525"/>
      <c r="AO1012" s="2525"/>
      <c r="AP1012" s="2525"/>
      <c r="AQ1012" s="2526"/>
      <c r="AR1012" s="1425"/>
      <c r="AS1012" s="1425"/>
      <c r="AT1012" s="1425"/>
      <c r="AU1012" s="1425"/>
      <c r="AV1012" s="1425"/>
      <c r="AW1012" s="1425"/>
      <c r="AX1012" s="1425"/>
      <c r="AY1012" s="1425"/>
    </row>
    <row r="1013" spans="1:96" s="708" customFormat="1" ht="12.95" customHeight="1">
      <c r="A1013" s="51"/>
      <c r="B1013" s="115"/>
      <c r="C1013" s="116"/>
      <c r="D1013" s="199" t="s">
        <v>1011</v>
      </c>
      <c r="E1013" s="200"/>
      <c r="F1013" s="200"/>
      <c r="G1013" s="200"/>
      <c r="H1013" s="200"/>
      <c r="I1013" s="2510">
        <f>BA973</f>
        <v>69</v>
      </c>
      <c r="J1013" s="2511"/>
      <c r="K1013" s="11"/>
      <c r="L1013" s="200"/>
      <c r="M1013" s="200"/>
      <c r="N1013" s="200"/>
      <c r="O1013" s="200"/>
      <c r="P1013" s="200"/>
      <c r="Q1013" s="200"/>
      <c r="R1013" s="200"/>
      <c r="S1013" s="200"/>
      <c r="T1013" s="200"/>
      <c r="U1013" s="200"/>
      <c r="V1013" s="201" t="s">
        <v>1012</v>
      </c>
      <c r="W1013" s="80"/>
      <c r="X1013" s="2508">
        <f>BG621</f>
        <v>3</v>
      </c>
      <c r="Y1013" s="2509"/>
      <c r="Z1013" s="80"/>
      <c r="AA1013" s="80"/>
      <c r="AB1013" s="80"/>
      <c r="AC1013" s="80"/>
      <c r="AD1013" s="80"/>
      <c r="AE1013" s="81"/>
      <c r="AF1013" s="1462"/>
      <c r="AG1013" s="1463"/>
      <c r="AH1013" s="1463"/>
      <c r="AI1013" s="1464"/>
      <c r="AJ1013" s="2527"/>
      <c r="AK1013" s="2528"/>
      <c r="AL1013" s="2528"/>
      <c r="AM1013" s="2528"/>
      <c r="AN1013" s="2528"/>
      <c r="AO1013" s="2528"/>
      <c r="AP1013" s="2528"/>
      <c r="AQ1013" s="2529"/>
      <c r="AR1013" s="1425"/>
      <c r="AS1013" s="1425"/>
      <c r="AT1013" s="1425"/>
      <c r="AU1013" s="1425"/>
      <c r="AV1013" s="1425"/>
      <c r="AW1013" s="1425"/>
      <c r="AX1013" s="1425"/>
      <c r="AY1013" s="1425"/>
      <c r="CR1013" s="25"/>
    </row>
    <row r="1014" spans="1:96" ht="12.95" customHeight="1">
      <c r="A1014" s="51"/>
      <c r="B1014" s="117"/>
      <c r="C1014" s="198" t="s">
        <v>1939</v>
      </c>
      <c r="D1014" s="2502" t="s">
        <v>2123</v>
      </c>
      <c r="E1014" s="2503"/>
      <c r="F1014" s="2503"/>
      <c r="G1014" s="2503"/>
      <c r="H1014" s="2503"/>
      <c r="I1014" s="2503"/>
      <c r="J1014" s="2503"/>
      <c r="K1014" s="2503"/>
      <c r="L1014" s="2503"/>
      <c r="M1014" s="2503"/>
      <c r="N1014" s="2503"/>
      <c r="O1014" s="2503"/>
      <c r="P1014" s="2503"/>
      <c r="Q1014" s="2503"/>
      <c r="R1014" s="2503"/>
      <c r="S1014" s="2503"/>
      <c r="T1014" s="2503"/>
      <c r="U1014" s="2503"/>
      <c r="V1014" s="2503"/>
      <c r="W1014" s="2503"/>
      <c r="X1014" s="2503"/>
      <c r="Y1014" s="2503"/>
      <c r="Z1014" s="2503"/>
      <c r="AA1014" s="2503"/>
      <c r="AB1014" s="2503"/>
      <c r="AC1014" s="2503"/>
      <c r="AD1014" s="2503"/>
      <c r="AE1014" s="2504"/>
      <c r="AF1014" s="110"/>
      <c r="AG1014" s="2512" t="str">
        <f>IF(X1017&gt;0,"Yes","No")</f>
        <v>Yes</v>
      </c>
      <c r="AH1014" s="2513"/>
      <c r="AI1014" s="121"/>
      <c r="AJ1014" s="2521">
        <f>IF((X1017=0),0,(2*BA976)*AJ961)</f>
        <v>23696136.400000002</v>
      </c>
      <c r="AK1014" s="2522"/>
      <c r="AL1014" s="2522"/>
      <c r="AM1014" s="2522"/>
      <c r="AN1014" s="2522"/>
      <c r="AO1014" s="2522"/>
      <c r="AP1014" s="2522"/>
      <c r="AQ1014" s="2523"/>
      <c r="AR1014" s="1425"/>
      <c r="AS1014" s="1425"/>
      <c r="AT1014" s="1425"/>
      <c r="AU1014" s="1425"/>
      <c r="AV1014" s="1425"/>
      <c r="AW1014" s="1425"/>
      <c r="AX1014" s="1425"/>
      <c r="AY1014" s="1425"/>
    </row>
    <row r="1015" spans="1:96" ht="12.95" customHeight="1">
      <c r="A1015" s="51"/>
      <c r="B1015" s="110"/>
      <c r="C1015" s="691"/>
      <c r="D1015" s="2505" t="s">
        <v>1462</v>
      </c>
      <c r="E1015" s="2506"/>
      <c r="F1015" s="2506"/>
      <c r="G1015" s="2506"/>
      <c r="H1015" s="2506"/>
      <c r="I1015" s="2506"/>
      <c r="J1015" s="2506"/>
      <c r="K1015" s="2506"/>
      <c r="L1015" s="2506"/>
      <c r="M1015" s="2506"/>
      <c r="N1015" s="2506"/>
      <c r="O1015" s="2506"/>
      <c r="P1015" s="2506"/>
      <c r="Q1015" s="2506"/>
      <c r="R1015" s="2506"/>
      <c r="S1015" s="2506"/>
      <c r="T1015" s="2506"/>
      <c r="U1015" s="2506"/>
      <c r="V1015" s="2506"/>
      <c r="W1015" s="2506"/>
      <c r="X1015" s="2506"/>
      <c r="Y1015" s="2506"/>
      <c r="Z1015" s="2506"/>
      <c r="AA1015" s="2506"/>
      <c r="AB1015" s="2506"/>
      <c r="AC1015" s="2506"/>
      <c r="AD1015" s="2506"/>
      <c r="AE1015" s="2507"/>
      <c r="AF1015" s="110"/>
      <c r="AG1015" s="692"/>
      <c r="AH1015" s="692"/>
      <c r="AI1015" s="121"/>
      <c r="AJ1015" s="2524"/>
      <c r="AK1015" s="2525"/>
      <c r="AL1015" s="2525"/>
      <c r="AM1015" s="2525"/>
      <c r="AN1015" s="2525"/>
      <c r="AO1015" s="2525"/>
      <c r="AP1015" s="2525"/>
      <c r="AQ1015" s="2526"/>
      <c r="AR1015" s="1425"/>
      <c r="AS1015" s="1425"/>
      <c r="AT1015" s="1425"/>
      <c r="AU1015" s="1425"/>
      <c r="AV1015" s="1425"/>
      <c r="AW1015" s="1425"/>
      <c r="AX1015" s="1425"/>
      <c r="AY1015" s="1425"/>
    </row>
    <row r="1016" spans="1:96" ht="12.95" customHeight="1">
      <c r="A1016" s="51"/>
      <c r="B1016" s="110"/>
      <c r="C1016" s="121"/>
      <c r="D1016" s="2505"/>
      <c r="E1016" s="2506"/>
      <c r="F1016" s="2506"/>
      <c r="G1016" s="2506"/>
      <c r="H1016" s="2506"/>
      <c r="I1016" s="2506"/>
      <c r="J1016" s="2506"/>
      <c r="K1016" s="2506"/>
      <c r="L1016" s="2506"/>
      <c r="M1016" s="2506"/>
      <c r="N1016" s="2506"/>
      <c r="O1016" s="2506"/>
      <c r="P1016" s="2506"/>
      <c r="Q1016" s="2506"/>
      <c r="R1016" s="2506"/>
      <c r="S1016" s="2506"/>
      <c r="T1016" s="2506"/>
      <c r="U1016" s="2506"/>
      <c r="V1016" s="2506"/>
      <c r="W1016" s="2506"/>
      <c r="X1016" s="2506"/>
      <c r="Y1016" s="2506"/>
      <c r="Z1016" s="2506"/>
      <c r="AA1016" s="2506"/>
      <c r="AB1016" s="2506"/>
      <c r="AC1016" s="2506"/>
      <c r="AD1016" s="2506"/>
      <c r="AE1016" s="2507"/>
      <c r="AF1016" s="1459"/>
      <c r="AG1016" s="1460"/>
      <c r="AH1016" s="1460"/>
      <c r="AI1016" s="1461"/>
      <c r="AJ1016" s="2524"/>
      <c r="AK1016" s="2525"/>
      <c r="AL1016" s="2525"/>
      <c r="AM1016" s="2525"/>
      <c r="AN1016" s="2525"/>
      <c r="AO1016" s="2525"/>
      <c r="AP1016" s="2525"/>
      <c r="AQ1016" s="2526"/>
      <c r="AR1016" s="1425"/>
      <c r="AS1016" s="1425"/>
      <c r="AT1016" s="1425"/>
      <c r="AU1016" s="1425"/>
      <c r="AV1016" s="1425"/>
      <c r="AW1016" s="1425"/>
      <c r="AX1016" s="1425"/>
      <c r="AY1016" s="1425"/>
    </row>
    <row r="1017" spans="1:96" s="708" customFormat="1" ht="12.95" customHeight="1">
      <c r="A1017" s="51"/>
      <c r="B1017" s="115"/>
      <c r="C1017" s="116"/>
      <c r="D1017" s="199" t="s">
        <v>1011</v>
      </c>
      <c r="E1017" s="200"/>
      <c r="F1017" s="200"/>
      <c r="G1017" s="200"/>
      <c r="H1017" s="200"/>
      <c r="I1017" s="2510">
        <f>BA973</f>
        <v>69</v>
      </c>
      <c r="J1017" s="2511"/>
      <c r="K1017" s="51"/>
      <c r="L1017" s="200"/>
      <c r="M1017" s="200"/>
      <c r="N1017" s="200"/>
      <c r="O1017" s="200"/>
      <c r="P1017" s="200"/>
      <c r="Q1017" s="200"/>
      <c r="R1017" s="200"/>
      <c r="S1017" s="200"/>
      <c r="T1017" s="200"/>
      <c r="U1017" s="200"/>
      <c r="V1017" s="201" t="s">
        <v>1013</v>
      </c>
      <c r="X1017" s="2508">
        <f>BK621</f>
        <v>32</v>
      </c>
      <c r="Y1017" s="2509"/>
      <c r="AF1017" s="1462"/>
      <c r="AG1017" s="1463"/>
      <c r="AH1017" s="1463"/>
      <c r="AI1017" s="1464"/>
      <c r="AJ1017" s="2527"/>
      <c r="AK1017" s="2528"/>
      <c r="AL1017" s="2528"/>
      <c r="AM1017" s="2528"/>
      <c r="AN1017" s="2528"/>
      <c r="AO1017" s="2528"/>
      <c r="AP1017" s="2528"/>
      <c r="AQ1017" s="2529"/>
      <c r="AR1017" s="1425"/>
      <c r="AS1017" s="1425"/>
      <c r="AT1017" s="1425"/>
      <c r="AU1017" s="1425"/>
      <c r="AV1017" s="1425"/>
      <c r="AW1017" s="1425"/>
      <c r="AX1017" s="1425"/>
      <c r="AY1017" s="1425"/>
      <c r="CR1017" s="25"/>
    </row>
    <row r="1018" spans="1:96" ht="12.95" customHeight="1">
      <c r="A1018" s="51"/>
      <c r="B1018" s="158"/>
      <c r="C1018" s="159"/>
      <c r="D1018" s="2500" t="s">
        <v>522</v>
      </c>
      <c r="E1018" s="2500"/>
      <c r="F1018" s="2500"/>
      <c r="G1018" s="2500"/>
      <c r="H1018" s="2500"/>
      <c r="I1018" s="2500"/>
      <c r="J1018" s="2500"/>
      <c r="K1018" s="2500"/>
      <c r="L1018" s="2500"/>
      <c r="M1018" s="2500"/>
      <c r="N1018" s="2500"/>
      <c r="O1018" s="2500"/>
      <c r="P1018" s="2500"/>
      <c r="Q1018" s="2500"/>
      <c r="R1018" s="2500"/>
      <c r="S1018" s="2500"/>
      <c r="T1018" s="2500"/>
      <c r="U1018" s="2500"/>
      <c r="V1018" s="2500"/>
      <c r="W1018" s="2500"/>
      <c r="X1018" s="2500"/>
      <c r="Y1018" s="2500"/>
      <c r="Z1018" s="2500"/>
      <c r="AA1018" s="2500"/>
      <c r="AB1018" s="2500"/>
      <c r="AC1018" s="2500"/>
      <c r="AD1018" s="2500"/>
      <c r="AE1018" s="2500"/>
      <c r="AF1018" s="2500"/>
      <c r="AG1018" s="2500"/>
      <c r="AH1018" s="2500"/>
      <c r="AI1018" s="2501"/>
      <c r="AJ1018" s="2530">
        <f>SUM(AJ961:AQ1017)</f>
        <v>58255074.200000003</v>
      </c>
      <c r="AK1018" s="2531"/>
      <c r="AL1018" s="2531"/>
      <c r="AM1018" s="2531"/>
      <c r="AN1018" s="2531"/>
      <c r="AO1018" s="2531"/>
      <c r="AP1018" s="2531"/>
      <c r="AQ1018" s="2532"/>
      <c r="AR1018" s="1425"/>
      <c r="AS1018" s="1425"/>
      <c r="AT1018" s="1425"/>
      <c r="AU1018" s="1425"/>
      <c r="AV1018" s="1425"/>
      <c r="AW1018" s="1425"/>
      <c r="AX1018" s="1425"/>
      <c r="AY1018" s="1425"/>
    </row>
    <row r="1019" spans="1:96" ht="12.95" customHeight="1">
      <c r="A1019" s="51"/>
      <c r="B1019" s="112"/>
      <c r="C1019" s="336"/>
      <c r="D1019" s="341"/>
      <c r="E1019" s="341"/>
      <c r="F1019" s="341"/>
      <c r="G1019" s="341"/>
      <c r="H1019" s="341"/>
      <c r="I1019" s="341"/>
      <c r="J1019" s="341"/>
      <c r="K1019" s="341"/>
      <c r="L1019" s="341"/>
      <c r="M1019" s="341"/>
      <c r="N1019" s="341"/>
      <c r="O1019" s="341"/>
      <c r="P1019" s="341"/>
      <c r="Q1019" s="341"/>
      <c r="R1019" s="341"/>
      <c r="S1019" s="341"/>
      <c r="T1019" s="337"/>
      <c r="U1019" s="337"/>
      <c r="V1019" s="337"/>
      <c r="W1019" s="337"/>
      <c r="X1019" s="337"/>
      <c r="Y1019" s="337"/>
      <c r="Z1019" s="337"/>
      <c r="AA1019" s="337"/>
      <c r="AB1019" s="337"/>
      <c r="AC1019" s="337"/>
      <c r="AD1019" s="334"/>
      <c r="AE1019" s="334"/>
      <c r="AF1019" s="334"/>
      <c r="AG1019" s="334"/>
      <c r="AH1019" s="334"/>
      <c r="AI1019" s="334"/>
      <c r="AJ1019" s="334"/>
      <c r="AK1019" s="334"/>
      <c r="AL1019" s="105"/>
      <c r="AM1019" s="1425"/>
      <c r="AN1019" s="1425"/>
      <c r="AO1019" s="1425"/>
      <c r="AP1019" s="1425"/>
      <c r="AQ1019" s="1425"/>
      <c r="AR1019" s="1425"/>
      <c r="AS1019" s="1425"/>
      <c r="AT1019" s="1425"/>
      <c r="AU1019" s="1425"/>
      <c r="AV1019" s="1425"/>
      <c r="AW1019" s="1425"/>
      <c r="AX1019" s="1425"/>
      <c r="AY1019" s="1425"/>
    </row>
    <row r="1020" spans="1:96" ht="12.95" customHeight="1">
      <c r="A1020" s="51"/>
      <c r="B1020" s="1425"/>
      <c r="C1020" s="1425"/>
      <c r="D1020" s="1425"/>
      <c r="E1020" s="1425"/>
      <c r="F1020" s="1425"/>
      <c r="G1020" s="1425"/>
      <c r="H1020" s="1425"/>
      <c r="I1020" s="1425"/>
      <c r="J1020" s="1425"/>
      <c r="K1020" s="1425"/>
      <c r="L1020" s="1425"/>
      <c r="M1020" s="1425"/>
      <c r="N1020" s="1425"/>
      <c r="O1020" s="1425"/>
      <c r="P1020" s="1425"/>
      <c r="Q1020" s="1425"/>
      <c r="R1020" s="1425"/>
      <c r="S1020" s="1425"/>
      <c r="T1020" s="1425"/>
      <c r="U1020" s="1425"/>
      <c r="V1020" s="1425"/>
      <c r="W1020" s="1425"/>
      <c r="X1020" s="1425"/>
      <c r="Y1020" s="1425"/>
      <c r="Z1020" s="1425"/>
      <c r="AA1020" s="1425"/>
      <c r="AB1020" s="1425"/>
      <c r="AC1020" s="1425"/>
      <c r="AD1020" s="1425"/>
      <c r="AE1020" s="1425"/>
      <c r="AF1020" s="1425"/>
      <c r="AG1020" s="1425"/>
      <c r="AH1020" s="1425"/>
      <c r="AI1020" s="1425"/>
      <c r="AJ1020" s="1425"/>
      <c r="AK1020" s="1425"/>
      <c r="AL1020" s="1425"/>
      <c r="AM1020" s="1425"/>
      <c r="AN1020" s="1425"/>
      <c r="AO1020" s="1425"/>
      <c r="AP1020" s="1425"/>
      <c r="AQ1020" s="1425"/>
      <c r="AR1020" s="1425"/>
      <c r="AS1020" s="1425"/>
      <c r="AT1020" s="1425"/>
      <c r="AU1020" s="1425"/>
      <c r="AV1020" s="1425"/>
      <c r="AW1020" s="1425"/>
      <c r="AX1020" s="1425"/>
      <c r="AY1020" s="1425"/>
    </row>
    <row r="1021" spans="1:96" ht="12.95" customHeight="1">
      <c r="A1021" s="51"/>
      <c r="B1021" s="1425"/>
      <c r="C1021" s="1425"/>
      <c r="D1021" s="1425"/>
      <c r="E1021" s="1425"/>
      <c r="F1021" s="1425"/>
      <c r="G1021" s="1425"/>
      <c r="H1021" s="1425"/>
      <c r="I1021" s="1425"/>
      <c r="J1021" s="1425"/>
      <c r="K1021" s="1425"/>
      <c r="L1021" s="1425"/>
      <c r="M1021" s="1425"/>
      <c r="N1021" s="1425"/>
      <c r="O1021" s="1425"/>
      <c r="P1021" s="1425"/>
      <c r="Q1021" s="1425"/>
      <c r="R1021" s="1425"/>
      <c r="S1021" s="1425"/>
      <c r="T1021" s="1425"/>
      <c r="U1021" s="1425"/>
      <c r="V1021" s="1425"/>
      <c r="W1021" s="1425"/>
      <c r="X1021" s="1425"/>
      <c r="Y1021" s="1425"/>
      <c r="Z1021" s="1425"/>
      <c r="AA1021" s="1425"/>
      <c r="AB1021" s="1425"/>
      <c r="AC1021" s="1425"/>
      <c r="AD1021" s="1425"/>
      <c r="AE1021" s="1425"/>
      <c r="AF1021" s="1425"/>
      <c r="AG1021" s="1425"/>
      <c r="AH1021" s="1425"/>
      <c r="AI1021" s="1425"/>
      <c r="AJ1021" s="1425"/>
      <c r="AK1021" s="1425"/>
      <c r="AL1021" s="1425"/>
      <c r="AM1021" s="1425"/>
      <c r="AN1021" s="1425"/>
      <c r="AO1021" s="1425"/>
      <c r="AP1021" s="1425"/>
      <c r="AQ1021" s="1425"/>
      <c r="AR1021" s="1425"/>
      <c r="AS1021" s="1425"/>
      <c r="AT1021" s="1425"/>
      <c r="AU1021" s="1425"/>
      <c r="AV1021" s="1425"/>
      <c r="AW1021" s="1425"/>
      <c r="AX1021" s="1425"/>
      <c r="AY1021" s="1425"/>
    </row>
    <row r="1022" spans="1:96" ht="12.95" customHeight="1">
      <c r="A1022" s="51"/>
      <c r="B1022" s="1425"/>
      <c r="C1022" s="1425"/>
      <c r="D1022" s="1425"/>
      <c r="E1022" s="1425"/>
      <c r="F1022" s="1425"/>
      <c r="G1022" s="1425"/>
      <c r="H1022" s="1425"/>
      <c r="I1022" s="1425"/>
      <c r="J1022" s="1425"/>
      <c r="K1022" s="1425"/>
      <c r="L1022" s="1425"/>
      <c r="M1022" s="1425"/>
      <c r="N1022" s="1425"/>
      <c r="O1022" s="1425"/>
      <c r="P1022" s="1425"/>
      <c r="Q1022" s="1425"/>
      <c r="R1022" s="1425"/>
      <c r="S1022" s="1425"/>
      <c r="T1022" s="1425"/>
      <c r="U1022" s="1425"/>
      <c r="V1022" s="1425"/>
      <c r="W1022" s="1425"/>
      <c r="X1022" s="1425"/>
      <c r="Y1022" s="1425"/>
      <c r="Z1022" s="1425"/>
      <c r="AA1022" s="1425"/>
      <c r="AB1022" s="1425"/>
      <c r="AC1022" s="1425"/>
      <c r="AD1022" s="1425"/>
      <c r="AE1022" s="1425"/>
      <c r="AF1022" s="1425"/>
      <c r="AG1022" s="1425"/>
      <c r="AH1022" s="1425"/>
      <c r="AI1022" s="1425"/>
      <c r="AJ1022" s="1425"/>
      <c r="AK1022" s="1425"/>
      <c r="AL1022" s="1425"/>
      <c r="AM1022" s="1425"/>
      <c r="AN1022" s="1425"/>
      <c r="AO1022" s="1425"/>
      <c r="AP1022" s="1425"/>
      <c r="AQ1022" s="1425"/>
      <c r="AR1022" s="1425"/>
      <c r="AS1022" s="1425"/>
      <c r="AT1022" s="1425"/>
      <c r="AU1022" s="1425"/>
      <c r="AV1022" s="1425"/>
      <c r="AW1022" s="1425"/>
      <c r="AX1022" s="1425"/>
      <c r="AY1022" s="1425"/>
    </row>
    <row r="1023" spans="1:96" ht="12.95" customHeight="1">
      <c r="A1023" s="51"/>
      <c r="B1023" s="1425"/>
      <c r="C1023" s="1425"/>
      <c r="D1023" s="1425"/>
      <c r="E1023" s="1425"/>
      <c r="F1023" s="1425"/>
      <c r="G1023" s="1425"/>
      <c r="H1023" s="1425"/>
      <c r="I1023" s="1425"/>
      <c r="J1023" s="1425"/>
      <c r="K1023" s="1425"/>
      <c r="L1023" s="1425"/>
      <c r="M1023" s="1425"/>
      <c r="N1023" s="1425"/>
      <c r="O1023" s="1425"/>
      <c r="P1023" s="1425"/>
      <c r="Q1023" s="1425"/>
      <c r="R1023" s="1425"/>
      <c r="S1023" s="1425"/>
      <c r="T1023" s="1425"/>
      <c r="U1023" s="1425"/>
      <c r="V1023" s="1425"/>
      <c r="W1023" s="1425"/>
      <c r="X1023" s="1425"/>
      <c r="Y1023" s="1425"/>
      <c r="Z1023" s="1425"/>
      <c r="AA1023" s="1425"/>
      <c r="AB1023" s="1425"/>
      <c r="AC1023" s="1425"/>
      <c r="AD1023" s="1425"/>
      <c r="AE1023" s="1425"/>
      <c r="AF1023" s="1425"/>
      <c r="AG1023" s="1425"/>
      <c r="AH1023" s="1425"/>
      <c r="AI1023" s="1425"/>
      <c r="AJ1023" s="1425"/>
      <c r="AK1023" s="1425"/>
      <c r="AL1023" s="1425"/>
      <c r="AM1023" s="1425"/>
      <c r="AN1023" s="1425"/>
      <c r="AO1023" s="1425"/>
      <c r="AP1023" s="1425"/>
      <c r="AQ1023" s="1425"/>
      <c r="AR1023" s="1425"/>
      <c r="AS1023" s="1425"/>
      <c r="AT1023" s="1425"/>
      <c r="AU1023" s="1425"/>
      <c r="AV1023" s="1425"/>
      <c r="AW1023" s="1425"/>
      <c r="AX1023" s="1425"/>
      <c r="AY1023" s="1425"/>
    </row>
    <row r="1024" spans="1:96" ht="12.95" customHeight="1">
      <c r="A1024" s="51"/>
      <c r="B1024" s="112"/>
      <c r="C1024" s="336"/>
      <c r="D1024" s="1355"/>
      <c r="E1024" s="1355"/>
      <c r="F1024" s="1355"/>
      <c r="G1024" s="1355"/>
      <c r="H1024" s="1355"/>
      <c r="I1024" s="1355"/>
      <c r="J1024" s="1355"/>
      <c r="K1024" s="1355"/>
      <c r="L1024" s="1355"/>
      <c r="M1024" s="1355"/>
      <c r="N1024" s="1355"/>
      <c r="O1024" s="1355"/>
      <c r="P1024" s="1355"/>
      <c r="Q1024" s="1355"/>
      <c r="R1024" s="1355"/>
      <c r="S1024" s="1355"/>
      <c r="T1024" s="1355"/>
      <c r="U1024" s="1355"/>
      <c r="V1024" s="1355"/>
      <c r="W1024" s="1355"/>
      <c r="X1024" s="1355"/>
      <c r="Y1024" s="1355"/>
      <c r="Z1024" s="1355"/>
      <c r="AA1024" s="1355"/>
      <c r="AB1024" s="1355"/>
      <c r="AC1024" s="1355"/>
      <c r="AD1024" s="1355"/>
      <c r="AE1024" s="1355"/>
      <c r="AF1024" s="1355"/>
      <c r="AG1024" s="1355"/>
      <c r="AH1024" s="1355"/>
      <c r="AI1024" s="1355"/>
      <c r="AJ1024" s="1355"/>
      <c r="AK1024" s="1355"/>
      <c r="AL1024" s="105"/>
      <c r="AM1024" s="1425"/>
      <c r="AN1024" s="1425"/>
      <c r="AO1024" s="1425"/>
      <c r="AP1024" s="1425"/>
      <c r="AQ1024" s="1425"/>
      <c r="AR1024" s="1425"/>
      <c r="AS1024" s="1425"/>
      <c r="AT1024" s="1425"/>
      <c r="AU1024" s="1425"/>
      <c r="AV1024" s="1425"/>
      <c r="AW1024" s="1425"/>
      <c r="AX1024" s="1425"/>
      <c r="AY1024" s="1425"/>
    </row>
    <row r="1025" spans="1:51" ht="12.95" customHeight="1">
      <c r="A1025" s="128"/>
      <c r="B1025" s="2459">
        <f>IF(ISNA(IF((AJ985&gt;(AJ961*0.15)),"(f) cannot be greater than 15% of unadjusted eligible basis.",0)),"",(IF((AJ985&gt;(AJ961*0.15)),"(f) cannot be greater than 15% of unadjusted eligible basis.",0)))</f>
        <v>0</v>
      </c>
      <c r="C1025" s="2459"/>
      <c r="D1025" s="2459"/>
      <c r="E1025" s="2459"/>
      <c r="F1025" s="2459"/>
      <c r="G1025" s="2459"/>
      <c r="H1025" s="2459"/>
      <c r="I1025" s="2459"/>
      <c r="J1025" s="2459"/>
      <c r="K1025" s="2459"/>
      <c r="L1025" s="2459"/>
      <c r="M1025" s="2459"/>
      <c r="N1025" s="2459"/>
      <c r="O1025" s="2459"/>
      <c r="P1025" s="2459"/>
      <c r="Q1025" s="2459"/>
      <c r="R1025" s="2459"/>
      <c r="S1025" s="2459"/>
      <c r="T1025" s="2459"/>
      <c r="U1025" s="2459"/>
      <c r="V1025" s="2459"/>
      <c r="W1025" s="2459"/>
      <c r="X1025" s="2459"/>
      <c r="Y1025" s="2459"/>
      <c r="Z1025" s="2459"/>
      <c r="AA1025" s="2459"/>
      <c r="AB1025" s="2459"/>
      <c r="AC1025" s="2459"/>
      <c r="AD1025" s="2459"/>
      <c r="AE1025" s="2459"/>
      <c r="AF1025" s="2459"/>
      <c r="AG1025" s="2459"/>
      <c r="AH1025" s="2459"/>
      <c r="AI1025" s="2459"/>
      <c r="AJ1025" s="2459"/>
      <c r="AK1025" s="2459"/>
      <c r="AL1025" s="105"/>
      <c r="AM1025" s="1425"/>
      <c r="AN1025" s="1425"/>
      <c r="AO1025" s="1425"/>
      <c r="AP1025" s="1425"/>
      <c r="AQ1025" s="1425"/>
      <c r="AR1025" s="1425"/>
      <c r="AS1025" s="1425"/>
      <c r="AT1025" s="1425"/>
      <c r="AU1025" s="1425"/>
      <c r="AV1025" s="1425"/>
      <c r="AW1025" s="1425"/>
      <c r="AX1025" s="1425"/>
      <c r="AY1025" s="1425"/>
    </row>
    <row r="1026" spans="1:51" ht="12.95" customHeight="1" thickBot="1">
      <c r="A1026" s="2400" t="s">
        <v>818</v>
      </c>
      <c r="B1026" s="2400"/>
      <c r="C1026" s="2400"/>
      <c r="D1026" s="2400"/>
      <c r="E1026" s="2400"/>
      <c r="F1026" s="2400"/>
      <c r="G1026" s="2400"/>
      <c r="H1026" s="2400"/>
      <c r="I1026" s="2400"/>
      <c r="J1026" s="2400"/>
      <c r="K1026" s="2400"/>
      <c r="L1026" s="2400"/>
      <c r="M1026" s="2400"/>
      <c r="N1026" s="2400"/>
      <c r="O1026" s="2400"/>
      <c r="P1026" s="2400"/>
      <c r="Q1026" s="2400"/>
      <c r="R1026" s="2400"/>
      <c r="S1026" s="2400"/>
      <c r="T1026" s="2400"/>
      <c r="U1026" s="2400"/>
      <c r="V1026" s="2400"/>
      <c r="W1026" s="2400"/>
      <c r="X1026" s="2400"/>
      <c r="Y1026" s="2400"/>
      <c r="Z1026" s="2400"/>
      <c r="AA1026" s="2400"/>
      <c r="AB1026" s="2400"/>
      <c r="AC1026" s="2400"/>
      <c r="AD1026" s="2400"/>
      <c r="AE1026" s="2400"/>
      <c r="AF1026" s="2400"/>
      <c r="AG1026" s="2400"/>
      <c r="AH1026" s="2400"/>
      <c r="AI1026" s="2400"/>
      <c r="AJ1026" s="2400"/>
      <c r="AK1026" s="2400"/>
      <c r="AL1026" s="2400"/>
      <c r="AM1026" s="20"/>
      <c r="AN1026" s="20"/>
      <c r="AO1026" s="20"/>
      <c r="AP1026" s="20"/>
      <c r="AQ1026" s="20"/>
      <c r="AR1026" s="20"/>
      <c r="AS1026" s="20"/>
      <c r="AT1026" s="20"/>
      <c r="AU1026" s="20"/>
      <c r="AV1026" s="20"/>
      <c r="AW1026" s="20"/>
      <c r="AX1026" s="20"/>
      <c r="AY1026" s="20"/>
    </row>
    <row r="1027" spans="1:51" ht="12.95" customHeight="1" thickTop="1">
      <c r="A1027" s="51"/>
      <c r="B1027" s="51"/>
      <c r="C1027" s="51"/>
      <c r="D1027" s="51"/>
      <c r="E1027" s="51"/>
      <c r="F1027" s="51"/>
      <c r="G1027" s="51"/>
      <c r="H1027" s="51"/>
      <c r="I1027" s="51"/>
      <c r="J1027" s="51"/>
      <c r="K1027" s="51"/>
      <c r="L1027" s="51"/>
      <c r="M1027" s="51"/>
      <c r="N1027" s="51"/>
      <c r="O1027" s="51"/>
      <c r="P1027" s="51"/>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row>
    <row r="1028" spans="1:51" ht="12.95" customHeight="1">
      <c r="A1028" s="92" t="s">
        <v>819</v>
      </c>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AJ1028" s="51"/>
      <c r="AK1028" s="51"/>
      <c r="AL1028" s="51"/>
      <c r="AM1028" s="56"/>
      <c r="AN1028" s="56"/>
      <c r="AO1028" s="56"/>
      <c r="AP1028" s="56"/>
      <c r="AQ1028" s="56"/>
      <c r="AR1028" s="56"/>
      <c r="AS1028" s="56"/>
      <c r="AT1028" s="56"/>
      <c r="AU1028" s="56"/>
      <c r="AV1028" s="56"/>
      <c r="AW1028" s="56"/>
      <c r="AX1028" s="56"/>
      <c r="AY1028" s="56"/>
    </row>
    <row r="1029" spans="1:51" ht="12.95" customHeight="1">
      <c r="A1029" s="315" t="s">
        <v>820</v>
      </c>
      <c r="B1029" s="104"/>
      <c r="C1029" s="104"/>
      <c r="D1029" s="104"/>
      <c r="E1029" s="104"/>
      <c r="F1029" s="104"/>
      <c r="G1029" s="104"/>
      <c r="H1029" s="104"/>
      <c r="I1029" s="104"/>
      <c r="J1029" s="104"/>
      <c r="K1029" s="104"/>
      <c r="L1029" s="104"/>
      <c r="M1029" s="104"/>
      <c r="N1029" s="104"/>
      <c r="O1029" s="104"/>
      <c r="P1029" s="104"/>
      <c r="Q1029" s="20"/>
      <c r="R1029" s="20"/>
      <c r="S1029" s="20"/>
      <c r="T1029" s="20"/>
      <c r="U1029" s="20"/>
      <c r="V1029" s="20"/>
      <c r="W1029" s="20"/>
      <c r="X1029" s="20"/>
      <c r="Y1029" s="130"/>
      <c r="Z1029" s="130"/>
      <c r="AA1029" s="130"/>
      <c r="AB1029" s="130"/>
      <c r="AC1029" s="130"/>
      <c r="AD1029" s="130"/>
      <c r="AE1029" s="130"/>
      <c r="AF1029" s="130"/>
      <c r="AG1029" s="130"/>
      <c r="AH1029" s="130"/>
      <c r="AI1029" s="130"/>
      <c r="AJ1029" s="51"/>
      <c r="AK1029" s="51"/>
      <c r="AL1029" s="51"/>
      <c r="AM1029" s="56"/>
      <c r="AN1029" s="56"/>
      <c r="AO1029" s="56"/>
      <c r="AP1029" s="56"/>
      <c r="AQ1029" s="56"/>
      <c r="AR1029" s="56"/>
      <c r="AS1029" s="56"/>
      <c r="AT1029" s="56"/>
      <c r="AU1029" s="56"/>
      <c r="AV1029" s="56"/>
      <c r="AW1029" s="56"/>
      <c r="AX1029" s="56"/>
      <c r="AY1029" s="56"/>
    </row>
    <row r="1030" spans="1:51" ht="12.95" customHeight="1">
      <c r="A1030" s="2095" t="s">
        <v>600</v>
      </c>
      <c r="B1030" s="2095"/>
      <c r="C1030" s="13">
        <v>1</v>
      </c>
      <c r="D1030" s="1941" t="s">
        <v>1169</v>
      </c>
      <c r="E1030" s="1941"/>
      <c r="F1030" s="1941"/>
      <c r="G1030" s="1941"/>
      <c r="H1030" s="1941"/>
      <c r="I1030" s="1941"/>
      <c r="J1030" s="1941"/>
      <c r="K1030" s="1941"/>
      <c r="L1030" s="1941"/>
      <c r="M1030" s="1941"/>
      <c r="N1030" s="1941"/>
      <c r="O1030" s="1941"/>
      <c r="P1030" s="1941"/>
      <c r="Q1030" s="1941"/>
      <c r="R1030" s="1941"/>
      <c r="S1030" s="1941"/>
      <c r="T1030" s="1941"/>
      <c r="U1030" s="1941"/>
      <c r="V1030" s="1941"/>
      <c r="W1030" s="1941"/>
      <c r="X1030" s="1941"/>
      <c r="Y1030" s="1941"/>
      <c r="Z1030" s="1941"/>
      <c r="AA1030" s="1941"/>
      <c r="AB1030" s="1941"/>
      <c r="AC1030" s="1941"/>
      <c r="AD1030" s="1941"/>
      <c r="AE1030" s="1941"/>
      <c r="AF1030" s="1941"/>
      <c r="AG1030" s="1941"/>
      <c r="AH1030" s="1941"/>
      <c r="AI1030" s="1941"/>
      <c r="AJ1030" s="1941"/>
      <c r="AK1030" s="1941"/>
      <c r="AL1030" s="131"/>
      <c r="AM1030" s="1426"/>
      <c r="AN1030" s="1426"/>
      <c r="AO1030" s="1426"/>
      <c r="AP1030" s="1426"/>
      <c r="AQ1030" s="1426"/>
      <c r="AR1030" s="1426"/>
      <c r="AS1030" s="1426"/>
      <c r="AT1030" s="1426"/>
      <c r="AU1030" s="1426"/>
      <c r="AV1030" s="1426"/>
      <c r="AW1030" s="1426"/>
      <c r="AX1030" s="1426"/>
      <c r="AY1030" s="1426"/>
    </row>
    <row r="1031" spans="1:51" ht="12.95" customHeight="1">
      <c r="A1031" s="234"/>
      <c r="B1031" s="234"/>
      <c r="C1031" s="13"/>
      <c r="D1031" s="1941"/>
      <c r="E1031" s="1941"/>
      <c r="F1031" s="1941"/>
      <c r="G1031" s="1941"/>
      <c r="H1031" s="1941"/>
      <c r="I1031" s="1941"/>
      <c r="J1031" s="1941"/>
      <c r="K1031" s="1941"/>
      <c r="L1031" s="1941"/>
      <c r="M1031" s="1941"/>
      <c r="N1031" s="1941"/>
      <c r="O1031" s="1941"/>
      <c r="P1031" s="1941"/>
      <c r="Q1031" s="1941"/>
      <c r="R1031" s="1941"/>
      <c r="S1031" s="1941"/>
      <c r="T1031" s="1941"/>
      <c r="U1031" s="1941"/>
      <c r="V1031" s="1941"/>
      <c r="W1031" s="1941"/>
      <c r="X1031" s="1941"/>
      <c r="Y1031" s="1941"/>
      <c r="Z1031" s="1941"/>
      <c r="AA1031" s="1941"/>
      <c r="AB1031" s="1941"/>
      <c r="AC1031" s="1941"/>
      <c r="AD1031" s="1941"/>
      <c r="AE1031" s="1941"/>
      <c r="AF1031" s="1941"/>
      <c r="AG1031" s="1941"/>
      <c r="AH1031" s="1941"/>
      <c r="AI1031" s="1941"/>
      <c r="AJ1031" s="1941"/>
      <c r="AK1031" s="1941"/>
      <c r="AL1031" s="131"/>
      <c r="AM1031" s="1426"/>
      <c r="AN1031" s="1426"/>
      <c r="AO1031" s="1426"/>
      <c r="AP1031" s="1426"/>
      <c r="AQ1031" s="1426"/>
      <c r="AR1031" s="1426"/>
      <c r="AS1031" s="1426"/>
      <c r="AT1031" s="1426"/>
      <c r="AU1031" s="1426"/>
      <c r="AV1031" s="1426"/>
      <c r="AW1031" s="1426"/>
      <c r="AX1031" s="1426"/>
      <c r="AY1031" s="1426"/>
    </row>
    <row r="1032" spans="1:51" ht="12.95" customHeight="1">
      <c r="A1032" s="234"/>
      <c r="B1032" s="234"/>
      <c r="C1032" s="13"/>
      <c r="D1032" s="1941"/>
      <c r="E1032" s="1941"/>
      <c r="F1032" s="1941"/>
      <c r="G1032" s="1941"/>
      <c r="H1032" s="1941"/>
      <c r="I1032" s="1941"/>
      <c r="J1032" s="1941"/>
      <c r="K1032" s="1941"/>
      <c r="L1032" s="1941"/>
      <c r="M1032" s="1941"/>
      <c r="N1032" s="1941"/>
      <c r="O1032" s="1941"/>
      <c r="P1032" s="1941"/>
      <c r="Q1032" s="1941"/>
      <c r="R1032" s="1941"/>
      <c r="S1032" s="1941"/>
      <c r="T1032" s="1941"/>
      <c r="U1032" s="1941"/>
      <c r="V1032" s="1941"/>
      <c r="W1032" s="1941"/>
      <c r="X1032" s="1941"/>
      <c r="Y1032" s="1941"/>
      <c r="Z1032" s="1941"/>
      <c r="AA1032" s="1941"/>
      <c r="AB1032" s="1941"/>
      <c r="AC1032" s="1941"/>
      <c r="AD1032" s="1941"/>
      <c r="AE1032" s="1941"/>
      <c r="AF1032" s="1941"/>
      <c r="AG1032" s="1941"/>
      <c r="AH1032" s="1941"/>
      <c r="AI1032" s="1941"/>
      <c r="AJ1032" s="1941"/>
      <c r="AK1032" s="1941"/>
      <c r="AL1032" s="105"/>
      <c r="AM1032" s="1425"/>
      <c r="AN1032" s="1425"/>
      <c r="AO1032" s="1425"/>
      <c r="AP1032" s="1425"/>
      <c r="AQ1032" s="1425"/>
      <c r="AR1032" s="1425"/>
      <c r="AS1032" s="1425"/>
      <c r="AT1032" s="1425"/>
      <c r="AU1032" s="1425"/>
      <c r="AV1032" s="1425"/>
      <c r="AW1032" s="1425"/>
      <c r="AX1032" s="1425"/>
      <c r="AY1032" s="1425"/>
    </row>
    <row r="1033" spans="1:51" ht="12.95" customHeight="1">
      <c r="A1033" s="234"/>
      <c r="B1033" s="234"/>
      <c r="C1033" s="13"/>
      <c r="D1033" s="1941"/>
      <c r="E1033" s="1941"/>
      <c r="F1033" s="1941"/>
      <c r="G1033" s="1941"/>
      <c r="H1033" s="1941"/>
      <c r="I1033" s="1941"/>
      <c r="J1033" s="1941"/>
      <c r="K1033" s="1941"/>
      <c r="L1033" s="1941"/>
      <c r="M1033" s="1941"/>
      <c r="N1033" s="1941"/>
      <c r="O1033" s="1941"/>
      <c r="P1033" s="1941"/>
      <c r="Q1033" s="1941"/>
      <c r="R1033" s="1941"/>
      <c r="S1033" s="1941"/>
      <c r="T1033" s="1941"/>
      <c r="U1033" s="1941"/>
      <c r="V1033" s="1941"/>
      <c r="W1033" s="1941"/>
      <c r="X1033" s="1941"/>
      <c r="Y1033" s="1941"/>
      <c r="Z1033" s="1941"/>
      <c r="AA1033" s="1941"/>
      <c r="AB1033" s="1941"/>
      <c r="AC1033" s="1941"/>
      <c r="AD1033" s="1941"/>
      <c r="AE1033" s="1941"/>
      <c r="AF1033" s="1941"/>
      <c r="AG1033" s="1941"/>
      <c r="AH1033" s="1941"/>
      <c r="AI1033" s="1941"/>
      <c r="AJ1033" s="1941"/>
      <c r="AK1033" s="1941"/>
      <c r="AL1033" s="105"/>
      <c r="AM1033" s="1425"/>
      <c r="AN1033" s="1425"/>
      <c r="AO1033" s="1425"/>
      <c r="AP1033" s="1425"/>
      <c r="AQ1033" s="1425"/>
      <c r="AR1033" s="1425"/>
      <c r="AS1033" s="1425"/>
      <c r="AT1033" s="1425"/>
      <c r="AU1033" s="1425"/>
      <c r="AV1033" s="1425"/>
      <c r="AW1033" s="1425"/>
      <c r="AX1033" s="1425"/>
      <c r="AY1033" s="1425"/>
    </row>
    <row r="1034" spans="1:51" ht="12.95" customHeight="1">
      <c r="A1034" s="234"/>
      <c r="B1034" s="234"/>
      <c r="C1034" s="13"/>
      <c r="D1034" s="1941"/>
      <c r="E1034" s="1941"/>
      <c r="F1034" s="1941"/>
      <c r="G1034" s="1941"/>
      <c r="H1034" s="1941"/>
      <c r="I1034" s="1941"/>
      <c r="J1034" s="1941"/>
      <c r="K1034" s="1941"/>
      <c r="L1034" s="1941"/>
      <c r="M1034" s="1941"/>
      <c r="N1034" s="1941"/>
      <c r="O1034" s="1941"/>
      <c r="P1034" s="1941"/>
      <c r="Q1034" s="1941"/>
      <c r="R1034" s="1941"/>
      <c r="S1034" s="1941"/>
      <c r="T1034" s="1941"/>
      <c r="U1034" s="1941"/>
      <c r="V1034" s="1941"/>
      <c r="W1034" s="1941"/>
      <c r="X1034" s="1941"/>
      <c r="Y1034" s="1941"/>
      <c r="Z1034" s="1941"/>
      <c r="AA1034" s="1941"/>
      <c r="AB1034" s="1941"/>
      <c r="AC1034" s="1941"/>
      <c r="AD1034" s="1941"/>
      <c r="AE1034" s="1941"/>
      <c r="AF1034" s="1941"/>
      <c r="AG1034" s="1941"/>
      <c r="AH1034" s="1941"/>
      <c r="AI1034" s="1941"/>
      <c r="AJ1034" s="1941"/>
      <c r="AK1034" s="1941"/>
      <c r="AL1034" s="105"/>
      <c r="AM1034" s="1425"/>
      <c r="AN1034" s="1425"/>
      <c r="AO1034" s="1425"/>
      <c r="AP1034" s="1425"/>
      <c r="AQ1034" s="1425"/>
      <c r="AR1034" s="1425"/>
      <c r="AS1034" s="1425"/>
      <c r="AT1034" s="1425"/>
      <c r="AU1034" s="1425"/>
      <c r="AV1034" s="1425"/>
      <c r="AW1034" s="1425"/>
      <c r="AX1034" s="1425"/>
      <c r="AY1034" s="1425"/>
    </row>
    <row r="1035" spans="1:51" ht="12.95" customHeight="1">
      <c r="A1035" s="37"/>
      <c r="B1035" s="66"/>
      <c r="C1035" s="13"/>
      <c r="D1035" s="1941"/>
      <c r="E1035" s="1941"/>
      <c r="F1035" s="1941"/>
      <c r="G1035" s="1941"/>
      <c r="H1035" s="1941"/>
      <c r="I1035" s="1941"/>
      <c r="J1035" s="1941"/>
      <c r="K1035" s="1941"/>
      <c r="L1035" s="1941"/>
      <c r="M1035" s="1941"/>
      <c r="N1035" s="1941"/>
      <c r="O1035" s="1941"/>
      <c r="P1035" s="1941"/>
      <c r="Q1035" s="1941"/>
      <c r="R1035" s="1941"/>
      <c r="S1035" s="1941"/>
      <c r="T1035" s="1941"/>
      <c r="U1035" s="1941"/>
      <c r="V1035" s="1941"/>
      <c r="W1035" s="1941"/>
      <c r="X1035" s="1941"/>
      <c r="Y1035" s="1941"/>
      <c r="Z1035" s="1941"/>
      <c r="AA1035" s="1941"/>
      <c r="AB1035" s="1941"/>
      <c r="AC1035" s="1941"/>
      <c r="AD1035" s="1941"/>
      <c r="AE1035" s="1941"/>
      <c r="AF1035" s="1941"/>
      <c r="AG1035" s="1941"/>
      <c r="AH1035" s="1941"/>
      <c r="AI1035" s="1941"/>
      <c r="AJ1035" s="1941"/>
      <c r="AK1035" s="1941"/>
      <c r="AL1035" s="105"/>
      <c r="AM1035" s="1425"/>
      <c r="AN1035" s="1425"/>
      <c r="AO1035" s="1425"/>
      <c r="AP1035" s="1425"/>
      <c r="AQ1035" s="1425"/>
      <c r="AR1035" s="1425"/>
      <c r="AS1035" s="1425"/>
      <c r="AT1035" s="1425"/>
      <c r="AU1035" s="1425"/>
      <c r="AV1035" s="1425"/>
      <c r="AW1035" s="1425"/>
      <c r="AX1035" s="1425"/>
      <c r="AY1035" s="1425"/>
    </row>
    <row r="1036" spans="1:51" ht="12.95" customHeight="1">
      <c r="A1036" s="2095" t="s">
        <v>600</v>
      </c>
      <c r="B1036" s="2095"/>
      <c r="C1036" s="13">
        <v>2</v>
      </c>
      <c r="D1036" s="1941" t="s">
        <v>1168</v>
      </c>
      <c r="E1036" s="1941"/>
      <c r="F1036" s="1941"/>
      <c r="G1036" s="1941"/>
      <c r="H1036" s="1941"/>
      <c r="I1036" s="1941"/>
      <c r="J1036" s="1941"/>
      <c r="K1036" s="1941"/>
      <c r="L1036" s="1941"/>
      <c r="M1036" s="1941"/>
      <c r="N1036" s="1941"/>
      <c r="O1036" s="1941"/>
      <c r="P1036" s="1941"/>
      <c r="Q1036" s="1941"/>
      <c r="R1036" s="1941"/>
      <c r="S1036" s="1941"/>
      <c r="T1036" s="1941"/>
      <c r="U1036" s="1941"/>
      <c r="V1036" s="1941"/>
      <c r="W1036" s="1941"/>
      <c r="X1036" s="1941"/>
      <c r="Y1036" s="1941"/>
      <c r="Z1036" s="1941"/>
      <c r="AA1036" s="1941"/>
      <c r="AB1036" s="1941"/>
      <c r="AC1036" s="1941"/>
      <c r="AD1036" s="1941"/>
      <c r="AE1036" s="1941"/>
      <c r="AF1036" s="1941"/>
      <c r="AG1036" s="1941"/>
      <c r="AH1036" s="1941"/>
      <c r="AI1036" s="1941"/>
      <c r="AJ1036" s="1941"/>
      <c r="AK1036" s="1941"/>
      <c r="AL1036" s="105"/>
      <c r="AM1036" s="1425"/>
      <c r="AN1036" s="1425"/>
      <c r="AO1036" s="1425"/>
      <c r="AP1036" s="1425"/>
      <c r="AQ1036" s="1425"/>
      <c r="AR1036" s="1425"/>
      <c r="AS1036" s="1425"/>
      <c r="AT1036" s="1425"/>
      <c r="AU1036" s="1425"/>
      <c r="AV1036" s="1425"/>
      <c r="AW1036" s="1425"/>
      <c r="AX1036" s="1425"/>
      <c r="AY1036" s="1425"/>
    </row>
    <row r="1037" spans="1:51" ht="12.95" customHeight="1">
      <c r="A1037" s="234"/>
      <c r="B1037" s="234"/>
      <c r="C1037" s="13"/>
      <c r="D1037" s="1941"/>
      <c r="E1037" s="1941"/>
      <c r="F1037" s="1941"/>
      <c r="G1037" s="1941"/>
      <c r="H1037" s="1941"/>
      <c r="I1037" s="1941"/>
      <c r="J1037" s="1941"/>
      <c r="K1037" s="1941"/>
      <c r="L1037" s="1941"/>
      <c r="M1037" s="1941"/>
      <c r="N1037" s="1941"/>
      <c r="O1037" s="1941"/>
      <c r="P1037" s="1941"/>
      <c r="Q1037" s="1941"/>
      <c r="R1037" s="1941"/>
      <c r="S1037" s="1941"/>
      <c r="T1037" s="1941"/>
      <c r="U1037" s="1941"/>
      <c r="V1037" s="1941"/>
      <c r="W1037" s="1941"/>
      <c r="X1037" s="1941"/>
      <c r="Y1037" s="1941"/>
      <c r="Z1037" s="1941"/>
      <c r="AA1037" s="1941"/>
      <c r="AB1037" s="1941"/>
      <c r="AC1037" s="1941"/>
      <c r="AD1037" s="1941"/>
      <c r="AE1037" s="1941"/>
      <c r="AF1037" s="1941"/>
      <c r="AG1037" s="1941"/>
      <c r="AH1037" s="1941"/>
      <c r="AI1037" s="1941"/>
      <c r="AJ1037" s="1941"/>
      <c r="AK1037" s="1941"/>
      <c r="AL1037" s="105"/>
      <c r="AM1037" s="1425"/>
      <c r="AN1037" s="1425"/>
      <c r="AO1037" s="1425"/>
      <c r="AP1037" s="1425"/>
      <c r="AQ1037" s="1425"/>
      <c r="AR1037" s="1425"/>
      <c r="AS1037" s="1425"/>
      <c r="AT1037" s="1425"/>
      <c r="AU1037" s="1425"/>
      <c r="AV1037" s="1425"/>
      <c r="AW1037" s="1425"/>
      <c r="AX1037" s="1425"/>
      <c r="AY1037" s="1425"/>
    </row>
    <row r="1038" spans="1:51" ht="12.95" customHeight="1">
      <c r="A1038" s="234"/>
      <c r="B1038" s="234"/>
      <c r="C1038" s="13"/>
      <c r="D1038" s="1941"/>
      <c r="E1038" s="1941"/>
      <c r="F1038" s="1941"/>
      <c r="G1038" s="1941"/>
      <c r="H1038" s="1941"/>
      <c r="I1038" s="1941"/>
      <c r="J1038" s="1941"/>
      <c r="K1038" s="1941"/>
      <c r="L1038" s="1941"/>
      <c r="M1038" s="1941"/>
      <c r="N1038" s="1941"/>
      <c r="O1038" s="1941"/>
      <c r="P1038" s="1941"/>
      <c r="Q1038" s="1941"/>
      <c r="R1038" s="1941"/>
      <c r="S1038" s="1941"/>
      <c r="T1038" s="1941"/>
      <c r="U1038" s="1941"/>
      <c r="V1038" s="1941"/>
      <c r="W1038" s="1941"/>
      <c r="X1038" s="1941"/>
      <c r="Y1038" s="1941"/>
      <c r="Z1038" s="1941"/>
      <c r="AA1038" s="1941"/>
      <c r="AB1038" s="1941"/>
      <c r="AC1038" s="1941"/>
      <c r="AD1038" s="1941"/>
      <c r="AE1038" s="1941"/>
      <c r="AF1038" s="1941"/>
      <c r="AG1038" s="1941"/>
      <c r="AH1038" s="1941"/>
      <c r="AI1038" s="1941"/>
      <c r="AJ1038" s="1941"/>
      <c r="AK1038" s="1941"/>
      <c r="AL1038" s="105"/>
      <c r="AM1038" s="1425"/>
      <c r="AN1038" s="1425"/>
      <c r="AO1038" s="1425"/>
      <c r="AP1038" s="1425"/>
      <c r="AQ1038" s="1425"/>
      <c r="AR1038" s="1425"/>
      <c r="AS1038" s="1425"/>
      <c r="AT1038" s="1425"/>
      <c r="AU1038" s="1425"/>
      <c r="AV1038" s="1425"/>
      <c r="AW1038" s="1425"/>
      <c r="AX1038" s="1425"/>
      <c r="AY1038" s="1425"/>
    </row>
    <row r="1039" spans="1:51" ht="12.95" customHeight="1">
      <c r="A1039" s="234"/>
      <c r="B1039" s="234"/>
      <c r="C1039" s="13"/>
      <c r="D1039" s="1941"/>
      <c r="E1039" s="1941"/>
      <c r="F1039" s="1941"/>
      <c r="G1039" s="1941"/>
      <c r="H1039" s="1941"/>
      <c r="I1039" s="1941"/>
      <c r="J1039" s="1941"/>
      <c r="K1039" s="1941"/>
      <c r="L1039" s="1941"/>
      <c r="M1039" s="1941"/>
      <c r="N1039" s="1941"/>
      <c r="O1039" s="1941"/>
      <c r="P1039" s="1941"/>
      <c r="Q1039" s="1941"/>
      <c r="R1039" s="1941"/>
      <c r="S1039" s="1941"/>
      <c r="T1039" s="1941"/>
      <c r="U1039" s="1941"/>
      <c r="V1039" s="1941"/>
      <c r="W1039" s="1941"/>
      <c r="X1039" s="1941"/>
      <c r="Y1039" s="1941"/>
      <c r="Z1039" s="1941"/>
      <c r="AA1039" s="1941"/>
      <c r="AB1039" s="1941"/>
      <c r="AC1039" s="1941"/>
      <c r="AD1039" s="1941"/>
      <c r="AE1039" s="1941"/>
      <c r="AF1039" s="1941"/>
      <c r="AG1039" s="1941"/>
      <c r="AH1039" s="1941"/>
      <c r="AI1039" s="1941"/>
      <c r="AJ1039" s="1941"/>
      <c r="AK1039" s="1941"/>
      <c r="AL1039" s="105"/>
      <c r="AM1039" s="1425"/>
      <c r="AN1039" s="1425"/>
      <c r="AO1039" s="1425"/>
      <c r="AP1039" s="1425"/>
      <c r="AQ1039" s="1425"/>
      <c r="AR1039" s="1425"/>
      <c r="AS1039" s="1425"/>
      <c r="AT1039" s="1425"/>
      <c r="AU1039" s="1425"/>
      <c r="AV1039" s="1425"/>
      <c r="AW1039" s="1425"/>
      <c r="AX1039" s="1425"/>
      <c r="AY1039" s="1425"/>
    </row>
    <row r="1040" spans="1:51" ht="12.95" customHeight="1">
      <c r="A1040" s="234"/>
      <c r="B1040" s="234"/>
      <c r="C1040" s="13"/>
      <c r="D1040" s="1941"/>
      <c r="E1040" s="1941"/>
      <c r="F1040" s="1941"/>
      <c r="G1040" s="1941"/>
      <c r="H1040" s="1941"/>
      <c r="I1040" s="1941"/>
      <c r="J1040" s="1941"/>
      <c r="K1040" s="1941"/>
      <c r="L1040" s="1941"/>
      <c r="M1040" s="1941"/>
      <c r="N1040" s="1941"/>
      <c r="O1040" s="1941"/>
      <c r="P1040" s="1941"/>
      <c r="Q1040" s="1941"/>
      <c r="R1040" s="1941"/>
      <c r="S1040" s="1941"/>
      <c r="T1040" s="1941"/>
      <c r="U1040" s="1941"/>
      <c r="V1040" s="1941"/>
      <c r="W1040" s="1941"/>
      <c r="X1040" s="1941"/>
      <c r="Y1040" s="1941"/>
      <c r="Z1040" s="1941"/>
      <c r="AA1040" s="1941"/>
      <c r="AB1040" s="1941"/>
      <c r="AC1040" s="1941"/>
      <c r="AD1040" s="1941"/>
      <c r="AE1040" s="1941"/>
      <c r="AF1040" s="1941"/>
      <c r="AG1040" s="1941"/>
      <c r="AH1040" s="1941"/>
      <c r="AI1040" s="1941"/>
      <c r="AJ1040" s="1941"/>
      <c r="AK1040" s="1941"/>
      <c r="AL1040" s="105"/>
      <c r="AM1040" s="1425"/>
      <c r="AN1040" s="1425"/>
      <c r="AO1040" s="1425"/>
      <c r="AP1040" s="1425"/>
      <c r="AQ1040" s="1425"/>
      <c r="AR1040" s="1425"/>
      <c r="AS1040" s="1425"/>
      <c r="AT1040" s="1425"/>
      <c r="AU1040" s="1425"/>
      <c r="AV1040" s="1425"/>
      <c r="AW1040" s="1425"/>
      <c r="AX1040" s="1425"/>
      <c r="AY1040" s="1425"/>
    </row>
    <row r="1041" spans="1:96" ht="12.95" customHeight="1">
      <c r="A1041" s="234"/>
      <c r="B1041" s="234"/>
      <c r="C1041" s="13"/>
      <c r="D1041" s="1941"/>
      <c r="E1041" s="1941"/>
      <c r="F1041" s="1941"/>
      <c r="G1041" s="1941"/>
      <c r="H1041" s="1941"/>
      <c r="I1041" s="1941"/>
      <c r="J1041" s="1941"/>
      <c r="K1041" s="1941"/>
      <c r="L1041" s="1941"/>
      <c r="M1041" s="1941"/>
      <c r="N1041" s="1941"/>
      <c r="O1041" s="1941"/>
      <c r="P1041" s="1941"/>
      <c r="Q1041" s="1941"/>
      <c r="R1041" s="1941"/>
      <c r="S1041" s="1941"/>
      <c r="T1041" s="1941"/>
      <c r="U1041" s="1941"/>
      <c r="V1041" s="1941"/>
      <c r="W1041" s="1941"/>
      <c r="X1041" s="1941"/>
      <c r="Y1041" s="1941"/>
      <c r="Z1041" s="1941"/>
      <c r="AA1041" s="1941"/>
      <c r="AB1041" s="1941"/>
      <c r="AC1041" s="1941"/>
      <c r="AD1041" s="1941"/>
      <c r="AE1041" s="1941"/>
      <c r="AF1041" s="1941"/>
      <c r="AG1041" s="1941"/>
      <c r="AH1041" s="1941"/>
      <c r="AI1041" s="1941"/>
      <c r="AJ1041" s="1941"/>
      <c r="AK1041" s="1941"/>
    </row>
    <row r="1042" spans="1:96" ht="12.95" customHeight="1">
      <c r="A1042" s="2095" t="s">
        <v>600</v>
      </c>
      <c r="B1042" s="2095"/>
      <c r="C1042" s="13">
        <v>3</v>
      </c>
      <c r="D1042" s="1941" t="s">
        <v>2556</v>
      </c>
      <c r="E1042" s="1941"/>
      <c r="F1042" s="1941"/>
      <c r="G1042" s="1941"/>
      <c r="H1042" s="1941"/>
      <c r="I1042" s="1941"/>
      <c r="J1042" s="1941"/>
      <c r="K1042" s="1941"/>
      <c r="L1042" s="1941"/>
      <c r="M1042" s="1941"/>
      <c r="N1042" s="1941"/>
      <c r="O1042" s="1941"/>
      <c r="P1042" s="1941"/>
      <c r="Q1042" s="1941"/>
      <c r="R1042" s="1941"/>
      <c r="S1042" s="1941"/>
      <c r="T1042" s="1941"/>
      <c r="U1042" s="1941"/>
      <c r="V1042" s="1941"/>
      <c r="W1042" s="1941"/>
      <c r="X1042" s="1941"/>
      <c r="Y1042" s="1941"/>
      <c r="Z1042" s="1941"/>
      <c r="AA1042" s="1941"/>
      <c r="AB1042" s="1941"/>
      <c r="AC1042" s="1941"/>
      <c r="AD1042" s="1941"/>
      <c r="AE1042" s="1941"/>
      <c r="AF1042" s="1941"/>
      <c r="AG1042" s="1941"/>
      <c r="AH1042" s="1941"/>
      <c r="AI1042" s="1941"/>
      <c r="AJ1042" s="1941"/>
      <c r="AK1042" s="1941"/>
    </row>
    <row r="1043" spans="1:96" ht="12.95" customHeight="1">
      <c r="A1043" s="130"/>
      <c r="B1043" s="130"/>
      <c r="C1043" s="13"/>
      <c r="D1043" s="1941"/>
      <c r="E1043" s="1941"/>
      <c r="F1043" s="1941"/>
      <c r="G1043" s="1941"/>
      <c r="H1043" s="1941"/>
      <c r="I1043" s="1941"/>
      <c r="J1043" s="1941"/>
      <c r="K1043" s="1941"/>
      <c r="L1043" s="1941"/>
      <c r="M1043" s="1941"/>
      <c r="N1043" s="1941"/>
      <c r="O1043" s="1941"/>
      <c r="P1043" s="1941"/>
      <c r="Q1043" s="1941"/>
      <c r="R1043" s="1941"/>
      <c r="S1043" s="1941"/>
      <c r="T1043" s="1941"/>
      <c r="U1043" s="1941"/>
      <c r="V1043" s="1941"/>
      <c r="W1043" s="1941"/>
      <c r="X1043" s="1941"/>
      <c r="Y1043" s="1941"/>
      <c r="Z1043" s="1941"/>
      <c r="AA1043" s="1941"/>
      <c r="AB1043" s="1941"/>
      <c r="AC1043" s="1941"/>
      <c r="AD1043" s="1941"/>
      <c r="AE1043" s="1941"/>
      <c r="AF1043" s="1941"/>
      <c r="AG1043" s="1941"/>
      <c r="AH1043" s="1941"/>
      <c r="AI1043" s="1941"/>
      <c r="AJ1043" s="1941"/>
      <c r="AK1043" s="1941"/>
      <c r="AL1043" s="708"/>
    </row>
    <row r="1044" spans="1:96" ht="12.95" customHeight="1">
      <c r="A1044" s="130"/>
      <c r="B1044" s="130"/>
      <c r="C1044" s="13"/>
      <c r="D1044" s="1941"/>
      <c r="E1044" s="1941"/>
      <c r="F1044" s="1941"/>
      <c r="G1044" s="1941"/>
      <c r="H1044" s="1941"/>
      <c r="I1044" s="1941"/>
      <c r="J1044" s="1941"/>
      <c r="K1044" s="1941"/>
      <c r="L1044" s="1941"/>
      <c r="M1044" s="1941"/>
      <c r="N1044" s="1941"/>
      <c r="O1044" s="1941"/>
      <c r="P1044" s="1941"/>
      <c r="Q1044" s="1941"/>
      <c r="R1044" s="1941"/>
      <c r="S1044" s="1941"/>
      <c r="T1044" s="1941"/>
      <c r="U1044" s="1941"/>
      <c r="V1044" s="1941"/>
      <c r="W1044" s="1941"/>
      <c r="X1044" s="1941"/>
      <c r="Y1044" s="1941"/>
      <c r="Z1044" s="1941"/>
      <c r="AA1044" s="1941"/>
      <c r="AB1044" s="1941"/>
      <c r="AC1044" s="1941"/>
      <c r="AD1044" s="1941"/>
      <c r="AE1044" s="1941"/>
      <c r="AF1044" s="1941"/>
      <c r="AG1044" s="1941"/>
      <c r="AH1044" s="1941"/>
      <c r="AI1044" s="1941"/>
      <c r="AJ1044" s="1941"/>
      <c r="AK1044" s="1941"/>
    </row>
    <row r="1045" spans="1:96" s="708" customFormat="1" ht="12.95" customHeight="1">
      <c r="A1045" s="62"/>
      <c r="B1045" s="66"/>
      <c r="C1045" s="13"/>
      <c r="D1045" s="1941"/>
      <c r="E1045" s="1941"/>
      <c r="F1045" s="1941"/>
      <c r="G1045" s="1941"/>
      <c r="H1045" s="1941"/>
      <c r="I1045" s="1941"/>
      <c r="J1045" s="1941"/>
      <c r="K1045" s="1941"/>
      <c r="L1045" s="1941"/>
      <c r="M1045" s="1941"/>
      <c r="N1045" s="1941"/>
      <c r="O1045" s="1941"/>
      <c r="P1045" s="1941"/>
      <c r="Q1045" s="1941"/>
      <c r="R1045" s="1941"/>
      <c r="S1045" s="1941"/>
      <c r="T1045" s="1941"/>
      <c r="U1045" s="1941"/>
      <c r="V1045" s="1941"/>
      <c r="W1045" s="1941"/>
      <c r="X1045" s="1941"/>
      <c r="Y1045" s="1941"/>
      <c r="Z1045" s="1941"/>
      <c r="AA1045" s="1941"/>
      <c r="AB1045" s="1941"/>
      <c r="AC1045" s="1941"/>
      <c r="AD1045" s="1941"/>
      <c r="AE1045" s="1941"/>
      <c r="AF1045" s="1941"/>
      <c r="AG1045" s="1941"/>
      <c r="AH1045" s="1941"/>
      <c r="AI1045" s="1941"/>
      <c r="AJ1045" s="1941"/>
      <c r="AK1045" s="1941"/>
      <c r="AL1045" s="12"/>
      <c r="AM1045" s="39"/>
      <c r="AN1045" s="39"/>
      <c r="AO1045" s="39"/>
      <c r="AP1045" s="39"/>
      <c r="AQ1045" s="39"/>
      <c r="AR1045" s="39"/>
      <c r="AS1045" s="39"/>
      <c r="AT1045" s="39"/>
      <c r="AU1045" s="39"/>
      <c r="AV1045" s="39"/>
      <c r="AW1045" s="39"/>
      <c r="AX1045" s="39"/>
      <c r="AY1045" s="39"/>
      <c r="CR1045" s="25"/>
    </row>
    <row r="1046" spans="1:96" ht="12.95" customHeight="1">
      <c r="A1046" s="62"/>
      <c r="B1046" s="66"/>
      <c r="C1046" s="13"/>
      <c r="D1046" s="1941"/>
      <c r="E1046" s="1941"/>
      <c r="F1046" s="1941"/>
      <c r="G1046" s="1941"/>
      <c r="H1046" s="1941"/>
      <c r="I1046" s="1941"/>
      <c r="J1046" s="1941"/>
      <c r="K1046" s="1941"/>
      <c r="L1046" s="1941"/>
      <c r="M1046" s="1941"/>
      <c r="N1046" s="1941"/>
      <c r="O1046" s="1941"/>
      <c r="P1046" s="1941"/>
      <c r="Q1046" s="1941"/>
      <c r="R1046" s="1941"/>
      <c r="S1046" s="1941"/>
      <c r="T1046" s="1941"/>
      <c r="U1046" s="1941"/>
      <c r="V1046" s="1941"/>
      <c r="W1046" s="1941"/>
      <c r="X1046" s="1941"/>
      <c r="Y1046" s="1941"/>
      <c r="Z1046" s="1941"/>
      <c r="AA1046" s="1941"/>
      <c r="AB1046" s="1941"/>
      <c r="AC1046" s="1941"/>
      <c r="AD1046" s="1941"/>
      <c r="AE1046" s="1941"/>
      <c r="AF1046" s="1941"/>
      <c r="AG1046" s="1941"/>
      <c r="AH1046" s="1941"/>
      <c r="AI1046" s="1941"/>
      <c r="AJ1046" s="1941"/>
      <c r="AK1046" s="1941"/>
    </row>
    <row r="1047" spans="1:96" ht="12.95" customHeight="1">
      <c r="A1047" s="62"/>
      <c r="B1047" s="66"/>
      <c r="C1047" s="13"/>
      <c r="D1047" s="1941"/>
      <c r="E1047" s="1941"/>
      <c r="F1047" s="1941"/>
      <c r="G1047" s="1941"/>
      <c r="H1047" s="1941"/>
      <c r="I1047" s="1941"/>
      <c r="J1047" s="1941"/>
      <c r="K1047" s="1941"/>
      <c r="L1047" s="1941"/>
      <c r="M1047" s="1941"/>
      <c r="N1047" s="1941"/>
      <c r="O1047" s="1941"/>
      <c r="P1047" s="1941"/>
      <c r="Q1047" s="1941"/>
      <c r="R1047" s="1941"/>
      <c r="S1047" s="1941"/>
      <c r="T1047" s="1941"/>
      <c r="U1047" s="1941"/>
      <c r="V1047" s="1941"/>
      <c r="W1047" s="1941"/>
      <c r="X1047" s="1941"/>
      <c r="Y1047" s="1941"/>
      <c r="Z1047" s="1941"/>
      <c r="AA1047" s="1941"/>
      <c r="AB1047" s="1941"/>
      <c r="AC1047" s="1941"/>
      <c r="AD1047" s="1941"/>
      <c r="AE1047" s="1941"/>
      <c r="AF1047" s="1941"/>
      <c r="AG1047" s="1941"/>
      <c r="AH1047" s="1941"/>
      <c r="AI1047" s="1941"/>
      <c r="AJ1047" s="1941"/>
      <c r="AK1047" s="1941"/>
    </row>
    <row r="1048" spans="1:96" ht="12.95" customHeight="1">
      <c r="A1048" s="62"/>
      <c r="B1048" s="66"/>
      <c r="C1048" s="13"/>
      <c r="D1048" s="1941"/>
      <c r="E1048" s="1941"/>
      <c r="F1048" s="1941"/>
      <c r="G1048" s="1941"/>
      <c r="H1048" s="1941"/>
      <c r="I1048" s="1941"/>
      <c r="J1048" s="1941"/>
      <c r="K1048" s="1941"/>
      <c r="L1048" s="1941"/>
      <c r="M1048" s="1941"/>
      <c r="N1048" s="1941"/>
      <c r="O1048" s="1941"/>
      <c r="P1048" s="1941"/>
      <c r="Q1048" s="1941"/>
      <c r="R1048" s="1941"/>
      <c r="S1048" s="1941"/>
      <c r="T1048" s="1941"/>
      <c r="U1048" s="1941"/>
      <c r="V1048" s="1941"/>
      <c r="W1048" s="1941"/>
      <c r="X1048" s="1941"/>
      <c r="Y1048" s="1941"/>
      <c r="Z1048" s="1941"/>
      <c r="AA1048" s="1941"/>
      <c r="AB1048" s="1941"/>
      <c r="AC1048" s="1941"/>
      <c r="AD1048" s="1941"/>
      <c r="AE1048" s="1941"/>
      <c r="AF1048" s="1941"/>
      <c r="AG1048" s="1941"/>
      <c r="AH1048" s="1941"/>
      <c r="AI1048" s="1941"/>
      <c r="AJ1048" s="1941"/>
      <c r="AK1048" s="1941"/>
    </row>
    <row r="1049" spans="1:96" ht="12.95" customHeight="1">
      <c r="A1049" s="2095" t="s">
        <v>600</v>
      </c>
      <c r="B1049" s="2095"/>
      <c r="C1049" s="13">
        <v>4</v>
      </c>
      <c r="D1049" s="1941" t="s">
        <v>1154</v>
      </c>
      <c r="E1049" s="1941"/>
      <c r="F1049" s="1941"/>
      <c r="G1049" s="1941"/>
      <c r="H1049" s="1941"/>
      <c r="I1049" s="1941"/>
      <c r="J1049" s="1941"/>
      <c r="K1049" s="1941"/>
      <c r="L1049" s="1941"/>
      <c r="M1049" s="1941"/>
      <c r="N1049" s="1941"/>
      <c r="O1049" s="1941"/>
      <c r="P1049" s="1941"/>
      <c r="Q1049" s="1941"/>
      <c r="R1049" s="1941"/>
      <c r="S1049" s="1941"/>
      <c r="T1049" s="1941"/>
      <c r="U1049" s="1941"/>
      <c r="V1049" s="1941"/>
      <c r="W1049" s="1941"/>
      <c r="X1049" s="1941"/>
      <c r="Y1049" s="1941"/>
      <c r="Z1049" s="1941"/>
      <c r="AA1049" s="1941"/>
      <c r="AB1049" s="1941"/>
      <c r="AC1049" s="1941"/>
      <c r="AD1049" s="1941"/>
      <c r="AE1049" s="1941"/>
      <c r="AF1049" s="1941"/>
      <c r="AG1049" s="1941"/>
      <c r="AH1049" s="1941"/>
      <c r="AI1049" s="1941"/>
      <c r="AJ1049" s="1941"/>
      <c r="AK1049" s="1941"/>
    </row>
    <row r="1050" spans="1:96" ht="12.95" customHeight="1">
      <c r="A1050" s="234"/>
      <c r="B1050" s="234"/>
      <c r="C1050" s="13"/>
      <c r="D1050" s="1941"/>
      <c r="E1050" s="1941"/>
      <c r="F1050" s="1941"/>
      <c r="G1050" s="1941"/>
      <c r="H1050" s="1941"/>
      <c r="I1050" s="1941"/>
      <c r="J1050" s="1941"/>
      <c r="K1050" s="1941"/>
      <c r="L1050" s="1941"/>
      <c r="M1050" s="1941"/>
      <c r="N1050" s="1941"/>
      <c r="O1050" s="1941"/>
      <c r="P1050" s="1941"/>
      <c r="Q1050" s="1941"/>
      <c r="R1050" s="1941"/>
      <c r="S1050" s="1941"/>
      <c r="T1050" s="1941"/>
      <c r="U1050" s="1941"/>
      <c r="V1050" s="1941"/>
      <c r="W1050" s="1941"/>
      <c r="X1050" s="1941"/>
      <c r="Y1050" s="1941"/>
      <c r="Z1050" s="1941"/>
      <c r="AA1050" s="1941"/>
      <c r="AB1050" s="1941"/>
      <c r="AC1050" s="1941"/>
      <c r="AD1050" s="1941"/>
      <c r="AE1050" s="1941"/>
      <c r="AF1050" s="1941"/>
      <c r="AG1050" s="1941"/>
      <c r="AH1050" s="1941"/>
      <c r="AI1050" s="1941"/>
      <c r="AJ1050" s="1941"/>
      <c r="AK1050" s="1941"/>
    </row>
    <row r="1051" spans="1:96" ht="12.95" customHeight="1">
      <c r="A1051" s="62"/>
      <c r="B1051" s="66"/>
      <c r="C1051" s="13"/>
      <c r="D1051" s="1941"/>
      <c r="E1051" s="1941"/>
      <c r="F1051" s="1941"/>
      <c r="G1051" s="1941"/>
      <c r="H1051" s="1941"/>
      <c r="I1051" s="1941"/>
      <c r="J1051" s="1941"/>
      <c r="K1051" s="1941"/>
      <c r="L1051" s="1941"/>
      <c r="M1051" s="1941"/>
      <c r="N1051" s="1941"/>
      <c r="O1051" s="1941"/>
      <c r="P1051" s="1941"/>
      <c r="Q1051" s="1941"/>
      <c r="R1051" s="1941"/>
      <c r="S1051" s="1941"/>
      <c r="T1051" s="1941"/>
      <c r="U1051" s="1941"/>
      <c r="V1051" s="1941"/>
      <c r="W1051" s="1941"/>
      <c r="X1051" s="1941"/>
      <c r="Y1051" s="1941"/>
      <c r="Z1051" s="1941"/>
      <c r="AA1051" s="1941"/>
      <c r="AB1051" s="1941"/>
      <c r="AC1051" s="1941"/>
      <c r="AD1051" s="1941"/>
      <c r="AE1051" s="1941"/>
      <c r="AF1051" s="1941"/>
      <c r="AG1051" s="1941"/>
      <c r="AH1051" s="1941"/>
      <c r="AI1051" s="1941"/>
      <c r="AJ1051" s="1941"/>
      <c r="AK1051" s="1941"/>
    </row>
    <row r="1052" spans="1:96" s="671" customFormat="1" ht="12.95" customHeight="1">
      <c r="A1052" s="2095" t="s">
        <v>600</v>
      </c>
      <c r="B1052" s="2095"/>
      <c r="C1052" s="13">
        <v>5</v>
      </c>
      <c r="D1052" s="1941" t="s">
        <v>2557</v>
      </c>
      <c r="E1052" s="1941"/>
      <c r="F1052" s="1941"/>
      <c r="G1052" s="1941"/>
      <c r="H1052" s="1941"/>
      <c r="I1052" s="1941"/>
      <c r="J1052" s="1941"/>
      <c r="K1052" s="1941"/>
      <c r="L1052" s="1941"/>
      <c r="M1052" s="1941"/>
      <c r="N1052" s="1941"/>
      <c r="O1052" s="1941"/>
      <c r="P1052" s="1941"/>
      <c r="Q1052" s="1941"/>
      <c r="R1052" s="1941"/>
      <c r="S1052" s="1941"/>
      <c r="T1052" s="1941"/>
      <c r="U1052" s="1941"/>
      <c r="V1052" s="1941"/>
      <c r="W1052" s="1941"/>
      <c r="X1052" s="1941"/>
      <c r="Y1052" s="1941"/>
      <c r="Z1052" s="1941"/>
      <c r="AA1052" s="1941"/>
      <c r="AB1052" s="1941"/>
      <c r="AC1052" s="1941"/>
      <c r="AD1052" s="1941"/>
      <c r="AE1052" s="1941"/>
      <c r="AF1052" s="1941"/>
      <c r="AG1052" s="1941"/>
      <c r="AH1052" s="1941"/>
      <c r="AI1052" s="1941"/>
      <c r="AJ1052" s="1941"/>
      <c r="AK1052" s="1941"/>
      <c r="AL1052" s="12"/>
      <c r="AM1052" s="39"/>
      <c r="AN1052" s="39"/>
      <c r="AO1052" s="39"/>
      <c r="AP1052" s="39"/>
      <c r="AQ1052" s="39"/>
      <c r="AR1052" s="39"/>
      <c r="AS1052" s="39"/>
      <c r="AT1052" s="39"/>
      <c r="AU1052" s="39"/>
      <c r="AV1052" s="39"/>
      <c r="AW1052" s="39"/>
      <c r="AX1052" s="39"/>
      <c r="AY1052" s="39"/>
      <c r="CR1052" s="25"/>
    </row>
    <row r="1053" spans="1:96" ht="12.95" customHeight="1">
      <c r="A1053" s="234"/>
      <c r="B1053" s="234"/>
      <c r="C1053" s="13"/>
      <c r="D1053" s="1941"/>
      <c r="E1053" s="1941"/>
      <c r="F1053" s="1941"/>
      <c r="G1053" s="1941"/>
      <c r="H1053" s="1941"/>
      <c r="I1053" s="1941"/>
      <c r="J1053" s="1941"/>
      <c r="K1053" s="1941"/>
      <c r="L1053" s="1941"/>
      <c r="M1053" s="1941"/>
      <c r="N1053" s="1941"/>
      <c r="O1053" s="1941"/>
      <c r="P1053" s="1941"/>
      <c r="Q1053" s="1941"/>
      <c r="R1053" s="1941"/>
      <c r="S1053" s="1941"/>
      <c r="T1053" s="1941"/>
      <c r="U1053" s="1941"/>
      <c r="V1053" s="1941"/>
      <c r="W1053" s="1941"/>
      <c r="X1053" s="1941"/>
      <c r="Y1053" s="1941"/>
      <c r="Z1053" s="1941"/>
      <c r="AA1053" s="1941"/>
      <c r="AB1053" s="1941"/>
      <c r="AC1053" s="1941"/>
      <c r="AD1053" s="1941"/>
      <c r="AE1053" s="1941"/>
      <c r="AF1053" s="1941"/>
      <c r="AG1053" s="1941"/>
      <c r="AH1053" s="1941"/>
      <c r="AI1053" s="1941"/>
      <c r="AJ1053" s="1941"/>
      <c r="AK1053" s="1941"/>
    </row>
    <row r="1054" spans="1:96" ht="12.95" customHeight="1">
      <c r="A1054" s="234"/>
      <c r="B1054" s="234"/>
      <c r="C1054" s="13"/>
      <c r="D1054" s="1941"/>
      <c r="E1054" s="1941"/>
      <c r="F1054" s="1941"/>
      <c r="G1054" s="1941"/>
      <c r="H1054" s="1941"/>
      <c r="I1054" s="1941"/>
      <c r="J1054" s="1941"/>
      <c r="K1054" s="1941"/>
      <c r="L1054" s="1941"/>
      <c r="M1054" s="1941"/>
      <c r="N1054" s="1941"/>
      <c r="O1054" s="1941"/>
      <c r="P1054" s="1941"/>
      <c r="Q1054" s="1941"/>
      <c r="R1054" s="1941"/>
      <c r="S1054" s="1941"/>
      <c r="T1054" s="1941"/>
      <c r="U1054" s="1941"/>
      <c r="V1054" s="1941"/>
      <c r="W1054" s="1941"/>
      <c r="X1054" s="1941"/>
      <c r="Y1054" s="1941"/>
      <c r="Z1054" s="1941"/>
      <c r="AA1054" s="1941"/>
      <c r="AB1054" s="1941"/>
      <c r="AC1054" s="1941"/>
      <c r="AD1054" s="1941"/>
      <c r="AE1054" s="1941"/>
      <c r="AF1054" s="1941"/>
      <c r="AG1054" s="1941"/>
      <c r="AH1054" s="1941"/>
      <c r="AI1054" s="1941"/>
      <c r="AJ1054" s="1941"/>
      <c r="AK1054" s="1941"/>
    </row>
    <row r="1055" spans="1:96" ht="12.95" hidden="1" customHeight="1">
      <c r="A1055" s="234"/>
      <c r="B1055" s="234"/>
      <c r="C1055" s="13"/>
      <c r="D1055" s="1941"/>
      <c r="E1055" s="1941"/>
      <c r="F1055" s="1941"/>
      <c r="G1055" s="1941"/>
      <c r="H1055" s="1941"/>
      <c r="I1055" s="1941"/>
      <c r="J1055" s="1941"/>
      <c r="K1055" s="1941"/>
      <c r="L1055" s="1941"/>
      <c r="M1055" s="1941"/>
      <c r="N1055" s="1941"/>
      <c r="O1055" s="1941"/>
      <c r="P1055" s="1941"/>
      <c r="Q1055" s="1941"/>
      <c r="R1055" s="1941"/>
      <c r="S1055" s="1941"/>
      <c r="T1055" s="1941"/>
      <c r="U1055" s="1941"/>
      <c r="V1055" s="1941"/>
      <c r="W1055" s="1941"/>
      <c r="X1055" s="1941"/>
      <c r="Y1055" s="1941"/>
      <c r="Z1055" s="1941"/>
      <c r="AA1055" s="1941"/>
      <c r="AB1055" s="1941"/>
      <c r="AC1055" s="1941"/>
      <c r="AD1055" s="1941"/>
      <c r="AE1055" s="1941"/>
      <c r="AF1055" s="1941"/>
      <c r="AG1055" s="1941"/>
      <c r="AH1055" s="1941"/>
      <c r="AI1055" s="1941"/>
      <c r="AJ1055" s="1941"/>
      <c r="AK1055" s="1941"/>
      <c r="AL1055" s="671"/>
    </row>
    <row r="1056" spans="1:96" ht="12.95" customHeight="1">
      <c r="A1056" s="62"/>
      <c r="B1056" s="66"/>
      <c r="C1056" s="13"/>
      <c r="D1056" s="1941"/>
      <c r="E1056" s="1941"/>
      <c r="F1056" s="1941"/>
      <c r="G1056" s="1941"/>
      <c r="H1056" s="1941"/>
      <c r="I1056" s="1941"/>
      <c r="J1056" s="1941"/>
      <c r="K1056" s="1941"/>
      <c r="L1056" s="1941"/>
      <c r="M1056" s="1941"/>
      <c r="N1056" s="1941"/>
      <c r="O1056" s="1941"/>
      <c r="P1056" s="1941"/>
      <c r="Q1056" s="1941"/>
      <c r="R1056" s="1941"/>
      <c r="S1056" s="1941"/>
      <c r="T1056" s="1941"/>
      <c r="U1056" s="1941"/>
      <c r="V1056" s="1941"/>
      <c r="W1056" s="1941"/>
      <c r="X1056" s="1941"/>
      <c r="Y1056" s="1941"/>
      <c r="Z1056" s="1941"/>
      <c r="AA1056" s="1941"/>
      <c r="AB1056" s="1941"/>
      <c r="AC1056" s="1941"/>
      <c r="AD1056" s="1941"/>
      <c r="AE1056" s="1941"/>
      <c r="AF1056" s="1941"/>
      <c r="AG1056" s="1941"/>
      <c r="AH1056" s="1941"/>
      <c r="AI1056" s="1941"/>
      <c r="AJ1056" s="1941"/>
      <c r="AK1056" s="1941"/>
    </row>
    <row r="1057" spans="1:96" ht="12.95" customHeight="1">
      <c r="A1057" s="2095" t="s">
        <v>600</v>
      </c>
      <c r="B1057" s="2095"/>
      <c r="C1057" s="13">
        <v>6</v>
      </c>
      <c r="D1057" s="1941" t="s">
        <v>1155</v>
      </c>
      <c r="E1057" s="1941"/>
      <c r="F1057" s="1941"/>
      <c r="G1057" s="1941"/>
      <c r="H1057" s="1941"/>
      <c r="I1057" s="1941"/>
      <c r="J1057" s="1941"/>
      <c r="K1057" s="1941"/>
      <c r="L1057" s="1941"/>
      <c r="M1057" s="1941"/>
      <c r="N1057" s="1941"/>
      <c r="O1057" s="1941"/>
      <c r="P1057" s="1941"/>
      <c r="Q1057" s="1941"/>
      <c r="R1057" s="1941"/>
      <c r="S1057" s="1941"/>
      <c r="T1057" s="1941"/>
      <c r="U1057" s="1941"/>
      <c r="V1057" s="1941"/>
      <c r="W1057" s="1941"/>
      <c r="X1057" s="1941"/>
      <c r="Y1057" s="1941"/>
      <c r="Z1057" s="1941"/>
      <c r="AA1057" s="1941"/>
      <c r="AB1057" s="1941"/>
      <c r="AC1057" s="1941"/>
      <c r="AD1057" s="1941"/>
      <c r="AE1057" s="1941"/>
      <c r="AF1057" s="1941"/>
      <c r="AG1057" s="1941"/>
      <c r="AH1057" s="1941"/>
      <c r="AI1057" s="1941"/>
      <c r="AJ1057" s="1941"/>
      <c r="AK1057" s="1941"/>
    </row>
    <row r="1058" spans="1:96" ht="12.95" customHeight="1">
      <c r="A1058" s="62"/>
      <c r="B1058" s="316"/>
      <c r="C1058" s="13"/>
      <c r="D1058" s="1941"/>
      <c r="E1058" s="1941"/>
      <c r="F1058" s="1941"/>
      <c r="G1058" s="1941"/>
      <c r="H1058" s="1941"/>
      <c r="I1058" s="1941"/>
      <c r="J1058" s="1941"/>
      <c r="K1058" s="1941"/>
      <c r="L1058" s="1941"/>
      <c r="M1058" s="1941"/>
      <c r="N1058" s="1941"/>
      <c r="O1058" s="1941"/>
      <c r="P1058" s="1941"/>
      <c r="Q1058" s="1941"/>
      <c r="R1058" s="1941"/>
      <c r="S1058" s="1941"/>
      <c r="T1058" s="1941"/>
      <c r="U1058" s="1941"/>
      <c r="V1058" s="1941"/>
      <c r="W1058" s="1941"/>
      <c r="X1058" s="1941"/>
      <c r="Y1058" s="1941"/>
      <c r="Z1058" s="1941"/>
      <c r="AA1058" s="1941"/>
      <c r="AB1058" s="1941"/>
      <c r="AC1058" s="1941"/>
      <c r="AD1058" s="1941"/>
      <c r="AE1058" s="1941"/>
      <c r="AF1058" s="1941"/>
      <c r="AG1058" s="1941"/>
      <c r="AH1058" s="1941"/>
      <c r="AI1058" s="1941"/>
      <c r="AJ1058" s="1941"/>
      <c r="AK1058" s="1941"/>
    </row>
    <row r="1059" spans="1:96" ht="12.95" customHeight="1">
      <c r="A1059" s="62"/>
      <c r="B1059" s="66"/>
      <c r="C1059" s="13"/>
      <c r="D1059" s="1941"/>
      <c r="E1059" s="1941"/>
      <c r="F1059" s="1941"/>
      <c r="G1059" s="1941"/>
      <c r="H1059" s="1941"/>
      <c r="I1059" s="1941"/>
      <c r="J1059" s="1941"/>
      <c r="K1059" s="1941"/>
      <c r="L1059" s="1941"/>
      <c r="M1059" s="1941"/>
      <c r="N1059" s="1941"/>
      <c r="O1059" s="1941"/>
      <c r="P1059" s="1941"/>
      <c r="Q1059" s="1941"/>
      <c r="R1059" s="1941"/>
      <c r="S1059" s="1941"/>
      <c r="T1059" s="1941"/>
      <c r="U1059" s="1941"/>
      <c r="V1059" s="1941"/>
      <c r="W1059" s="1941"/>
      <c r="X1059" s="1941"/>
      <c r="Y1059" s="1941"/>
      <c r="Z1059" s="1941"/>
      <c r="AA1059" s="1941"/>
      <c r="AB1059" s="1941"/>
      <c r="AC1059" s="1941"/>
      <c r="AD1059" s="1941"/>
      <c r="AE1059" s="1941"/>
      <c r="AF1059" s="1941"/>
      <c r="AG1059" s="1941"/>
      <c r="AH1059" s="1941"/>
      <c r="AI1059" s="1941"/>
      <c r="AJ1059" s="1941"/>
      <c r="AK1059" s="1941"/>
    </row>
    <row r="1060" spans="1:96" ht="12.95" customHeight="1">
      <c r="A1060" s="2095" t="s">
        <v>600</v>
      </c>
      <c r="B1060" s="2095"/>
      <c r="C1060" s="317">
        <v>7</v>
      </c>
      <c r="D1060" s="1941" t="s">
        <v>1157</v>
      </c>
      <c r="E1060" s="1941"/>
      <c r="F1060" s="1941"/>
      <c r="G1060" s="1941"/>
      <c r="H1060" s="1941"/>
      <c r="I1060" s="1941"/>
      <c r="J1060" s="1941"/>
      <c r="K1060" s="1941"/>
      <c r="L1060" s="1941"/>
      <c r="M1060" s="1941"/>
      <c r="N1060" s="1941"/>
      <c r="O1060" s="1941"/>
      <c r="P1060" s="1941"/>
      <c r="Q1060" s="1941"/>
      <c r="R1060" s="1941"/>
      <c r="S1060" s="1941"/>
      <c r="T1060" s="1941"/>
      <c r="U1060" s="1941"/>
      <c r="V1060" s="1941"/>
      <c r="W1060" s="1941"/>
      <c r="X1060" s="1941"/>
      <c r="Y1060" s="1941"/>
      <c r="Z1060" s="1941"/>
      <c r="AA1060" s="1941"/>
      <c r="AB1060" s="1941"/>
      <c r="AC1060" s="1941"/>
      <c r="AD1060" s="1941"/>
      <c r="AE1060" s="1941"/>
      <c r="AF1060" s="1941"/>
      <c r="AG1060" s="1941"/>
      <c r="AH1060" s="1941"/>
      <c r="AI1060" s="1941"/>
      <c r="AJ1060" s="1941"/>
      <c r="AK1060" s="1941"/>
      <c r="AL1060" s="32"/>
      <c r="AM1060" s="1398"/>
      <c r="AN1060" s="1398"/>
      <c r="AO1060" s="1398"/>
      <c r="AP1060" s="1398"/>
      <c r="AQ1060" s="1398"/>
      <c r="AR1060" s="1398"/>
      <c r="AS1060" s="1398"/>
      <c r="AT1060" s="1398"/>
      <c r="AU1060" s="1398"/>
      <c r="AV1060" s="1398"/>
      <c r="AW1060" s="1398"/>
      <c r="AX1060" s="1398"/>
      <c r="AY1060" s="1398"/>
    </row>
    <row r="1061" spans="1:96" ht="12.95" customHeight="1">
      <c r="A1061" s="234"/>
      <c r="B1061" s="234"/>
      <c r="C1061" s="318"/>
      <c r="D1061" s="1941"/>
      <c r="E1061" s="1941"/>
      <c r="F1061" s="1941"/>
      <c r="G1061" s="1941"/>
      <c r="H1061" s="1941"/>
      <c r="I1061" s="1941"/>
      <c r="J1061" s="1941"/>
      <c r="K1061" s="1941"/>
      <c r="L1061" s="1941"/>
      <c r="M1061" s="1941"/>
      <c r="N1061" s="1941"/>
      <c r="O1061" s="1941"/>
      <c r="P1061" s="1941"/>
      <c r="Q1061" s="1941"/>
      <c r="R1061" s="1941"/>
      <c r="S1061" s="1941"/>
      <c r="T1061" s="1941"/>
      <c r="U1061" s="1941"/>
      <c r="V1061" s="1941"/>
      <c r="W1061" s="1941"/>
      <c r="X1061" s="1941"/>
      <c r="Y1061" s="1941"/>
      <c r="Z1061" s="1941"/>
      <c r="AA1061" s="1941"/>
      <c r="AB1061" s="1941"/>
      <c r="AC1061" s="1941"/>
      <c r="AD1061" s="1941"/>
      <c r="AE1061" s="1941"/>
      <c r="AF1061" s="1941"/>
      <c r="AG1061" s="1941"/>
      <c r="AH1061" s="1941"/>
      <c r="AI1061" s="1941"/>
      <c r="AJ1061" s="1941"/>
      <c r="AK1061" s="1941"/>
    </row>
    <row r="1062" spans="1:96" ht="12.95" customHeight="1">
      <c r="A1062" s="234"/>
      <c r="B1062" s="234"/>
      <c r="C1062" s="318"/>
      <c r="D1062" s="1941"/>
      <c r="E1062" s="1941"/>
      <c r="F1062" s="1941"/>
      <c r="G1062" s="1941"/>
      <c r="H1062" s="1941"/>
      <c r="I1062" s="1941"/>
      <c r="J1062" s="1941"/>
      <c r="K1062" s="1941"/>
      <c r="L1062" s="1941"/>
      <c r="M1062" s="1941"/>
      <c r="N1062" s="1941"/>
      <c r="O1062" s="1941"/>
      <c r="P1062" s="1941"/>
      <c r="Q1062" s="1941"/>
      <c r="R1062" s="1941"/>
      <c r="S1062" s="1941"/>
      <c r="T1062" s="1941"/>
      <c r="U1062" s="1941"/>
      <c r="V1062" s="1941"/>
      <c r="W1062" s="1941"/>
      <c r="X1062" s="1941"/>
      <c r="Y1062" s="1941"/>
      <c r="Z1062" s="1941"/>
      <c r="AA1062" s="1941"/>
      <c r="AB1062" s="1941"/>
      <c r="AC1062" s="1941"/>
      <c r="AD1062" s="1941"/>
      <c r="AE1062" s="1941"/>
      <c r="AF1062" s="1941"/>
      <c r="AG1062" s="1941"/>
      <c r="AH1062" s="1941"/>
      <c r="AI1062" s="1941"/>
      <c r="AJ1062" s="1941"/>
      <c r="AK1062" s="1941"/>
    </row>
    <row r="1063" spans="1:96" s="671" customFormat="1" ht="12.95" customHeight="1">
      <c r="A1063" s="62"/>
      <c r="B1063" s="66"/>
      <c r="C1063" s="317"/>
      <c r="D1063" s="1941"/>
      <c r="E1063" s="1941"/>
      <c r="F1063" s="1941"/>
      <c r="G1063" s="1941"/>
      <c r="H1063" s="1941"/>
      <c r="I1063" s="1941"/>
      <c r="J1063" s="1941"/>
      <c r="K1063" s="1941"/>
      <c r="L1063" s="1941"/>
      <c r="M1063" s="1941"/>
      <c r="N1063" s="1941"/>
      <c r="O1063" s="1941"/>
      <c r="P1063" s="1941"/>
      <c r="Q1063" s="1941"/>
      <c r="R1063" s="1941"/>
      <c r="S1063" s="1941"/>
      <c r="T1063" s="1941"/>
      <c r="U1063" s="1941"/>
      <c r="V1063" s="1941"/>
      <c r="W1063" s="1941"/>
      <c r="X1063" s="1941"/>
      <c r="Y1063" s="1941"/>
      <c r="Z1063" s="1941"/>
      <c r="AA1063" s="1941"/>
      <c r="AB1063" s="1941"/>
      <c r="AC1063" s="1941"/>
      <c r="AD1063" s="1941"/>
      <c r="AE1063" s="1941"/>
      <c r="AF1063" s="1941"/>
      <c r="AG1063" s="1941"/>
      <c r="AH1063" s="1941"/>
      <c r="AI1063" s="1941"/>
      <c r="AJ1063" s="1941"/>
      <c r="AK1063" s="1941"/>
      <c r="AL1063" s="12"/>
      <c r="AM1063" s="39"/>
      <c r="AN1063" s="39"/>
      <c r="AO1063" s="39"/>
      <c r="AP1063" s="39"/>
      <c r="AQ1063" s="39"/>
      <c r="AR1063" s="39"/>
      <c r="AS1063" s="39"/>
      <c r="AT1063" s="39"/>
      <c r="AU1063" s="39"/>
      <c r="AV1063" s="39"/>
      <c r="AW1063" s="39"/>
      <c r="AX1063" s="39"/>
      <c r="AY1063" s="39"/>
      <c r="CR1063" s="25"/>
    </row>
    <row r="1064" spans="1:96" ht="12.95" customHeight="1">
      <c r="A1064" s="2095" t="s">
        <v>600</v>
      </c>
      <c r="B1064" s="2095"/>
      <c r="C1064" s="317">
        <v>8</v>
      </c>
      <c r="D1064" s="2451" t="s">
        <v>1936</v>
      </c>
      <c r="E1064" s="2451"/>
      <c r="F1064" s="2451"/>
      <c r="G1064" s="2451"/>
      <c r="H1064" s="2451"/>
      <c r="I1064" s="2451"/>
      <c r="J1064" s="2451"/>
      <c r="K1064" s="2451"/>
      <c r="L1064" s="2451"/>
      <c r="M1064" s="2451"/>
      <c r="N1064" s="2451"/>
      <c r="O1064" s="2451"/>
      <c r="P1064" s="2451"/>
      <c r="Q1064" s="2451"/>
      <c r="R1064" s="2451"/>
      <c r="S1064" s="2451"/>
      <c r="T1064" s="2451"/>
      <c r="U1064" s="2451"/>
      <c r="V1064" s="2451"/>
      <c r="W1064" s="2451"/>
      <c r="X1064" s="2451"/>
      <c r="Y1064" s="2451"/>
      <c r="Z1064" s="2451"/>
      <c r="AA1064" s="2451"/>
      <c r="AB1064" s="2451"/>
      <c r="AC1064" s="2451"/>
      <c r="AD1064" s="2451"/>
      <c r="AE1064" s="2451"/>
      <c r="AF1064" s="2451"/>
      <c r="AG1064" s="2451"/>
      <c r="AH1064" s="2451"/>
      <c r="AI1064" s="2451"/>
      <c r="AJ1064" s="2451"/>
      <c r="AK1064" s="2451"/>
    </row>
    <row r="1065" spans="1:96" ht="12.95" customHeight="1">
      <c r="A1065" s="234"/>
      <c r="B1065" s="234"/>
      <c r="C1065" s="317"/>
      <c r="D1065" s="2451"/>
      <c r="E1065" s="2451"/>
      <c r="F1065" s="2451"/>
      <c r="G1065" s="2451"/>
      <c r="H1065" s="2451"/>
      <c r="I1065" s="2451"/>
      <c r="J1065" s="2451"/>
      <c r="K1065" s="2451"/>
      <c r="L1065" s="2451"/>
      <c r="M1065" s="2451"/>
      <c r="N1065" s="2451"/>
      <c r="O1065" s="2451"/>
      <c r="P1065" s="2451"/>
      <c r="Q1065" s="2451"/>
      <c r="R1065" s="2451"/>
      <c r="S1065" s="2451"/>
      <c r="T1065" s="2451"/>
      <c r="U1065" s="2451"/>
      <c r="V1065" s="2451"/>
      <c r="W1065" s="2451"/>
      <c r="X1065" s="2451"/>
      <c r="Y1065" s="2451"/>
      <c r="Z1065" s="2451"/>
      <c r="AA1065" s="2451"/>
      <c r="AB1065" s="2451"/>
      <c r="AC1065" s="2451"/>
      <c r="AD1065" s="2451"/>
      <c r="AE1065" s="2451"/>
      <c r="AF1065" s="2451"/>
      <c r="AG1065" s="2451"/>
      <c r="AH1065" s="2451"/>
      <c r="AI1065" s="2451"/>
      <c r="AJ1065" s="2451"/>
      <c r="AK1065" s="2451"/>
    </row>
    <row r="1066" spans="1:96" ht="12.95" customHeight="1">
      <c r="A1066" s="234"/>
      <c r="B1066" s="234"/>
      <c r="C1066" s="317"/>
      <c r="D1066" s="2451"/>
      <c r="E1066" s="2451"/>
      <c r="F1066" s="2451"/>
      <c r="G1066" s="2451"/>
      <c r="H1066" s="2451"/>
      <c r="I1066" s="2451"/>
      <c r="J1066" s="2451"/>
      <c r="K1066" s="2451"/>
      <c r="L1066" s="2451"/>
      <c r="M1066" s="2451"/>
      <c r="N1066" s="2451"/>
      <c r="O1066" s="2451"/>
      <c r="P1066" s="2451"/>
      <c r="Q1066" s="2451"/>
      <c r="R1066" s="2451"/>
      <c r="S1066" s="2451"/>
      <c r="T1066" s="2451"/>
      <c r="U1066" s="2451"/>
      <c r="V1066" s="2451"/>
      <c r="W1066" s="2451"/>
      <c r="X1066" s="2451"/>
      <c r="Y1066" s="2451"/>
      <c r="Z1066" s="2451"/>
      <c r="AA1066" s="2451"/>
      <c r="AB1066" s="2451"/>
      <c r="AC1066" s="2451"/>
      <c r="AD1066" s="2451"/>
      <c r="AE1066" s="2451"/>
      <c r="AF1066" s="2451"/>
      <c r="AG1066" s="2451"/>
      <c r="AH1066" s="2451"/>
      <c r="AI1066" s="2451"/>
      <c r="AJ1066" s="2451"/>
      <c r="AK1066" s="2451"/>
      <c r="AL1066" s="671"/>
    </row>
    <row r="1067" spans="1:96" ht="12.95" customHeight="1">
      <c r="A1067" s="62"/>
      <c r="B1067" s="66"/>
      <c r="C1067" s="317"/>
      <c r="D1067" s="2451"/>
      <c r="E1067" s="2451"/>
      <c r="F1067" s="2451"/>
      <c r="G1067" s="2451"/>
      <c r="H1067" s="2451"/>
      <c r="I1067" s="2451"/>
      <c r="J1067" s="2451"/>
      <c r="K1067" s="2451"/>
      <c r="L1067" s="2451"/>
      <c r="M1067" s="2451"/>
      <c r="N1067" s="2451"/>
      <c r="O1067" s="2451"/>
      <c r="P1067" s="2451"/>
      <c r="Q1067" s="2451"/>
      <c r="R1067" s="2451"/>
      <c r="S1067" s="2451"/>
      <c r="T1067" s="2451"/>
      <c r="U1067" s="2451"/>
      <c r="V1067" s="2451"/>
      <c r="W1067" s="2451"/>
      <c r="X1067" s="2451"/>
      <c r="Y1067" s="2451"/>
      <c r="Z1067" s="2451"/>
      <c r="AA1067" s="2451"/>
      <c r="AB1067" s="2451"/>
      <c r="AC1067" s="2451"/>
      <c r="AD1067" s="2451"/>
      <c r="AE1067" s="2451"/>
      <c r="AF1067" s="2451"/>
      <c r="AG1067" s="2451"/>
      <c r="AH1067" s="2451"/>
      <c r="AI1067" s="2451"/>
      <c r="AJ1067" s="2451"/>
      <c r="AK1067" s="2451"/>
    </row>
    <row r="1068" spans="1:96" ht="12.95" customHeight="1">
      <c r="A1068" s="2095" t="s">
        <v>600</v>
      </c>
      <c r="B1068" s="2095"/>
      <c r="C1068" s="317">
        <v>9</v>
      </c>
      <c r="D1068" s="1941" t="s">
        <v>1156</v>
      </c>
      <c r="E1068" s="1941"/>
      <c r="F1068" s="1941"/>
      <c r="G1068" s="1941"/>
      <c r="H1068" s="1941"/>
      <c r="I1068" s="1941"/>
      <c r="J1068" s="1941"/>
      <c r="K1068" s="1941"/>
      <c r="L1068" s="1941"/>
      <c r="M1068" s="1941"/>
      <c r="N1068" s="1941"/>
      <c r="O1068" s="1941"/>
      <c r="P1068" s="1941"/>
      <c r="Q1068" s="1941"/>
      <c r="R1068" s="1941"/>
      <c r="S1068" s="1941"/>
      <c r="T1068" s="1941"/>
      <c r="U1068" s="1941"/>
      <c r="V1068" s="1941"/>
      <c r="W1068" s="1941"/>
      <c r="X1068" s="1941"/>
      <c r="Y1068" s="1941"/>
      <c r="Z1068" s="1941"/>
      <c r="AA1068" s="1941"/>
      <c r="AB1068" s="1941"/>
      <c r="AC1068" s="1941"/>
      <c r="AD1068" s="1941"/>
      <c r="AE1068" s="1941"/>
      <c r="AF1068" s="1941"/>
      <c r="AG1068" s="1941"/>
      <c r="AH1068" s="1941"/>
      <c r="AI1068" s="1941"/>
      <c r="AJ1068" s="1941"/>
      <c r="AK1068" s="1941"/>
    </row>
    <row r="1069" spans="1:96" ht="12.95" customHeight="1">
      <c r="A1069" s="62"/>
      <c r="B1069" s="66"/>
      <c r="C1069" s="317"/>
      <c r="D1069" s="1941"/>
      <c r="E1069" s="1941"/>
      <c r="F1069" s="1941"/>
      <c r="G1069" s="1941"/>
      <c r="H1069" s="1941"/>
      <c r="I1069" s="1941"/>
      <c r="J1069" s="1941"/>
      <c r="K1069" s="1941"/>
      <c r="L1069" s="1941"/>
      <c r="M1069" s="1941"/>
      <c r="N1069" s="1941"/>
      <c r="O1069" s="1941"/>
      <c r="P1069" s="1941"/>
      <c r="Q1069" s="1941"/>
      <c r="R1069" s="1941"/>
      <c r="S1069" s="1941"/>
      <c r="T1069" s="1941"/>
      <c r="U1069" s="1941"/>
      <c r="V1069" s="1941"/>
      <c r="W1069" s="1941"/>
      <c r="X1069" s="1941"/>
      <c r="Y1069" s="1941"/>
      <c r="Z1069" s="1941"/>
      <c r="AA1069" s="1941"/>
      <c r="AB1069" s="1941"/>
      <c r="AC1069" s="1941"/>
      <c r="AD1069" s="1941"/>
      <c r="AE1069" s="1941"/>
      <c r="AF1069" s="1941"/>
      <c r="AG1069" s="1941"/>
      <c r="AH1069" s="1941"/>
      <c r="AI1069" s="1941"/>
      <c r="AJ1069" s="1941"/>
      <c r="AK1069" s="1941"/>
    </row>
    <row r="1070" spans="1:96" ht="12.95" customHeight="1">
      <c r="D1070" s="1941"/>
      <c r="E1070" s="1941"/>
      <c r="F1070" s="1941"/>
      <c r="G1070" s="1941"/>
      <c r="H1070" s="1941"/>
      <c r="I1070" s="1941"/>
      <c r="J1070" s="1941"/>
      <c r="K1070" s="1941"/>
      <c r="L1070" s="1941"/>
      <c r="M1070" s="1941"/>
      <c r="N1070" s="1941"/>
      <c r="O1070" s="1941"/>
      <c r="P1070" s="1941"/>
      <c r="Q1070" s="1941"/>
      <c r="R1070" s="1941"/>
      <c r="S1070" s="1941"/>
      <c r="T1070" s="1941"/>
      <c r="U1070" s="1941"/>
      <c r="V1070" s="1941"/>
      <c r="W1070" s="1941"/>
      <c r="X1070" s="1941"/>
      <c r="Y1070" s="1941"/>
      <c r="Z1070" s="1941"/>
      <c r="AA1070" s="1941"/>
      <c r="AB1070" s="1941"/>
      <c r="AC1070" s="1941"/>
      <c r="AD1070" s="1941"/>
      <c r="AE1070" s="1941"/>
      <c r="AF1070" s="1941"/>
      <c r="AG1070" s="1941"/>
      <c r="AH1070" s="1941"/>
      <c r="AI1070" s="1941"/>
      <c r="AJ1070" s="1941"/>
      <c r="AK1070" s="1941"/>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79">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W626:Y626"/>
    <mergeCell ref="W627:Y627"/>
    <mergeCell ref="W630:Y630"/>
    <mergeCell ref="W631:Y631"/>
    <mergeCell ref="W632:Y632"/>
    <mergeCell ref="W633:Y633"/>
    <mergeCell ref="W634:Y634"/>
    <mergeCell ref="C555:L555"/>
    <mergeCell ref="M555:P555"/>
    <mergeCell ref="C556:L556"/>
    <mergeCell ref="M556:P556"/>
    <mergeCell ref="C557:L557"/>
    <mergeCell ref="W620:Y622"/>
    <mergeCell ref="T620:V622"/>
    <mergeCell ref="C558:L558"/>
    <mergeCell ref="M558:P558"/>
    <mergeCell ref="C559:L559"/>
    <mergeCell ref="M559:P559"/>
    <mergeCell ref="C560:L560"/>
    <mergeCell ref="M560:P560"/>
    <mergeCell ref="C561:L561"/>
    <mergeCell ref="M561:P561"/>
    <mergeCell ref="B620:L622"/>
    <mergeCell ref="C623:L623"/>
    <mergeCell ref="C631:L631"/>
    <mergeCell ref="C632:L632"/>
    <mergeCell ref="C633:L633"/>
    <mergeCell ref="C634:L634"/>
    <mergeCell ref="P609:R609"/>
    <mergeCell ref="G573:R573"/>
    <mergeCell ref="W556:Y556"/>
    <mergeCell ref="T623:V623"/>
    <mergeCell ref="G600:R600"/>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I683:AK683"/>
    <mergeCell ref="AA676:AK67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X716:AB716"/>
    <mergeCell ref="X710:AB713"/>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A942:AG942"/>
    <mergeCell ref="M928:S928"/>
    <mergeCell ref="W862:AC862"/>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AE929:AK929"/>
    <mergeCell ref="M943:S943"/>
    <mergeCell ref="M942:S942"/>
    <mergeCell ref="M931:S931"/>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39:J739"/>
    <mergeCell ref="B739:F739"/>
    <mergeCell ref="G726:J726"/>
    <mergeCell ref="X726:AB726"/>
    <mergeCell ref="X727:AB727"/>
    <mergeCell ref="T731:W731"/>
    <mergeCell ref="B738:F738"/>
    <mergeCell ref="G735:J735"/>
    <mergeCell ref="AC739:AG739"/>
    <mergeCell ref="O739:S739"/>
    <mergeCell ref="B734:F734"/>
    <mergeCell ref="AC734:AG734"/>
    <mergeCell ref="X731:AB731"/>
    <mergeCell ref="X732:AB732"/>
    <mergeCell ref="X733:AB733"/>
    <mergeCell ref="T732:W732"/>
    <mergeCell ref="T733:W733"/>
    <mergeCell ref="AH726:AJ726"/>
    <mergeCell ref="Z798:AE798"/>
    <mergeCell ref="W829:AC829"/>
    <mergeCell ref="U914:Z914"/>
    <mergeCell ref="AG807:AJ808"/>
    <mergeCell ref="W838:AC838"/>
    <mergeCell ref="W846:AC846"/>
    <mergeCell ref="A949:AS950"/>
    <mergeCell ref="O728:S728"/>
    <mergeCell ref="O729:S729"/>
    <mergeCell ref="X762:AB762"/>
    <mergeCell ref="X754:AB757"/>
    <mergeCell ref="K736:N736"/>
    <mergeCell ref="X728:AB728"/>
    <mergeCell ref="T754:W757"/>
    <mergeCell ref="AC778:AG778"/>
    <mergeCell ref="X760:AB760"/>
    <mergeCell ref="X761:AB761"/>
    <mergeCell ref="K730:N730"/>
    <mergeCell ref="K731:N731"/>
    <mergeCell ref="K732:N732"/>
    <mergeCell ref="K733:N733"/>
    <mergeCell ref="W855:AC855"/>
    <mergeCell ref="M815:P815"/>
    <mergeCell ref="B730:F730"/>
    <mergeCell ref="B732:F732"/>
    <mergeCell ref="B733:F733"/>
    <mergeCell ref="B731:F731"/>
    <mergeCell ref="B729:F729"/>
    <mergeCell ref="O737:S737"/>
    <mergeCell ref="B727:F727"/>
    <mergeCell ref="B726:F72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AF630:AJ630"/>
    <mergeCell ref="G568:L568"/>
    <mergeCell ref="R957:AA957"/>
    <mergeCell ref="R958:AA95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0:AJ720"/>
    <mergeCell ref="T716:W716"/>
    <mergeCell ref="K716:N716"/>
    <mergeCell ref="AH722:AJ722"/>
    <mergeCell ref="G715:J715"/>
    <mergeCell ref="AC723:AG723"/>
    <mergeCell ref="AC724:AG724"/>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30:AJ730"/>
    <mergeCell ref="O720:S720"/>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G725:J725"/>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D744:AF744"/>
    <mergeCell ref="B725:F725"/>
    <mergeCell ref="T725:W725"/>
    <mergeCell ref="P651:R651"/>
    <mergeCell ref="G647:R647"/>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J927:S927"/>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AA334:AK334"/>
    <mergeCell ref="N371:Q371"/>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H287:R287"/>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H644:R644"/>
    <mergeCell ref="BI609:BJ609"/>
    <mergeCell ref="BI608:BJ608"/>
    <mergeCell ref="BS636:BW636"/>
    <mergeCell ref="BK610:BL610"/>
    <mergeCell ref="BN599:BR599"/>
    <mergeCell ref="BN627:BR627"/>
    <mergeCell ref="AF625:AJ625"/>
    <mergeCell ref="BX609:CB609"/>
    <mergeCell ref="BN613:BR613"/>
    <mergeCell ref="CH614:CL614"/>
    <mergeCell ref="CH602:CL602"/>
    <mergeCell ref="CS607:CW607"/>
    <mergeCell ref="BG610:BH610"/>
    <mergeCell ref="AO634:AS634"/>
    <mergeCell ref="AO629:AS629"/>
    <mergeCell ref="CM605:CQ605"/>
    <mergeCell ref="CM606:CQ606"/>
    <mergeCell ref="CM600:CQ600"/>
    <mergeCell ref="CM601:CQ601"/>
    <mergeCell ref="CM602:CQ602"/>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AO624:AS624"/>
    <mergeCell ref="AO627:AS627"/>
    <mergeCell ref="BN630:BR630"/>
    <mergeCell ref="CH611:CL611"/>
    <mergeCell ref="CH612:CL612"/>
    <mergeCell ref="CH610:CL610"/>
    <mergeCell ref="AO636:AS636"/>
    <mergeCell ref="CM611:CQ611"/>
    <mergeCell ref="CM612:CQ612"/>
    <mergeCell ref="CM613:CQ613"/>
    <mergeCell ref="CM614:CQ614"/>
    <mergeCell ref="CM615:CQ615"/>
    <mergeCell ref="CM616:CQ616"/>
    <mergeCell ref="CM617:CQ617"/>
    <mergeCell ref="BE614:BF614"/>
    <mergeCell ref="BG618:BH618"/>
    <mergeCell ref="BX615:CB615"/>
    <mergeCell ref="CC615:CG615"/>
    <mergeCell ref="BX617:CB617"/>
    <mergeCell ref="CC617:CG617"/>
    <mergeCell ref="CH617:CL617"/>
    <mergeCell ref="BI618:BJ618"/>
    <mergeCell ref="CC620:CG620"/>
    <mergeCell ref="CC611:CG611"/>
    <mergeCell ref="BS613:BW613"/>
    <mergeCell ref="BN634:BR634"/>
    <mergeCell ref="BX619:CB619"/>
    <mergeCell ref="BG619:BH619"/>
    <mergeCell ref="BX610:CB610"/>
    <mergeCell ref="BX613:CB613"/>
    <mergeCell ref="BS612:BW612"/>
    <mergeCell ref="BI610:BJ610"/>
    <mergeCell ref="BX611:CB611"/>
    <mergeCell ref="BX614:CB614"/>
    <mergeCell ref="CH615:CL615"/>
    <mergeCell ref="AI643:AK643"/>
    <mergeCell ref="AO620:AS622"/>
    <mergeCell ref="T715:W715"/>
    <mergeCell ref="G710:J713"/>
    <mergeCell ref="K710:N713"/>
    <mergeCell ref="CC614:CG614"/>
    <mergeCell ref="BK618:BL618"/>
    <mergeCell ref="BK613:BL613"/>
    <mergeCell ref="BI612:BJ612"/>
    <mergeCell ref="BK612:BL612"/>
    <mergeCell ref="BS610:BW610"/>
    <mergeCell ref="N611:O611"/>
    <mergeCell ref="AK625:AN625"/>
    <mergeCell ref="BI619:BJ619"/>
    <mergeCell ref="BS628:BW628"/>
    <mergeCell ref="BN635:BR635"/>
    <mergeCell ref="BE616:BF616"/>
    <mergeCell ref="AA610:AK610"/>
    <mergeCell ref="G639:R639"/>
    <mergeCell ref="BI611:BJ611"/>
    <mergeCell ref="BK611:BL611"/>
    <mergeCell ref="BG611:BH611"/>
    <mergeCell ref="BN611:BR611"/>
    <mergeCell ref="AA644:AK644"/>
    <mergeCell ref="N645:O645"/>
    <mergeCell ref="G640:R640"/>
    <mergeCell ref="BI613:BJ613"/>
    <mergeCell ref="AC625:AE625"/>
    <mergeCell ref="AG611:AH611"/>
    <mergeCell ref="BS619:BW619"/>
    <mergeCell ref="BN628:BR628"/>
    <mergeCell ref="BN629:BR629"/>
    <mergeCell ref="BK609:BL609"/>
    <mergeCell ref="H652:R652"/>
    <mergeCell ref="AA660:AK660"/>
    <mergeCell ref="H660:R660"/>
    <mergeCell ref="AI651:AK651"/>
    <mergeCell ref="AI609:AK609"/>
    <mergeCell ref="AE695:AI695"/>
    <mergeCell ref="BE603:BF603"/>
    <mergeCell ref="BE605:BF605"/>
    <mergeCell ref="BX649:CB649"/>
    <mergeCell ref="BS627:BW627"/>
    <mergeCell ref="BS643:BW643"/>
    <mergeCell ref="BS635:BW635"/>
    <mergeCell ref="Z606:AK606"/>
    <mergeCell ref="Z655:AK655"/>
    <mergeCell ref="N653:O653"/>
    <mergeCell ref="G659:L659"/>
    <mergeCell ref="Z673:AK673"/>
    <mergeCell ref="G679:R679"/>
    <mergeCell ref="AI667:AK667"/>
    <mergeCell ref="AE691:AI691"/>
    <mergeCell ref="N677:O677"/>
    <mergeCell ref="Z649:AK649"/>
    <mergeCell ref="Z643:AE643"/>
    <mergeCell ref="Z648:AK648"/>
    <mergeCell ref="P643:R643"/>
    <mergeCell ref="B635:AN635"/>
    <mergeCell ref="B636:AN636"/>
    <mergeCell ref="B637:AN637"/>
    <mergeCell ref="AC626:AE626"/>
    <mergeCell ref="AC627:AE627"/>
    <mergeCell ref="AC628:AE628"/>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C731:AG731"/>
    <mergeCell ref="O768:S771"/>
    <mergeCell ref="O742:R742"/>
    <mergeCell ref="AG742:AJ742"/>
    <mergeCell ref="Y785:AC785"/>
    <mergeCell ref="J768:N771"/>
    <mergeCell ref="AH724:AJ724"/>
    <mergeCell ref="B718:F718"/>
    <mergeCell ref="T710:W713"/>
    <mergeCell ref="O715:S715"/>
    <mergeCell ref="X720:AB720"/>
    <mergeCell ref="AH718:AJ718"/>
    <mergeCell ref="AC720:AG720"/>
    <mergeCell ref="T719:W719"/>
    <mergeCell ref="T720:W720"/>
    <mergeCell ref="B714:F714"/>
    <mergeCell ref="AH721:AJ721"/>
    <mergeCell ref="G716:J716"/>
    <mergeCell ref="B717:F717"/>
    <mergeCell ref="X717:AB717"/>
    <mergeCell ref="X723:AB723"/>
    <mergeCell ref="B719:F719"/>
    <mergeCell ref="T718:W718"/>
    <mergeCell ref="B721:F721"/>
    <mergeCell ref="B720:F720"/>
    <mergeCell ref="B724:F724"/>
    <mergeCell ref="O719:S719"/>
    <mergeCell ref="G720:J720"/>
    <mergeCell ref="K718:N718"/>
    <mergeCell ref="K719:N719"/>
    <mergeCell ref="B723:F723"/>
    <mergeCell ref="X719:AB719"/>
    <mergeCell ref="O718:S718"/>
    <mergeCell ref="X718:AB718"/>
    <mergeCell ref="G719:J719"/>
    <mergeCell ref="O721:S721"/>
    <mergeCell ref="O722:S722"/>
    <mergeCell ref="K723:N723"/>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D1030:AK1035"/>
    <mergeCell ref="AA937:AG937"/>
    <mergeCell ref="AA943:AG943"/>
    <mergeCell ref="AE932:AK932"/>
    <mergeCell ref="AA908:AF908"/>
    <mergeCell ref="AE928:AK928"/>
    <mergeCell ref="T780:W780"/>
    <mergeCell ref="C816:L816"/>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U913:Z913"/>
    <mergeCell ref="U909:Z909"/>
    <mergeCell ref="AA902:AF902"/>
    <mergeCell ref="U907:Z907"/>
    <mergeCell ref="AA906:AF906"/>
    <mergeCell ref="AB900:AE900"/>
    <mergeCell ref="C814:H814"/>
    <mergeCell ref="M830:V830"/>
    <mergeCell ref="W827:AC827"/>
    <mergeCell ref="M845:V845"/>
    <mergeCell ref="AC877:AH877"/>
    <mergeCell ref="W839:AC839"/>
    <mergeCell ref="AC876:AH876"/>
    <mergeCell ref="AH777:AL777"/>
    <mergeCell ref="U811:X811"/>
    <mergeCell ref="Y815:AB815"/>
    <mergeCell ref="U815:X815"/>
    <mergeCell ref="Q815:T815"/>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AA919:AF919"/>
    <mergeCell ref="AA905:AF905"/>
    <mergeCell ref="M941:S941"/>
    <mergeCell ref="W944:AG944"/>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AZ840:BA840"/>
    <mergeCell ref="M861:V861"/>
    <mergeCell ref="W853:AC853"/>
    <mergeCell ref="W850:AC850"/>
    <mergeCell ref="C878:AB878"/>
    <mergeCell ref="W860:AC860"/>
    <mergeCell ref="C821:AJ821"/>
    <mergeCell ref="E869:AB869"/>
    <mergeCell ref="J833:V833"/>
    <mergeCell ref="BD893:BF893"/>
    <mergeCell ref="BD887:BE887"/>
    <mergeCell ref="BD889:BE889"/>
    <mergeCell ref="BD890:BE890"/>
    <mergeCell ref="BD892:BE892"/>
    <mergeCell ref="BD888:BE888"/>
    <mergeCell ref="U814:X814"/>
    <mergeCell ref="U816:X816"/>
    <mergeCell ref="AH781:AL781"/>
    <mergeCell ref="Q813:T813"/>
    <mergeCell ref="Y811:AB811"/>
    <mergeCell ref="M809:P809"/>
    <mergeCell ref="AG813:AJ813"/>
    <mergeCell ref="AG811:AJ811"/>
    <mergeCell ref="M810:P810"/>
    <mergeCell ref="O782:S782"/>
    <mergeCell ref="T776:W776"/>
    <mergeCell ref="U813:X813"/>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J781:N781"/>
    <mergeCell ref="J762:N762"/>
    <mergeCell ref="T778:W778"/>
    <mergeCell ref="O738:S738"/>
    <mergeCell ref="X773:AB773"/>
    <mergeCell ref="Y810:AB810"/>
    <mergeCell ref="AC810:AF810"/>
    <mergeCell ref="AC811:AF811"/>
    <mergeCell ref="AC762:AG762"/>
    <mergeCell ref="Q807:T808"/>
    <mergeCell ref="Z793:AE793"/>
    <mergeCell ref="AG812:AJ812"/>
    <mergeCell ref="AC812:AF812"/>
    <mergeCell ref="U807:X808"/>
    <mergeCell ref="C809:H809"/>
    <mergeCell ref="M859:V859"/>
    <mergeCell ref="W861:AC861"/>
    <mergeCell ref="W837:AC837"/>
    <mergeCell ref="AC870:AH870"/>
    <mergeCell ref="W858:AC858"/>
    <mergeCell ref="W854:AC854"/>
    <mergeCell ref="Q816:T816"/>
    <mergeCell ref="M816:P816"/>
    <mergeCell ref="AG816:AJ816"/>
    <mergeCell ref="W828:AC828"/>
    <mergeCell ref="AC816:AF816"/>
    <mergeCell ref="W830:AC830"/>
    <mergeCell ref="W835:AC835"/>
    <mergeCell ref="W826:AC826"/>
    <mergeCell ref="W831:AC831"/>
    <mergeCell ref="W841:AC841"/>
    <mergeCell ref="AG815:AJ815"/>
    <mergeCell ref="AC815:AF815"/>
    <mergeCell ref="Y813:AB813"/>
    <mergeCell ref="AC813:AF813"/>
    <mergeCell ref="Q814:T814"/>
    <mergeCell ref="AG814:AJ814"/>
    <mergeCell ref="Q809:T809"/>
    <mergeCell ref="X777:AB777"/>
    <mergeCell ref="X778:AB778"/>
    <mergeCell ref="AC754:AG757"/>
    <mergeCell ref="T779:W779"/>
    <mergeCell ref="T777:W777"/>
    <mergeCell ref="O762:S762"/>
    <mergeCell ref="X774:AB774"/>
    <mergeCell ref="X775:AB775"/>
    <mergeCell ref="X776:AB776"/>
    <mergeCell ref="U809:X809"/>
    <mergeCell ref="M807:P808"/>
    <mergeCell ref="O776:S776"/>
    <mergeCell ref="Z801:AE801"/>
    <mergeCell ref="X780:AB780"/>
    <mergeCell ref="O779:S779"/>
    <mergeCell ref="O781:S781"/>
    <mergeCell ref="T772:W772"/>
    <mergeCell ref="T773:W773"/>
    <mergeCell ref="O774:S774"/>
    <mergeCell ref="Z790:AE790"/>
    <mergeCell ref="Z791:AE791"/>
    <mergeCell ref="J773:N773"/>
    <mergeCell ref="Z802:AE802"/>
    <mergeCell ref="G642:R642"/>
    <mergeCell ref="A613:AS614"/>
    <mergeCell ref="AF620:AJ622"/>
    <mergeCell ref="AF623:AJ623"/>
    <mergeCell ref="Q364:AG364"/>
    <mergeCell ref="P417:R417"/>
    <mergeCell ref="S391:U391"/>
    <mergeCell ref="M356:N356"/>
    <mergeCell ref="J384:U384"/>
    <mergeCell ref="V380:W380"/>
    <mergeCell ref="AC346:AE346"/>
    <mergeCell ref="Q390:U390"/>
    <mergeCell ref="AD376:AE376"/>
    <mergeCell ref="AA602:AK602"/>
    <mergeCell ref="AC370:AF370"/>
    <mergeCell ref="G597:R597"/>
    <mergeCell ref="Q389:U389"/>
    <mergeCell ref="E367:AH368"/>
    <mergeCell ref="S404:AJ404"/>
    <mergeCell ref="K402:AJ402"/>
    <mergeCell ref="AM552:AS552"/>
    <mergeCell ref="H569:R569"/>
    <mergeCell ref="B562:AL562"/>
    <mergeCell ref="T561:V561"/>
    <mergeCell ref="Z585:AE585"/>
    <mergeCell ref="AC513:AF513"/>
    <mergeCell ref="AC512:AF512"/>
    <mergeCell ref="D449:AF449"/>
    <mergeCell ref="D450:AJ451"/>
    <mergeCell ref="S401:U401"/>
    <mergeCell ref="E419:AJ419"/>
    <mergeCell ref="P424:Q424"/>
    <mergeCell ref="I391:N391"/>
    <mergeCell ref="G607:R607"/>
    <mergeCell ref="W629:Y629"/>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26:AK326"/>
    <mergeCell ref="AA328:AK328"/>
    <mergeCell ref="P330:R330"/>
    <mergeCell ref="H332:R332"/>
    <mergeCell ref="H329:R329"/>
    <mergeCell ref="AA320:AK320"/>
    <mergeCell ref="H324:R324"/>
    <mergeCell ref="H306:M306"/>
    <mergeCell ref="H291:M291"/>
    <mergeCell ref="AA292:AK292"/>
    <mergeCell ref="AI314:AK314"/>
    <mergeCell ref="AA303:AK303"/>
    <mergeCell ref="AA311:AK311"/>
    <mergeCell ref="AI306:AK306"/>
    <mergeCell ref="Z620:AB622"/>
    <mergeCell ref="H331:M331"/>
    <mergeCell ref="AA335:AK335"/>
    <mergeCell ref="V275:W275"/>
    <mergeCell ref="H286:R286"/>
    <mergeCell ref="AI290:AK290"/>
    <mergeCell ref="AA287:AK287"/>
    <mergeCell ref="L278:AD278"/>
    <mergeCell ref="H338:M338"/>
    <mergeCell ref="AA316:AK316"/>
    <mergeCell ref="L279:AD279"/>
    <mergeCell ref="H303:R303"/>
    <mergeCell ref="H302:R302"/>
    <mergeCell ref="AA307:AF307"/>
    <mergeCell ref="AA304:AK304"/>
    <mergeCell ref="H337:R337"/>
    <mergeCell ref="AA289:AK289"/>
    <mergeCell ref="AA339:AF339"/>
    <mergeCell ref="AI322:AK322"/>
    <mergeCell ref="AA319:AK319"/>
    <mergeCell ref="AA336:AK336"/>
    <mergeCell ref="H326:R326"/>
    <mergeCell ref="AA332:AK332"/>
    <mergeCell ref="AA310:AK310"/>
    <mergeCell ref="AA305:AK305"/>
    <mergeCell ref="AA302:AK302"/>
    <mergeCell ref="X269:AC269"/>
    <mergeCell ref="AA323:AF323"/>
    <mergeCell ref="H315:M315"/>
    <mergeCell ref="AA324:AK324"/>
    <mergeCell ref="H314:M314"/>
    <mergeCell ref="AA315:AF315"/>
    <mergeCell ref="AF258:AK258"/>
    <mergeCell ref="AC260:AE260"/>
    <mergeCell ref="AA338:AF338"/>
    <mergeCell ref="AA296:AK296"/>
    <mergeCell ref="AA297:AK297"/>
    <mergeCell ref="H316:R316"/>
    <mergeCell ref="L275:S275"/>
    <mergeCell ref="L277:Q277"/>
    <mergeCell ref="AA295:AK295"/>
    <mergeCell ref="AA288:AK288"/>
    <mergeCell ref="P322:R322"/>
    <mergeCell ref="AA314:AF314"/>
    <mergeCell ref="H297:R297"/>
    <mergeCell ref="H311:R311"/>
    <mergeCell ref="H304:R304"/>
    <mergeCell ref="AA299:AF299"/>
    <mergeCell ref="H305:R305"/>
    <mergeCell ref="H328:R32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W260:X260"/>
    <mergeCell ref="U262:W262"/>
    <mergeCell ref="AA290:AF290"/>
    <mergeCell ref="D269:H269"/>
    <mergeCell ref="M251:AE251"/>
    <mergeCell ref="M256:T256"/>
    <mergeCell ref="M255:AE255"/>
    <mergeCell ref="AH261:AK261"/>
    <mergeCell ref="M262:R262"/>
    <mergeCell ref="M264:T264"/>
    <mergeCell ref="AA264:AK264"/>
    <mergeCell ref="H294:R294"/>
    <mergeCell ref="AI298:AK298"/>
    <mergeCell ref="H296:R296"/>
    <mergeCell ref="AA256:AK256"/>
    <mergeCell ref="Q490:AK490"/>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Q489:AK489"/>
    <mergeCell ref="P290:R290"/>
    <mergeCell ref="L273:AJ273"/>
    <mergeCell ref="AA306:AF306"/>
    <mergeCell ref="H312:R312"/>
    <mergeCell ref="H288:R288"/>
    <mergeCell ref="H290:M290"/>
    <mergeCell ref="H298:M298"/>
    <mergeCell ref="H299:M299"/>
    <mergeCell ref="AG447:AJ447"/>
    <mergeCell ref="AC455:AF455"/>
    <mergeCell ref="D443:AF443"/>
    <mergeCell ref="AA300:AK300"/>
    <mergeCell ref="H300:R300"/>
    <mergeCell ref="AA291:AF291"/>
    <mergeCell ref="AB275:AD275"/>
    <mergeCell ref="Y277:AD277"/>
    <mergeCell ref="AA294:AK294"/>
    <mergeCell ref="AA313:AK313"/>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AC537:AF537"/>
    <mergeCell ref="AC516:AF516"/>
    <mergeCell ref="AC511:AF511"/>
    <mergeCell ref="T552:V552"/>
    <mergeCell ref="B499:H500"/>
    <mergeCell ref="O521:AA521"/>
    <mergeCell ref="AC525:AF525"/>
    <mergeCell ref="B518:H540"/>
    <mergeCell ref="O530:AA530"/>
    <mergeCell ref="AC501:AF501"/>
    <mergeCell ref="AC524:AF524"/>
    <mergeCell ref="Q549:S549"/>
    <mergeCell ref="A478:AL479"/>
    <mergeCell ref="AH500:AK500"/>
    <mergeCell ref="AC497:AK497"/>
    <mergeCell ref="AI577:AK577"/>
    <mergeCell ref="AM551:AS551"/>
    <mergeCell ref="T557:V557"/>
    <mergeCell ref="T558:V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Z561:AD561"/>
    <mergeCell ref="Z568:AE568"/>
    <mergeCell ref="AM557:AS557"/>
    <mergeCell ref="AM555:AS555"/>
    <mergeCell ref="H586:R586"/>
    <mergeCell ref="H594:R594"/>
    <mergeCell ref="G583:R583"/>
    <mergeCell ref="AM561:AS561"/>
    <mergeCell ref="Z565:AK565"/>
    <mergeCell ref="AI561:AL561"/>
    <mergeCell ref="AI585:AK585"/>
    <mergeCell ref="Z573:AK573"/>
    <mergeCell ref="AE561:AH561"/>
    <mergeCell ref="G593:L593"/>
    <mergeCell ref="Z591:AK591"/>
    <mergeCell ref="Z577:AE577"/>
    <mergeCell ref="Z555:AD555"/>
    <mergeCell ref="Z557:AD557"/>
    <mergeCell ref="AE555:AH555"/>
    <mergeCell ref="AI555:AL555"/>
    <mergeCell ref="AE556:AH556"/>
    <mergeCell ref="Z582:AK582"/>
    <mergeCell ref="Z583:AK583"/>
    <mergeCell ref="Z584:AK584"/>
    <mergeCell ref="Z556:AD556"/>
    <mergeCell ref="G566:R566"/>
    <mergeCell ref="AI568:AK568"/>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BI596:BJ596"/>
    <mergeCell ref="BK595:BL595"/>
    <mergeCell ref="BI606:BJ606"/>
    <mergeCell ref="BK606:BL606"/>
    <mergeCell ref="BN606:BR606"/>
    <mergeCell ref="BS595:BW595"/>
    <mergeCell ref="BK603:BL603"/>
    <mergeCell ref="BX596:CB596"/>
    <mergeCell ref="AG587:AH587"/>
    <mergeCell ref="BS606:BW606"/>
    <mergeCell ref="BG602:BH602"/>
    <mergeCell ref="BI602:BJ602"/>
    <mergeCell ref="CH613:CL613"/>
    <mergeCell ref="BN619:BR619"/>
    <mergeCell ref="BE619:BF619"/>
    <mergeCell ref="BS616:BW61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H596:CL596"/>
    <mergeCell ref="BX597:CB597"/>
    <mergeCell ref="BK596:BL596"/>
    <mergeCell ref="BS596:BW596"/>
    <mergeCell ref="CH597:CL597"/>
    <mergeCell ref="BI599:BJ599"/>
    <mergeCell ref="BN602:BR602"/>
    <mergeCell ref="BN605:BR605"/>
    <mergeCell ref="BK605:BL605"/>
    <mergeCell ref="BS609:BW609"/>
    <mergeCell ref="BG603:BH603"/>
    <mergeCell ref="Z593:AE593"/>
    <mergeCell ref="CC608:CG608"/>
    <mergeCell ref="CC605:CG605"/>
    <mergeCell ref="BX606:CB606"/>
    <mergeCell ref="BS597:BW597"/>
    <mergeCell ref="BS598:BW598"/>
    <mergeCell ref="BK602:BL602"/>
    <mergeCell ref="CC597:CG597"/>
    <mergeCell ref="BS599:BW599"/>
    <mergeCell ref="Z600:AK600"/>
    <mergeCell ref="CC606:CG606"/>
    <mergeCell ref="BS607:BW607"/>
    <mergeCell ref="BN607:BR607"/>
    <mergeCell ref="BI603:BJ603"/>
    <mergeCell ref="BN601:BR601"/>
    <mergeCell ref="BS605:BW605"/>
    <mergeCell ref="BG608:BH608"/>
    <mergeCell ref="CC603:CG603"/>
    <mergeCell ref="BN604:BR604"/>
    <mergeCell ref="BS604:BW604"/>
    <mergeCell ref="BX604:CB60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Z599:AK599"/>
    <mergeCell ref="BG595:BH595"/>
    <mergeCell ref="BG598:BH598"/>
    <mergeCell ref="BN597:BR597"/>
    <mergeCell ref="AI601:AK601"/>
    <mergeCell ref="BE612:BF612"/>
    <mergeCell ref="BN617:BR617"/>
    <mergeCell ref="BK616:BL616"/>
    <mergeCell ref="BG620:BH620"/>
    <mergeCell ref="BI620:BJ620"/>
    <mergeCell ref="BI600:BJ600"/>
    <mergeCell ref="BN600:BR600"/>
    <mergeCell ref="BN596:BR596"/>
    <mergeCell ref="BG596:BH596"/>
    <mergeCell ref="BK607:BL607"/>
    <mergeCell ref="BI604:BJ604"/>
    <mergeCell ref="BX602:CB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N626:BR626"/>
    <mergeCell ref="BS620:BW620"/>
    <mergeCell ref="BN644:BR644"/>
    <mergeCell ref="O731:S731"/>
    <mergeCell ref="AC732:AG732"/>
    <mergeCell ref="T734:W734"/>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O759:S759"/>
    <mergeCell ref="J760:N760"/>
    <mergeCell ref="AC759:AG759"/>
    <mergeCell ref="AC760:AG760"/>
    <mergeCell ref="AC768:AG771"/>
    <mergeCell ref="X779:AB779"/>
    <mergeCell ref="T781:W781"/>
    <mergeCell ref="X759:AB759"/>
    <mergeCell ref="J776:N776"/>
    <mergeCell ref="AC527:AF527"/>
    <mergeCell ref="AH528:AK528"/>
    <mergeCell ref="Q550:S550"/>
    <mergeCell ref="AE554:AH554"/>
    <mergeCell ref="AI554:AL554"/>
    <mergeCell ref="T553:V553"/>
    <mergeCell ref="AK735:AO735"/>
    <mergeCell ref="AH536:AK536"/>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W559:Y559"/>
    <mergeCell ref="W560:Y560"/>
    <mergeCell ref="T556:V556"/>
    <mergeCell ref="AH533:AK533"/>
    <mergeCell ref="Z551:AD551"/>
    <mergeCell ref="AE559:AH559"/>
    <mergeCell ref="AE557:AH557"/>
    <mergeCell ref="AI558:AL558"/>
    <mergeCell ref="AI556:AL556"/>
    <mergeCell ref="AH538:AK538"/>
    <mergeCell ref="T559:V559"/>
    <mergeCell ref="Z560:AD560"/>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W465:Y465"/>
    <mergeCell ref="W471:Y471"/>
    <mergeCell ref="D468:V468"/>
    <mergeCell ref="D445:AF445"/>
    <mergeCell ref="D444:AF444"/>
    <mergeCell ref="Q392:U392"/>
    <mergeCell ref="I417:K417"/>
    <mergeCell ref="S412:T412"/>
    <mergeCell ref="AE424:AF424"/>
    <mergeCell ref="D446:AF446"/>
    <mergeCell ref="M258:AE258"/>
    <mergeCell ref="M260:T260"/>
    <mergeCell ref="M259:AE259"/>
    <mergeCell ref="Z431:AA431"/>
    <mergeCell ref="B501:H506"/>
    <mergeCell ref="AC506:AF506"/>
    <mergeCell ref="AH514:AK514"/>
    <mergeCell ref="AG448:AJ448"/>
    <mergeCell ref="D464:V464"/>
    <mergeCell ref="W467:Y467"/>
    <mergeCell ref="AF429:AG429"/>
    <mergeCell ref="N369:Q369"/>
    <mergeCell ref="H313:R313"/>
    <mergeCell ref="O533:AA533"/>
    <mergeCell ref="AH534:AK534"/>
    <mergeCell ref="AH521:AK521"/>
    <mergeCell ref="W554:Y554"/>
    <mergeCell ref="Q553:S553"/>
    <mergeCell ref="Q554:S554"/>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H518:AK518"/>
    <mergeCell ref="AH532:AK532"/>
    <mergeCell ref="W553:Y553"/>
    <mergeCell ref="D467:V467"/>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L274:AD274"/>
    <mergeCell ref="H289:R289"/>
    <mergeCell ref="C124:K124"/>
    <mergeCell ref="O160:T160"/>
    <mergeCell ref="O161:AH161"/>
    <mergeCell ref="D164:AH164"/>
    <mergeCell ref="P423:Q423"/>
    <mergeCell ref="M248:T248"/>
    <mergeCell ref="W252:X252"/>
    <mergeCell ref="M250:AE250"/>
    <mergeCell ref="AA248:AK248"/>
    <mergeCell ref="AC530:AF530"/>
    <mergeCell ref="AC515:AF515"/>
    <mergeCell ref="AH499:AK499"/>
    <mergeCell ref="AJ354:AK354"/>
    <mergeCell ref="AH504:AK504"/>
    <mergeCell ref="AH511:AK511"/>
    <mergeCell ref="AH503:AK503"/>
    <mergeCell ref="M493:P493"/>
    <mergeCell ref="AH493:AK493"/>
    <mergeCell ref="AH527:AK527"/>
    <mergeCell ref="T549:V549"/>
    <mergeCell ref="AH505:AK505"/>
    <mergeCell ref="AC502:AF502"/>
    <mergeCell ref="T550:V550"/>
    <mergeCell ref="AC499:AF499"/>
    <mergeCell ref="AH524:AK524"/>
    <mergeCell ref="AC531:AF531"/>
    <mergeCell ref="AC507:AF507"/>
    <mergeCell ref="AC523:AF523"/>
    <mergeCell ref="AH501:AK501"/>
    <mergeCell ref="AC498:AF498"/>
    <mergeCell ref="L506:AB506"/>
    <mergeCell ref="AC518:AF518"/>
    <mergeCell ref="AH530:AK530"/>
    <mergeCell ref="AH513:AK513"/>
    <mergeCell ref="AC514:AF514"/>
    <mergeCell ref="AC519:AF519"/>
    <mergeCell ref="AH507:AK507"/>
    <mergeCell ref="AC508:AF508"/>
    <mergeCell ref="AH502:AK502"/>
    <mergeCell ref="AH515:AK515"/>
    <mergeCell ref="AH535:AK535"/>
    <mergeCell ref="AC526:AF526"/>
    <mergeCell ref="O527:AA527"/>
    <mergeCell ref="J386:U386"/>
    <mergeCell ref="AC385:AJ385"/>
    <mergeCell ref="BX642:CB642"/>
    <mergeCell ref="BX643:CB643"/>
    <mergeCell ref="J387:U387"/>
    <mergeCell ref="A542:AS543"/>
    <mergeCell ref="AC539:AF539"/>
    <mergeCell ref="B487:P488"/>
    <mergeCell ref="AC504:AF504"/>
    <mergeCell ref="Q487:R488"/>
    <mergeCell ref="Q491:AK491"/>
    <mergeCell ref="AC500:AF500"/>
    <mergeCell ref="AC528:AF528"/>
    <mergeCell ref="O524:AA524"/>
    <mergeCell ref="B515:H517"/>
    <mergeCell ref="AC522:AF522"/>
    <mergeCell ref="AH498:AK498"/>
    <mergeCell ref="AC517:AF517"/>
    <mergeCell ref="BE611:BF611"/>
    <mergeCell ref="Q483:AK483"/>
    <mergeCell ref="D436:AF436"/>
    <mergeCell ref="AH525:AK525"/>
    <mergeCell ref="AH526:AK526"/>
    <mergeCell ref="B512:H514"/>
    <mergeCell ref="AH519:AK519"/>
    <mergeCell ref="AC520:AF520"/>
    <mergeCell ref="D466:V466"/>
    <mergeCell ref="AC529:AF529"/>
    <mergeCell ref="AI549:AL549"/>
    <mergeCell ref="AH529:AK529"/>
    <mergeCell ref="AM550:AS550"/>
    <mergeCell ref="AM558:AS558"/>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H508:AK508"/>
    <mergeCell ref="AC510:AF510"/>
    <mergeCell ref="AH510:AK510"/>
    <mergeCell ref="AM553:AS553"/>
    <mergeCell ref="AE553:AH553"/>
    <mergeCell ref="AC503:AF503"/>
    <mergeCell ref="AH506:AK506"/>
  </mergeCells>
  <phoneticPr fontId="0" type="noConversion"/>
  <conditionalFormatting sqref="AF986">
    <cfRule type="cellIs" dxfId="190" priority="39" stopIfTrue="1" operator="equal">
      <formula>"Please Enter Amount:"</formula>
    </cfRule>
  </conditionalFormatting>
  <conditionalFormatting sqref="AJ1010">
    <cfRule type="cellIs" dxfId="189" priority="42" stopIfTrue="1" operator="equal">
      <formula>"#DIV/0!"</formula>
    </cfRule>
  </conditionalFormatting>
  <conditionalFormatting sqref="AG440:AJ440">
    <cfRule type="expression" dxfId="188" priority="43" stopIfTrue="1">
      <formula>"iserror(d31)"</formula>
    </cfRule>
  </conditionalFormatting>
  <conditionalFormatting sqref="AF998">
    <cfRule type="cellIs" dxfId="187" priority="37" stopIfTrue="1" operator="equal">
      <formula>"Please Enter Amount:"</formula>
    </cfRule>
  </conditionalFormatting>
  <conditionalFormatting sqref="AF991">
    <cfRule type="cellIs" dxfId="186" priority="36" stopIfTrue="1" operator="equal">
      <formula>"Please Enter Amount:"</formula>
    </cfRule>
  </conditionalFormatting>
  <conditionalFormatting sqref="D211:X211">
    <cfRule type="expression" dxfId="185" priority="35">
      <formula>NOT($D$210="Special Needs")</formula>
    </cfRule>
  </conditionalFormatting>
  <conditionalFormatting sqref="Y211:AC211">
    <cfRule type="expression" dxfId="184" priority="34">
      <formula>NOT($D$210="Special Needs")</formula>
    </cfRule>
  </conditionalFormatting>
  <conditionalFormatting sqref="D214:U214">
    <cfRule type="expression" dxfId="183" priority="32">
      <formula>NOT(OR($D$213="Seniors",$D$210="Seniors"))</formula>
    </cfRule>
  </conditionalFormatting>
  <conditionalFormatting sqref="AA214:AO214">
    <cfRule type="expression" dxfId="182" priority="33">
      <formula>NOT(OR($D$213="Seniors",$D$210="Seniors"))</formula>
    </cfRule>
  </conditionalFormatting>
  <conditionalFormatting sqref="D212">
    <cfRule type="expression" dxfId="181" priority="31">
      <formula>AND($Y$211&gt;0,$AB$211&lt;75%)</formula>
    </cfRule>
  </conditionalFormatting>
  <conditionalFormatting sqref="D213:Z213">
    <cfRule type="expression" dxfId="180" priority="30">
      <formula>AND($Y$211&gt;0,$AB$211&lt;75%)</formula>
    </cfRule>
  </conditionalFormatting>
  <conditionalFormatting sqref="D215">
    <cfRule type="expression" dxfId="179" priority="28">
      <formula>NOT($D$210="At-Risk")</formula>
    </cfRule>
  </conditionalFormatting>
  <conditionalFormatting sqref="AB215:AM215">
    <cfRule type="expression" dxfId="178" priority="29">
      <formula>NOT($D$210="At-Risk")</formula>
    </cfRule>
  </conditionalFormatting>
  <conditionalFormatting sqref="L506:AB506">
    <cfRule type="expression" dxfId="177" priority="27">
      <formula>AND(NOT(AC506="N/A"),AH506&lt;&gt;"",OR(L506="(specify here)",L506=""))</formula>
    </cfRule>
  </conditionalFormatting>
  <conditionalFormatting sqref="O518:AA518">
    <cfRule type="expression" dxfId="176" priority="26">
      <formula>AND(OR(AND(NOT(AC518="N/A"),AH518&lt;&gt;""),AND(NOT(AC519="N/A"),AH519&lt;&gt;""),AND(NOT(AC520="N/A"),AH520&lt;&gt;"")),OR(O518="(specify here)",O518=""))</formula>
    </cfRule>
  </conditionalFormatting>
  <conditionalFormatting sqref="O521:AA521">
    <cfRule type="expression" dxfId="175" priority="25">
      <formula>AND(OR(AND(NOT(AC521="N/A"),AH521&lt;&gt;""),AND(NOT(AC522="N/A"),AH522&lt;&gt;""),AND(NOT(AC523="N/A"),AH523&lt;&gt;"")),OR(O521="(specify here)",O521=""))</formula>
    </cfRule>
  </conditionalFormatting>
  <conditionalFormatting sqref="O524:AA524">
    <cfRule type="expression" dxfId="174" priority="24">
      <formula>AND(OR(AND(NOT(AC524="N/A"),AH524&lt;&gt;""),AND(NOT(AC525="N/A"),AH525&lt;&gt;""),AND(NOT(AC526="N/A"),AH526&lt;&gt;"")),OR(O524="(specify here)",O524=""))</formula>
    </cfRule>
  </conditionalFormatting>
  <conditionalFormatting sqref="O527:AA527">
    <cfRule type="expression" dxfId="173" priority="23">
      <formula>AND(OR(AND(NOT(AC527="N/A"),AH527&lt;&gt;""),AND(NOT(AC528="N/A"),AH528&lt;&gt;""),AND(NOT(AC529="N/A"),AH529&lt;&gt;"")),OR(O527="(specify here)",O527=""))</formula>
    </cfRule>
  </conditionalFormatting>
  <conditionalFormatting sqref="O530:AA530">
    <cfRule type="expression" dxfId="172" priority="22">
      <formula>AND(OR(AND(NOT(AC530="N/A"),AH530&lt;&gt;""),AND(NOT(AC531="N/A"),AH531&lt;&gt;""),AND(NOT(AC532="N/A"),AH532&lt;&gt;"")),OR(O530="(specify here)",O530=""))</formula>
    </cfRule>
  </conditionalFormatting>
  <conditionalFormatting sqref="O533:AA533">
    <cfRule type="expression" dxfId="171" priority="21">
      <formula>AND(OR(AND(NOT(AC533="N/A"),AH533&lt;&gt;""),AND(NOT(AC534="N/A"),AH534&lt;&gt;""),AND(NOT(AC535="N/A"),AH535&lt;&gt;"")),OR(O533="(specify here)",O533=""))</formula>
    </cfRule>
  </conditionalFormatting>
  <conditionalFormatting sqref="C551:C553 AC624:AS626 Q624:Z626 C555:C561 Q551:AS561 Q628:Z634 AC628:AS634">
    <cfRule type="expression" dxfId="170" priority="20">
      <formula>$AT551="!"</formula>
    </cfRule>
  </conditionalFormatting>
  <conditionalFormatting sqref="C624:C626 C628:C634">
    <cfRule type="expression" dxfId="169" priority="19">
      <formula>$AT624="!"</formula>
    </cfRule>
  </conditionalFormatting>
  <conditionalFormatting sqref="E703:AK703">
    <cfRule type="expression" dxfId="168" priority="18">
      <formula>AND($W$702="Other",OR($E$703="(specify here)",$E$703=""))</formula>
    </cfRule>
  </conditionalFormatting>
  <conditionalFormatting sqref="B740:AH741">
    <cfRule type="expression" dxfId="167" priority="17">
      <formula>NOT($D$210="Special Needs")</formula>
    </cfRule>
  </conditionalFormatting>
  <conditionalFormatting sqref="AG742:AJ742">
    <cfRule type="expression" dxfId="166" priority="15">
      <formula>NOT($D$210="Special Needs")</formula>
    </cfRule>
  </conditionalFormatting>
  <conditionalFormatting sqref="U742">
    <cfRule type="expression" dxfId="165" priority="16">
      <formula>NOT($D$210="Special Needs")</formula>
    </cfRule>
  </conditionalFormatting>
  <conditionalFormatting sqref="P800:Y800">
    <cfRule type="expression" dxfId="164" priority="14">
      <formula>AND(Z800&lt;&gt;"",OR(P800="(specify here)",P800=""))</formula>
    </cfRule>
  </conditionalFormatting>
  <conditionalFormatting sqref="F815:L815">
    <cfRule type="expression" dxfId="163" priority="13">
      <formula>AND(OR(M815&lt;&gt;"",$Q$795&lt;&gt;"",$U$795&lt;&gt;"",$Y$795&lt;&gt;"",$AC$795&lt;&gt;"",$AG$795&lt;&gt;"",SUM($M$815:$AJ$815)&gt;0),OR(F815="(specify here)",F815=""))</formula>
    </cfRule>
  </conditionalFormatting>
  <conditionalFormatting sqref="M830:V830">
    <cfRule type="expression" dxfId="162" priority="12">
      <formula>AND(W830&lt;&gt;"",OR(M830="(specify here)",M830=""))</formula>
    </cfRule>
  </conditionalFormatting>
  <conditionalFormatting sqref="M845:V845">
    <cfRule type="expression" dxfId="161" priority="11">
      <formula>AND(W845&lt;&gt;"",OR(M845="(specify here)",M845=""))</formula>
    </cfRule>
  </conditionalFormatting>
  <conditionalFormatting sqref="M855:V855">
    <cfRule type="expression" dxfId="160" priority="10">
      <formula>AND(W855&lt;&gt;"",OR(M855="(specify here)",M855=""))</formula>
    </cfRule>
  </conditionalFormatting>
  <conditionalFormatting sqref="M858:V862">
    <cfRule type="expression" dxfId="159" priority="9">
      <formula>AND(W858&lt;&gt;"",OR(M858="(specify here)",M858=""))</formula>
    </cfRule>
  </conditionalFormatting>
  <conditionalFormatting sqref="C877:AB877">
    <cfRule type="expression" dxfId="158" priority="7">
      <formula>AND(AC877&lt;&gt;"",OR(C877="Other (Specify):",C877=""))</formula>
    </cfRule>
  </conditionalFormatting>
  <conditionalFormatting sqref="C878:AB878">
    <cfRule type="expression" dxfId="157" priority="5">
      <formula>AND(AC878&lt;&gt;"",OR(C878="Other (Specify):",C878=""))</formula>
    </cfRule>
  </conditionalFormatting>
  <conditionalFormatting sqref="W944:AG944">
    <cfRule type="expression" dxfId="156" priority="4">
      <formula>AND($AA$923&lt;&gt;"",OR($W$922="",$W$922="(specify here)"))</formula>
    </cfRule>
  </conditionalFormatting>
  <conditionalFormatting sqref="C554">
    <cfRule type="expression" dxfId="155" priority="3">
      <formula>$AT554="!"</formula>
    </cfRule>
  </conditionalFormatting>
  <conditionalFormatting sqref="Q627:Z627 AC627:AS627">
    <cfRule type="expression" dxfId="154" priority="2">
      <formula>$AT627="!"</formula>
    </cfRule>
  </conditionalFormatting>
  <conditionalFormatting sqref="C627">
    <cfRule type="expression" dxfId="153" priority="1">
      <formula>$AT627="!"</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D000000}">
      <formula1>"(select one),Project-based vouchers (PBVs),Project-based contract (PBC),RAD conversion - PBVs, RAD conversion - PBC"</formula1>
    </dataValidation>
    <dataValidation type="list" allowBlank="1" showInputMessage="1" showErrorMessage="1" sqref="D213" xr:uid="{00000000-0002-0000-0400-00001E000000}">
      <formula1>$BH$189:$BH$193</formula1>
    </dataValidation>
    <dataValidation type="list" showInputMessage="1" showErrorMessage="1" sqref="D219:Z219" xr:uid="{00000000-0002-0000-0400-00001F000000}">
      <formula1>$BC$197:$BC$209</formula1>
    </dataValidation>
    <dataValidation type="whole" allowBlank="1" showInputMessage="1" showErrorMessage="1" sqref="AG407:AJ407" xr:uid="{00000000-0002-0000-0400-000020000000}">
      <formula1>0</formula1>
      <formula2>AG394</formula2>
    </dataValidation>
    <dataValidation type="list" allowBlank="1" showInputMessage="1" showErrorMessage="1" sqref="T189:AE189" xr:uid="{00000000-0002-0000-0400-000021000000}">
      <formula1>$BT$156:$BT$214</formula1>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512:AF540 AC499:AF506" xr:uid="{00000000-0002-0000-0400-000028000000}">
      <formula1>"N/A,1,2,3,4,5,6,7,8,9,10,11,12"</formula1>
    </dataValidation>
    <dataValidation type="list" allowBlank="1" showInputMessage="1" showErrorMessage="1" sqref="AC507:AF507" xr:uid="{00000000-0002-0000-0400-000029000000}">
      <formula1>"(select),Yes,No"</formula1>
    </dataValidation>
    <dataValidation type="list" allowBlank="1" showInputMessage="1" showErrorMessage="1" sqref="D269:H269" xr:uid="{00000000-0002-0000-0400-00002A000000}">
      <formula1>$BB$244:$BB$246</formula1>
    </dataValidation>
    <dataValidation type="list" allowBlank="1" showInputMessage="1" showErrorMessage="1" sqref="B714:F738 J772:N781 J758:N761" xr:uid="{00000000-0002-0000-0400-00002B000000}">
      <formula1>$BA$594:$BA$600</formula1>
    </dataValidation>
    <dataValidation type="list" allowBlank="1" showInputMessage="1" showErrorMessage="1" sqref="M237:T237" xr:uid="{00000000-0002-0000-0400-00002C000000}">
      <formula1>$BC$212:$BC$220</formula1>
    </dataValidation>
    <dataValidation type="list" allowBlank="1" showInputMessage="1" showErrorMessage="1" sqref="Z623:AB634" xr:uid="{00000000-0002-0000-0400-00002D000000}">
      <formula1>$BA$623:$BA$627</formula1>
    </dataValidation>
    <dataValidation type="list" allowBlank="1" showInputMessage="1" showErrorMessage="1" sqref="Z203" xr:uid="{00000000-0002-0000-0400-00002E000000}">
      <formula1>"(select),$500M,15% set-aside,15% set-aside with qualifying low value rehab"</formula1>
    </dataValidation>
    <dataValidation type="list" showInputMessage="1" showErrorMessage="1" sqref="D210:M210" xr:uid="{00000000-0002-0000-0400-00002F000000}">
      <formula1>$BC$189:$BC$195</formula1>
    </dataValidation>
    <dataValidation type="whole" operator="greaterThanOrEqual" allowBlank="1" showInputMessage="1" showErrorMessage="1" errorTitle="Must be a number" error="Enter a whole number greater than or equal to 0." sqref="AG742:AJ742" xr:uid="{00000000-0002-0000-0400-000030000000}">
      <formula1>0</formula1>
    </dataValidation>
    <dataValidation type="list" allowBlank="1" showInputMessage="1" showErrorMessage="1" sqref="AK714:AO738" xr:uid="{00000000-0002-0000-04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400-000032000000}">
      <formula1>0</formula1>
    </dataValidation>
    <dataValidation type="list" showInputMessage="1" showErrorMessage="1" sqref="J174:AB174" xr:uid="{00000000-0002-0000-04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400-000034000000}">
      <formula1>0</formula1>
    </dataValidation>
    <dataValidation type="list" allowBlank="1" showInputMessage="1" showErrorMessage="1" sqref="M550:P561 M623:P634" xr:uid="{00000000-0002-0000-0400-000035000000}">
      <formula1>ListofSources</formula1>
    </dataValidation>
    <dataValidation type="decimal" operator="greaterThanOrEqual" allowBlank="1" showInputMessage="1" showErrorMessage="1" sqref="W550:Y561 AI550:AS561 AF623:AS634 W623:Y634" xr:uid="{00000000-0002-0000-0400-000036000000}">
      <formula1>0</formula1>
    </dataValidation>
    <dataValidation type="whole" operator="greaterThanOrEqual" allowBlank="1" showInputMessage="1" showErrorMessage="1" error="Please enter a whole number. If none or N/A, enter 0." sqref="AJ355:AK355" xr:uid="{00000000-0002-0000-0400-000037000000}">
      <formula1>0</formula1>
    </dataValidation>
    <dataValidation type="whole" operator="greaterThan" allowBlank="1" showInputMessage="1" showErrorMessage="1" error="Please enter the subsidy term as a number in years, no text." sqref="M932:S932" xr:uid="{00000000-0002-0000-0400-000038000000}">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R93" sqref="R93"/>
    </sheetView>
  </sheetViews>
  <sheetFormatPr defaultColWidth="0" defaultRowHeight="12" zeroHeight="1"/>
  <cols>
    <col min="1" max="1" width="35.7109375" style="297" customWidth="1"/>
    <col min="2" max="12" width="12.140625" style="228" customWidth="1"/>
    <col min="13" max="17" width="11.28515625" style="228" customWidth="1"/>
    <col min="18" max="18" width="12.7109375" style="228" customWidth="1"/>
    <col min="19" max="20" width="12.140625" style="228" customWidth="1"/>
    <col min="21" max="21" width="0.28515625" style="231" customWidth="1"/>
    <col min="22" max="16383" width="8.85546875" style="228" hidden="1"/>
    <col min="16384" max="16384" width="0.140625" style="228" customWidth="1"/>
  </cols>
  <sheetData>
    <row r="1" spans="1:21" s="166" customFormat="1" ht="13.5">
      <c r="A1" s="245" t="s">
        <v>558</v>
      </c>
      <c r="B1" s="189"/>
      <c r="C1" s="189"/>
      <c r="D1" s="189"/>
      <c r="E1" s="190"/>
      <c r="F1" s="2624" t="s">
        <v>630</v>
      </c>
      <c r="G1" s="2625"/>
      <c r="H1" s="2625"/>
      <c r="I1" s="2625"/>
      <c r="J1" s="2625"/>
      <c r="K1" s="2625"/>
      <c r="L1" s="2625"/>
      <c r="M1" s="2625"/>
      <c r="N1" s="2625"/>
      <c r="O1" s="2625"/>
      <c r="P1" s="2625"/>
      <c r="Q1" s="2625"/>
      <c r="R1" s="2626"/>
      <c r="S1" s="168"/>
      <c r="T1" s="167"/>
      <c r="U1" s="169"/>
    </row>
    <row r="2" spans="1:21" s="208" customFormat="1" ht="71.25" customHeight="1">
      <c r="A2" s="207"/>
      <c r="B2" s="208" t="s">
        <v>23</v>
      </c>
      <c r="C2" s="208" t="s">
        <v>375</v>
      </c>
      <c r="D2" s="208" t="s">
        <v>374</v>
      </c>
      <c r="E2" s="208" t="s">
        <v>24</v>
      </c>
      <c r="F2" s="209" t="str">
        <f>Application!B623&amp;Application!C623</f>
        <v>1)Chase - Permanent Loan</v>
      </c>
      <c r="G2" s="209" t="str">
        <f>Application!B624&amp;Application!C624</f>
        <v>2)HCD - No Place Like Home</v>
      </c>
      <c r="H2" s="209" t="str">
        <f>Application!B625&amp;Application!C625</f>
        <v>3)City of Palm Springs</v>
      </c>
      <c r="I2" s="209" t="str">
        <f>Application!B626&amp;Application!C626</f>
        <v>4)FHLBSF AHP</v>
      </c>
      <c r="J2" s="209" t="str">
        <f>Application!B627&amp;Application!C627</f>
        <v>5)Deferred Fee</v>
      </c>
      <c r="K2" s="209" t="str">
        <f>Application!B628&amp;Application!C628</f>
        <v>6)GP Equity</v>
      </c>
      <c r="L2" s="209" t="str">
        <f>Application!B629&amp;Application!C629</f>
        <v>7)</v>
      </c>
      <c r="M2" s="209" t="str">
        <f>Application!B630&amp;Application!C630</f>
        <v>8)</v>
      </c>
      <c r="N2" s="209" t="str">
        <f>Application!B631&amp;Application!C631</f>
        <v>9)</v>
      </c>
      <c r="O2" s="209" t="str">
        <f>Application!B632&amp;Application!C632</f>
        <v>10)</v>
      </c>
      <c r="P2" s="209" t="str">
        <f>Application!B633&amp;Application!C633</f>
        <v>11)</v>
      </c>
      <c r="Q2" s="209" t="str">
        <f>Application!B634&amp;Application!C634</f>
        <v>12)</v>
      </c>
      <c r="R2" s="209" t="s">
        <v>59</v>
      </c>
      <c r="S2" s="208" t="s">
        <v>183</v>
      </c>
      <c r="T2" s="208" t="s">
        <v>25</v>
      </c>
      <c r="U2" s="210"/>
    </row>
    <row r="3" spans="1:21" s="214" customFormat="1">
      <c r="A3" s="211" t="s">
        <v>26</v>
      </c>
      <c r="B3" s="212"/>
      <c r="C3" s="212"/>
      <c r="D3" s="212"/>
      <c r="E3" s="212"/>
      <c r="F3" s="212"/>
      <c r="G3" s="212"/>
      <c r="H3" s="212"/>
      <c r="I3" s="212"/>
      <c r="J3" s="212"/>
      <c r="K3" s="212"/>
      <c r="L3" s="212"/>
      <c r="M3" s="212"/>
      <c r="N3" s="212"/>
      <c r="O3" s="212"/>
      <c r="P3" s="212"/>
      <c r="Q3" s="212"/>
      <c r="R3" s="212"/>
      <c r="S3" s="212"/>
      <c r="T3" s="212"/>
      <c r="U3" s="213"/>
    </row>
    <row r="4" spans="1:21" s="214" customFormat="1">
      <c r="A4" s="215" t="s">
        <v>27</v>
      </c>
      <c r="B4" s="216">
        <f>SUM(C4+D4)</f>
        <v>2300000</v>
      </c>
      <c r="C4" s="217">
        <v>2300000</v>
      </c>
      <c r="D4" s="217"/>
      <c r="E4" s="217">
        <f>C4-H4</f>
        <v>695700</v>
      </c>
      <c r="F4" s="217"/>
      <c r="G4" s="217"/>
      <c r="H4" s="217">
        <v>1604300</v>
      </c>
      <c r="I4" s="217"/>
      <c r="J4" s="217"/>
      <c r="K4" s="217"/>
      <c r="L4" s="217"/>
      <c r="M4" s="217"/>
      <c r="N4" s="217"/>
      <c r="O4" s="217"/>
      <c r="P4" s="217"/>
      <c r="Q4" s="217"/>
      <c r="R4" s="860">
        <f>SUM(E4:Q4)</f>
        <v>2300000</v>
      </c>
      <c r="S4" s="218"/>
      <c r="T4" s="218"/>
      <c r="U4" s="213"/>
    </row>
    <row r="5" spans="1:21" s="214" customFormat="1">
      <c r="A5" s="215" t="s">
        <v>28</v>
      </c>
      <c r="B5" s="216">
        <f>SUM(C5+D5)</f>
        <v>0</v>
      </c>
      <c r="C5" s="217"/>
      <c r="D5" s="217"/>
      <c r="E5" s="217"/>
      <c r="F5" s="217"/>
      <c r="G5" s="217"/>
      <c r="H5" s="217"/>
      <c r="I5" s="217"/>
      <c r="J5" s="217"/>
      <c r="K5" s="217"/>
      <c r="L5" s="217"/>
      <c r="M5" s="217"/>
      <c r="N5" s="217"/>
      <c r="O5" s="217"/>
      <c r="P5" s="217"/>
      <c r="Q5" s="217"/>
      <c r="R5" s="860">
        <f>SUM(E5:Q5)</f>
        <v>0</v>
      </c>
      <c r="S5" s="218"/>
      <c r="T5" s="218"/>
      <c r="U5" s="213"/>
    </row>
    <row r="6" spans="1:21" s="214" customFormat="1">
      <c r="A6" s="215" t="s">
        <v>29</v>
      </c>
      <c r="B6" s="216">
        <f>SUM(C6+D6)</f>
        <v>0</v>
      </c>
      <c r="C6" s="217"/>
      <c r="D6" s="217"/>
      <c r="E6" s="217"/>
      <c r="F6" s="217"/>
      <c r="G6" s="217"/>
      <c r="H6" s="217"/>
      <c r="I6" s="217"/>
      <c r="J6" s="217"/>
      <c r="K6" s="217"/>
      <c r="L6" s="217"/>
      <c r="M6" s="217"/>
      <c r="N6" s="217"/>
      <c r="O6" s="217"/>
      <c r="P6" s="217"/>
      <c r="Q6" s="217"/>
      <c r="R6" s="860">
        <f>SUM(E6:Q6)</f>
        <v>0</v>
      </c>
      <c r="S6" s="218"/>
      <c r="T6" s="218"/>
      <c r="U6" s="213"/>
    </row>
    <row r="7" spans="1:21" s="214" customFormat="1">
      <c r="A7" s="215" t="s">
        <v>98</v>
      </c>
      <c r="B7" s="216">
        <f>SUM(C7+D7)</f>
        <v>0</v>
      </c>
      <c r="C7" s="217"/>
      <c r="D7" s="217"/>
      <c r="E7" s="217"/>
      <c r="F7" s="217"/>
      <c r="G7" s="217"/>
      <c r="H7" s="217"/>
      <c r="I7" s="217"/>
      <c r="J7" s="217"/>
      <c r="K7" s="217"/>
      <c r="L7" s="217"/>
      <c r="M7" s="217"/>
      <c r="N7" s="217"/>
      <c r="O7" s="217"/>
      <c r="P7" s="217"/>
      <c r="Q7" s="217"/>
      <c r="R7" s="860">
        <f>SUM(E7:Q7)</f>
        <v>0</v>
      </c>
      <c r="S7" s="218"/>
      <c r="T7" s="218"/>
      <c r="U7" s="213"/>
    </row>
    <row r="8" spans="1:21" s="214" customFormat="1">
      <c r="A8" s="219" t="s">
        <v>602</v>
      </c>
      <c r="B8" s="216">
        <f>SUM(C8:D8)</f>
        <v>2300000</v>
      </c>
      <c r="C8" s="216">
        <f t="shared" ref="C8:Q8" si="0">SUM(C4:C7)</f>
        <v>2300000</v>
      </c>
      <c r="D8" s="216">
        <f t="shared" si="0"/>
        <v>0</v>
      </c>
      <c r="E8" s="216">
        <f t="shared" si="0"/>
        <v>695700</v>
      </c>
      <c r="F8" s="216">
        <f t="shared" si="0"/>
        <v>0</v>
      </c>
      <c r="G8" s="216">
        <f t="shared" si="0"/>
        <v>0</v>
      </c>
      <c r="H8" s="216">
        <f t="shared" si="0"/>
        <v>1604300</v>
      </c>
      <c r="I8" s="216">
        <f t="shared" si="0"/>
        <v>0</v>
      </c>
      <c r="J8" s="216">
        <f t="shared" si="0"/>
        <v>0</v>
      </c>
      <c r="K8" s="216">
        <f t="shared" si="0"/>
        <v>0</v>
      </c>
      <c r="L8" s="216">
        <f t="shared" si="0"/>
        <v>0</v>
      </c>
      <c r="M8" s="216">
        <f t="shared" si="0"/>
        <v>0</v>
      </c>
      <c r="N8" s="216">
        <f t="shared" si="0"/>
        <v>0</v>
      </c>
      <c r="O8" s="216">
        <f t="shared" si="0"/>
        <v>0</v>
      </c>
      <c r="P8" s="216"/>
      <c r="Q8" s="216">
        <f t="shared" si="0"/>
        <v>0</v>
      </c>
      <c r="R8" s="525">
        <f>SUM(R4:R7)</f>
        <v>2300000</v>
      </c>
      <c r="S8" s="218"/>
      <c r="T8" s="218"/>
      <c r="U8" s="213"/>
    </row>
    <row r="9" spans="1:21" s="214" customFormat="1">
      <c r="A9" s="215" t="s">
        <v>603</v>
      </c>
      <c r="B9" s="216">
        <f>SUM(C9+D9)</f>
        <v>0</v>
      </c>
      <c r="C9" s="217"/>
      <c r="D9" s="217"/>
      <c r="E9" s="217"/>
      <c r="F9" s="217"/>
      <c r="G9" s="217"/>
      <c r="H9" s="217"/>
      <c r="I9" s="217"/>
      <c r="J9" s="217"/>
      <c r="K9" s="217"/>
      <c r="L9" s="217"/>
      <c r="M9" s="217"/>
      <c r="N9" s="217"/>
      <c r="O9" s="217"/>
      <c r="P9" s="217"/>
      <c r="Q9" s="217"/>
      <c r="R9" s="860">
        <f>SUM(E9:Q9)</f>
        <v>0</v>
      </c>
      <c r="S9" s="218"/>
      <c r="T9" s="217"/>
      <c r="U9" s="213"/>
    </row>
    <row r="10" spans="1:21" s="214" customFormat="1">
      <c r="A10" s="215" t="s">
        <v>604</v>
      </c>
      <c r="B10" s="216">
        <f>SUM(C10+D10)</f>
        <v>0</v>
      </c>
      <c r="C10" s="217"/>
      <c r="D10" s="217"/>
      <c r="E10" s="217"/>
      <c r="F10" s="217"/>
      <c r="G10" s="217"/>
      <c r="H10" s="217"/>
      <c r="I10" s="217"/>
      <c r="J10" s="217"/>
      <c r="K10" s="217"/>
      <c r="L10" s="217"/>
      <c r="M10" s="217"/>
      <c r="N10" s="217"/>
      <c r="O10" s="217"/>
      <c r="P10" s="217"/>
      <c r="Q10" s="217"/>
      <c r="R10" s="860">
        <f>SUM(E10:Q10)</f>
        <v>0</v>
      </c>
      <c r="S10" s="217"/>
      <c r="T10" s="217"/>
      <c r="U10" s="213"/>
    </row>
    <row r="11" spans="1:21" s="214" customFormat="1">
      <c r="A11" s="219" t="s">
        <v>605</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5">
        <f>SUM(R9:R10)</f>
        <v>0</v>
      </c>
      <c r="S11" s="218"/>
      <c r="T11" s="220">
        <f>SUM(T9:T10)</f>
        <v>0</v>
      </c>
      <c r="U11" s="213"/>
    </row>
    <row r="12" spans="1:21" s="214" customFormat="1">
      <c r="A12" s="219" t="s">
        <v>85</v>
      </c>
      <c r="B12" s="216">
        <f t="shared" ref="B12:Q12" si="2">SUM(B8+B11)</f>
        <v>2300000</v>
      </c>
      <c r="C12" s="216">
        <f t="shared" si="2"/>
        <v>2300000</v>
      </c>
      <c r="D12" s="216">
        <f t="shared" si="2"/>
        <v>0</v>
      </c>
      <c r="E12" s="216">
        <f t="shared" si="2"/>
        <v>695700</v>
      </c>
      <c r="F12" s="216">
        <f t="shared" si="2"/>
        <v>0</v>
      </c>
      <c r="G12" s="216">
        <f t="shared" si="2"/>
        <v>0</v>
      </c>
      <c r="H12" s="216">
        <f t="shared" si="2"/>
        <v>1604300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5">
        <f>SUM(R8+R11)</f>
        <v>2300000</v>
      </c>
      <c r="S12" s="218"/>
      <c r="T12" s="218"/>
      <c r="U12" s="213"/>
    </row>
    <row r="13" spans="1:21" s="214" customFormat="1">
      <c r="A13" s="444" t="s">
        <v>935</v>
      </c>
      <c r="B13" s="216">
        <f>SUM(C13+D13)</f>
        <v>75000</v>
      </c>
      <c r="C13" s="217">
        <v>75000</v>
      </c>
      <c r="D13" s="217"/>
      <c r="E13" s="217">
        <f>C13</f>
        <v>75000</v>
      </c>
      <c r="F13" s="217"/>
      <c r="G13" s="217"/>
      <c r="H13" s="217"/>
      <c r="I13" s="217"/>
      <c r="J13" s="217"/>
      <c r="K13" s="217"/>
      <c r="L13" s="217"/>
      <c r="M13" s="217"/>
      <c r="N13" s="217"/>
      <c r="O13" s="217"/>
      <c r="P13" s="217"/>
      <c r="Q13" s="217"/>
      <c r="R13" s="860">
        <f>SUM(E13:Q13)</f>
        <v>75000</v>
      </c>
      <c r="S13" s="217"/>
      <c r="T13" s="217"/>
      <c r="U13" s="213"/>
    </row>
    <row r="14" spans="1:21" s="214" customFormat="1" ht="24">
      <c r="A14" s="445" t="s">
        <v>1822</v>
      </c>
      <c r="B14" s="216">
        <f>SUM(C14+D14)</f>
        <v>0</v>
      </c>
      <c r="C14" s="217"/>
      <c r="D14" s="217"/>
      <c r="E14" s="217"/>
      <c r="F14" s="217"/>
      <c r="G14" s="217"/>
      <c r="H14" s="217"/>
      <c r="I14" s="217"/>
      <c r="J14" s="217"/>
      <c r="K14" s="217"/>
      <c r="L14" s="217"/>
      <c r="M14" s="217"/>
      <c r="N14" s="217"/>
      <c r="O14" s="217"/>
      <c r="P14" s="217"/>
      <c r="Q14" s="217"/>
      <c r="R14" s="860">
        <f>SUM(E14:Q14)</f>
        <v>0</v>
      </c>
      <c r="S14" s="217"/>
      <c r="T14" s="217"/>
      <c r="U14" s="213"/>
    </row>
    <row r="15" spans="1:21" s="214" customFormat="1">
      <c r="A15" s="445" t="s">
        <v>1302</v>
      </c>
      <c r="B15" s="216">
        <f>SUM(C15+D15)</f>
        <v>0</v>
      </c>
      <c r="C15" s="217"/>
      <c r="D15" s="217"/>
      <c r="E15" s="217"/>
      <c r="F15" s="217"/>
      <c r="G15" s="217"/>
      <c r="H15" s="217"/>
      <c r="I15" s="217"/>
      <c r="J15" s="217"/>
      <c r="K15" s="217"/>
      <c r="L15" s="217"/>
      <c r="M15" s="217"/>
      <c r="N15" s="217"/>
      <c r="O15" s="217"/>
      <c r="P15" s="217"/>
      <c r="Q15" s="217"/>
      <c r="R15" s="860">
        <f>SUM(E15:Q15)</f>
        <v>0</v>
      </c>
      <c r="S15" s="218"/>
      <c r="T15" s="218"/>
      <c r="U15" s="213"/>
    </row>
    <row r="16" spans="1:21" s="214" customFormat="1">
      <c r="A16" s="211" t="s">
        <v>606</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607</v>
      </c>
      <c r="B17" s="216">
        <f t="shared" ref="B17:B26" si="3">SUM(C17+D17)</f>
        <v>0</v>
      </c>
      <c r="C17" s="217"/>
      <c r="D17" s="217"/>
      <c r="E17" s="217"/>
      <c r="F17" s="217"/>
      <c r="G17" s="217"/>
      <c r="H17" s="217"/>
      <c r="I17" s="217"/>
      <c r="J17" s="217"/>
      <c r="K17" s="217"/>
      <c r="L17" s="217"/>
      <c r="M17" s="217"/>
      <c r="N17" s="217"/>
      <c r="O17" s="217"/>
      <c r="P17" s="217"/>
      <c r="Q17" s="217"/>
      <c r="R17" s="860">
        <f>SUM(E17:Q17)</f>
        <v>0</v>
      </c>
      <c r="S17" s="217"/>
      <c r="T17" s="217"/>
      <c r="U17" s="213"/>
    </row>
    <row r="18" spans="1:21" s="214" customFormat="1">
      <c r="A18" s="215" t="s">
        <v>608</v>
      </c>
      <c r="B18" s="216">
        <f t="shared" si="3"/>
        <v>0</v>
      </c>
      <c r="C18" s="217"/>
      <c r="D18" s="217"/>
      <c r="E18" s="217"/>
      <c r="F18" s="217"/>
      <c r="G18" s="217"/>
      <c r="H18" s="217"/>
      <c r="I18" s="217"/>
      <c r="J18" s="217"/>
      <c r="K18" s="217"/>
      <c r="L18" s="217"/>
      <c r="M18" s="217"/>
      <c r="N18" s="217"/>
      <c r="O18" s="217"/>
      <c r="P18" s="217"/>
      <c r="Q18" s="217"/>
      <c r="R18" s="860">
        <f>SUM(E18:Q18)</f>
        <v>0</v>
      </c>
      <c r="S18" s="217"/>
      <c r="T18" s="217"/>
      <c r="U18" s="213"/>
    </row>
    <row r="19" spans="1:21" s="214" customFormat="1">
      <c r="A19" s="215" t="s">
        <v>609</v>
      </c>
      <c r="B19" s="216">
        <f t="shared" si="3"/>
        <v>0</v>
      </c>
      <c r="C19" s="217"/>
      <c r="D19" s="217"/>
      <c r="E19" s="217"/>
      <c r="F19" s="217"/>
      <c r="G19" s="217"/>
      <c r="H19" s="217"/>
      <c r="I19" s="217"/>
      <c r="J19" s="217"/>
      <c r="K19" s="217"/>
      <c r="L19" s="217"/>
      <c r="M19" s="217"/>
      <c r="N19" s="217"/>
      <c r="O19" s="217"/>
      <c r="P19" s="217"/>
      <c r="Q19" s="217"/>
      <c r="R19" s="860">
        <f>SUM(E19:Q19)</f>
        <v>0</v>
      </c>
      <c r="S19" s="217"/>
      <c r="T19" s="217"/>
      <c r="U19" s="213"/>
    </row>
    <row r="20" spans="1:21" s="214" customFormat="1">
      <c r="A20" s="215" t="s">
        <v>138</v>
      </c>
      <c r="B20" s="216">
        <f t="shared" si="3"/>
        <v>0</v>
      </c>
      <c r="C20" s="217"/>
      <c r="D20" s="217"/>
      <c r="E20" s="217"/>
      <c r="F20" s="217"/>
      <c r="G20" s="217"/>
      <c r="H20" s="217"/>
      <c r="I20" s="217"/>
      <c r="J20" s="217"/>
      <c r="K20" s="217"/>
      <c r="L20" s="217"/>
      <c r="M20" s="217"/>
      <c r="N20" s="217"/>
      <c r="O20" s="217"/>
      <c r="P20" s="217"/>
      <c r="Q20" s="217"/>
      <c r="R20" s="860">
        <f t="shared" ref="R20:R27" si="4">SUM(E20:Q20)</f>
        <v>0</v>
      </c>
      <c r="S20" s="217"/>
      <c r="T20" s="217"/>
      <c r="U20" s="213"/>
    </row>
    <row r="21" spans="1:21" s="214" customFormat="1">
      <c r="A21" s="215" t="s">
        <v>139</v>
      </c>
      <c r="B21" s="216">
        <f t="shared" si="3"/>
        <v>0</v>
      </c>
      <c r="C21" s="217"/>
      <c r="D21" s="217"/>
      <c r="E21" s="217"/>
      <c r="F21" s="217"/>
      <c r="G21" s="217"/>
      <c r="H21" s="217"/>
      <c r="I21" s="217"/>
      <c r="J21" s="217"/>
      <c r="K21" s="217"/>
      <c r="L21" s="217"/>
      <c r="M21" s="217"/>
      <c r="N21" s="217"/>
      <c r="O21" s="217"/>
      <c r="P21" s="217"/>
      <c r="Q21" s="217"/>
      <c r="R21" s="860">
        <f t="shared" si="4"/>
        <v>0</v>
      </c>
      <c r="S21" s="217"/>
      <c r="T21" s="217"/>
      <c r="U21" s="213"/>
    </row>
    <row r="22" spans="1:21" s="214" customFormat="1">
      <c r="A22" s="215" t="s">
        <v>140</v>
      </c>
      <c r="B22" s="216">
        <f t="shared" si="3"/>
        <v>0</v>
      </c>
      <c r="C22" s="217"/>
      <c r="D22" s="217"/>
      <c r="E22" s="217"/>
      <c r="F22" s="217"/>
      <c r="G22" s="217"/>
      <c r="H22" s="217"/>
      <c r="I22" s="217"/>
      <c r="J22" s="217"/>
      <c r="K22" s="217"/>
      <c r="L22" s="217"/>
      <c r="M22" s="217"/>
      <c r="N22" s="217"/>
      <c r="O22" s="217"/>
      <c r="P22" s="217"/>
      <c r="Q22" s="217"/>
      <c r="R22" s="860">
        <f t="shared" si="4"/>
        <v>0</v>
      </c>
      <c r="S22" s="217"/>
      <c r="T22" s="217"/>
      <c r="U22" s="213"/>
    </row>
    <row r="23" spans="1:21" s="214" customFormat="1">
      <c r="A23" s="215" t="s">
        <v>141</v>
      </c>
      <c r="B23" s="216">
        <f t="shared" si="3"/>
        <v>0</v>
      </c>
      <c r="C23" s="217"/>
      <c r="D23" s="217"/>
      <c r="E23" s="217"/>
      <c r="F23" s="217"/>
      <c r="G23" s="217"/>
      <c r="H23" s="217"/>
      <c r="I23" s="217"/>
      <c r="J23" s="217"/>
      <c r="K23" s="217"/>
      <c r="L23" s="217"/>
      <c r="M23" s="217"/>
      <c r="N23" s="217"/>
      <c r="O23" s="217"/>
      <c r="P23" s="217"/>
      <c r="Q23" s="217"/>
      <c r="R23" s="860">
        <f t="shared" si="4"/>
        <v>0</v>
      </c>
      <c r="S23" s="217"/>
      <c r="T23" s="217"/>
      <c r="U23" s="213"/>
    </row>
    <row r="24" spans="1:21" s="214" customFormat="1">
      <c r="A24" s="847" t="s">
        <v>1819</v>
      </c>
      <c r="B24" s="216">
        <f t="shared" si="3"/>
        <v>0</v>
      </c>
      <c r="C24" s="217"/>
      <c r="D24" s="217"/>
      <c r="E24" s="217"/>
      <c r="F24" s="217"/>
      <c r="G24" s="217"/>
      <c r="H24" s="217"/>
      <c r="I24" s="217"/>
      <c r="J24" s="217"/>
      <c r="K24" s="217"/>
      <c r="L24" s="217"/>
      <c r="M24" s="217"/>
      <c r="N24" s="217"/>
      <c r="O24" s="217"/>
      <c r="P24" s="217"/>
      <c r="Q24" s="217"/>
      <c r="R24" s="860">
        <f t="shared" si="4"/>
        <v>0</v>
      </c>
      <c r="S24" s="217"/>
      <c r="T24" s="217"/>
      <c r="U24" s="213"/>
    </row>
    <row r="25" spans="1:21" s="214" customFormat="1">
      <c r="A25" s="1848" t="s">
        <v>34</v>
      </c>
      <c r="B25" s="216">
        <f t="shared" si="3"/>
        <v>0</v>
      </c>
      <c r="C25" s="217"/>
      <c r="D25" s="217"/>
      <c r="E25" s="217"/>
      <c r="F25" s="217"/>
      <c r="G25" s="217"/>
      <c r="H25" s="217"/>
      <c r="I25" s="217"/>
      <c r="J25" s="217"/>
      <c r="K25" s="217"/>
      <c r="L25" s="217"/>
      <c r="M25" s="217"/>
      <c r="N25" s="217"/>
      <c r="O25" s="217"/>
      <c r="P25" s="217"/>
      <c r="Q25" s="217"/>
      <c r="R25" s="860">
        <f t="shared" si="4"/>
        <v>0</v>
      </c>
      <c r="S25" s="217"/>
      <c r="T25" s="217"/>
      <c r="U25" s="213"/>
    </row>
    <row r="26" spans="1:21" s="214" customFormat="1">
      <c r="A26" s="219" t="s">
        <v>134</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5">
        <f>SUM(R17:R25)</f>
        <v>0</v>
      </c>
      <c r="S26" s="220">
        <f>SUM(S17:S25)</f>
        <v>0</v>
      </c>
      <c r="T26" s="220">
        <f>SUM(T17:T25)</f>
        <v>0</v>
      </c>
      <c r="U26" s="213"/>
    </row>
    <row r="27" spans="1:21" s="214" customFormat="1">
      <c r="A27" s="219" t="s">
        <v>142</v>
      </c>
      <c r="B27" s="216">
        <f>SUM(C27:D27)</f>
        <v>0</v>
      </c>
      <c r="C27" s="217"/>
      <c r="D27" s="217"/>
      <c r="E27" s="217"/>
      <c r="F27" s="217"/>
      <c r="G27" s="217"/>
      <c r="H27" s="217"/>
      <c r="I27" s="217"/>
      <c r="J27" s="217"/>
      <c r="K27" s="217"/>
      <c r="L27" s="217"/>
      <c r="M27" s="217"/>
      <c r="N27" s="217"/>
      <c r="O27" s="217"/>
      <c r="P27" s="217"/>
      <c r="Q27" s="217"/>
      <c r="R27" s="860">
        <f t="shared" si="4"/>
        <v>0</v>
      </c>
      <c r="S27" s="217"/>
      <c r="T27" s="217"/>
      <c r="U27" s="213"/>
    </row>
    <row r="28" spans="1:21" s="214" customFormat="1">
      <c r="A28" s="211" t="s">
        <v>143</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607</v>
      </c>
      <c r="B29" s="216">
        <f t="shared" ref="B29:B38" si="6">SUM(C29+D29)</f>
        <v>3129020</v>
      </c>
      <c r="C29" s="217">
        <v>3129020</v>
      </c>
      <c r="D29" s="217"/>
      <c r="E29" s="217">
        <f>C29</f>
        <v>3129020</v>
      </c>
      <c r="F29" s="217"/>
      <c r="G29" s="217"/>
      <c r="H29" s="217"/>
      <c r="I29" s="217"/>
      <c r="J29" s="217"/>
      <c r="K29" s="217"/>
      <c r="L29" s="217"/>
      <c r="M29" s="217"/>
      <c r="N29" s="217"/>
      <c r="O29" s="217"/>
      <c r="P29" s="217"/>
      <c r="Q29" s="217"/>
      <c r="R29" s="860">
        <f t="shared" ref="R29:R37" si="7">SUM(E29:Q29)</f>
        <v>3129020</v>
      </c>
      <c r="S29" s="217">
        <f>R29</f>
        <v>3129020</v>
      </c>
      <c r="T29" s="217"/>
      <c r="U29" s="213"/>
    </row>
    <row r="30" spans="1:21" s="214" customFormat="1">
      <c r="A30" s="215" t="s">
        <v>608</v>
      </c>
      <c r="B30" s="216">
        <f t="shared" si="6"/>
        <v>25631713</v>
      </c>
      <c r="C30" s="217">
        <v>25631713</v>
      </c>
      <c r="D30" s="217"/>
      <c r="E30" s="217">
        <f>C30-SUM(F30:L30)</f>
        <v>10085424</v>
      </c>
      <c r="F30" s="217">
        <v>5321000</v>
      </c>
      <c r="G30" s="217">
        <v>6413275</v>
      </c>
      <c r="H30" s="217">
        <v>2400000</v>
      </c>
      <c r="I30" s="217">
        <v>1035000</v>
      </c>
      <c r="J30" s="217"/>
      <c r="K30" s="217">
        <v>377014</v>
      </c>
      <c r="L30" s="217"/>
      <c r="M30" s="217"/>
      <c r="N30" s="217"/>
      <c r="O30" s="217"/>
      <c r="P30" s="217"/>
      <c r="Q30" s="217"/>
      <c r="R30" s="860">
        <f t="shared" si="7"/>
        <v>25631713</v>
      </c>
      <c r="S30" s="217">
        <f t="shared" ref="S30:S35" si="8">R30</f>
        <v>25631713</v>
      </c>
      <c r="T30" s="217"/>
      <c r="U30" s="213"/>
    </row>
    <row r="31" spans="1:21" s="214" customFormat="1">
      <c r="A31" s="215" t="s">
        <v>609</v>
      </c>
      <c r="B31" s="216">
        <f t="shared" si="6"/>
        <v>1106051</v>
      </c>
      <c r="C31" s="217">
        <v>1106051</v>
      </c>
      <c r="D31" s="217"/>
      <c r="E31" s="217">
        <f>C31</f>
        <v>1106051</v>
      </c>
      <c r="F31" s="217"/>
      <c r="G31" s="217"/>
      <c r="H31" s="217"/>
      <c r="I31" s="217"/>
      <c r="J31" s="217"/>
      <c r="K31" s="217"/>
      <c r="L31" s="217"/>
      <c r="M31" s="217"/>
      <c r="N31" s="217"/>
      <c r="O31" s="217"/>
      <c r="P31" s="217"/>
      <c r="Q31" s="217"/>
      <c r="R31" s="860">
        <f t="shared" si="7"/>
        <v>1106051</v>
      </c>
      <c r="S31" s="217">
        <f t="shared" si="8"/>
        <v>1106051</v>
      </c>
      <c r="T31" s="217"/>
      <c r="U31" s="213"/>
    </row>
    <row r="32" spans="1:21" s="214" customFormat="1">
      <c r="A32" s="215" t="s">
        <v>138</v>
      </c>
      <c r="B32" s="216">
        <f t="shared" si="6"/>
        <v>940143</v>
      </c>
      <c r="C32" s="217">
        <v>940143</v>
      </c>
      <c r="D32" s="217"/>
      <c r="E32" s="217">
        <f>C32</f>
        <v>940143</v>
      </c>
      <c r="F32" s="217"/>
      <c r="G32" s="217"/>
      <c r="H32" s="217"/>
      <c r="I32" s="217"/>
      <c r="J32" s="217"/>
      <c r="K32" s="217"/>
      <c r="L32" s="217"/>
      <c r="M32" s="217"/>
      <c r="N32" s="217"/>
      <c r="O32" s="217"/>
      <c r="P32" s="217"/>
      <c r="Q32" s="217"/>
      <c r="R32" s="860">
        <f t="shared" si="7"/>
        <v>940143</v>
      </c>
      <c r="S32" s="217">
        <f t="shared" si="8"/>
        <v>940143</v>
      </c>
      <c r="T32" s="217"/>
      <c r="U32" s="213"/>
    </row>
    <row r="33" spans="1:21" s="214" customFormat="1">
      <c r="A33" s="215" t="s">
        <v>139</v>
      </c>
      <c r="B33" s="216">
        <f t="shared" si="6"/>
        <v>940143</v>
      </c>
      <c r="C33" s="217">
        <v>940143</v>
      </c>
      <c r="D33" s="217"/>
      <c r="E33" s="217">
        <f>C33</f>
        <v>940143</v>
      </c>
      <c r="F33" s="217"/>
      <c r="G33" s="217"/>
      <c r="H33" s="217"/>
      <c r="I33" s="217"/>
      <c r="J33" s="217"/>
      <c r="K33" s="217"/>
      <c r="L33" s="217"/>
      <c r="M33" s="217"/>
      <c r="N33" s="217"/>
      <c r="O33" s="217"/>
      <c r="P33" s="217"/>
      <c r="Q33" s="217"/>
      <c r="R33" s="860">
        <f t="shared" si="7"/>
        <v>940143</v>
      </c>
      <c r="S33" s="217">
        <f t="shared" si="8"/>
        <v>940143</v>
      </c>
      <c r="T33" s="217"/>
      <c r="U33" s="213"/>
    </row>
    <row r="34" spans="1:21" s="214" customFormat="1">
      <c r="A34" s="215" t="s">
        <v>140</v>
      </c>
      <c r="B34" s="216">
        <f t="shared" si="6"/>
        <v>0</v>
      </c>
      <c r="C34" s="217"/>
      <c r="D34" s="217"/>
      <c r="E34" s="217"/>
      <c r="F34" s="217"/>
      <c r="G34" s="217"/>
      <c r="H34" s="217"/>
      <c r="I34" s="217"/>
      <c r="J34" s="217"/>
      <c r="K34" s="217"/>
      <c r="L34" s="217"/>
      <c r="M34" s="217"/>
      <c r="N34" s="217"/>
      <c r="O34" s="217"/>
      <c r="P34" s="217"/>
      <c r="Q34" s="217"/>
      <c r="R34" s="860">
        <f t="shared" si="7"/>
        <v>0</v>
      </c>
      <c r="S34" s="217">
        <f t="shared" si="8"/>
        <v>0</v>
      </c>
      <c r="T34" s="217"/>
      <c r="U34" s="213"/>
    </row>
    <row r="35" spans="1:21" s="214" customFormat="1">
      <c r="A35" s="215" t="s">
        <v>141</v>
      </c>
      <c r="B35" s="216">
        <f t="shared" si="6"/>
        <v>553025</v>
      </c>
      <c r="C35" s="217">
        <v>553025</v>
      </c>
      <c r="D35" s="217"/>
      <c r="E35" s="217">
        <f>C35</f>
        <v>553025</v>
      </c>
      <c r="F35" s="217"/>
      <c r="G35" s="217"/>
      <c r="H35" s="217"/>
      <c r="I35" s="217"/>
      <c r="J35" s="217"/>
      <c r="K35" s="217"/>
      <c r="L35" s="217"/>
      <c r="M35" s="217"/>
      <c r="N35" s="217"/>
      <c r="O35" s="217"/>
      <c r="P35" s="217"/>
      <c r="Q35" s="217"/>
      <c r="R35" s="860">
        <f t="shared" si="7"/>
        <v>553025</v>
      </c>
      <c r="S35" s="217">
        <f t="shared" si="8"/>
        <v>553025</v>
      </c>
      <c r="T35" s="217"/>
      <c r="U35" s="213"/>
    </row>
    <row r="36" spans="1:21" s="214" customFormat="1">
      <c r="A36" s="1642" t="s">
        <v>1819</v>
      </c>
      <c r="B36" s="216">
        <f t="shared" si="6"/>
        <v>0</v>
      </c>
      <c r="C36" s="217"/>
      <c r="D36" s="217"/>
      <c r="E36" s="217"/>
      <c r="F36" s="217"/>
      <c r="G36" s="217"/>
      <c r="H36" s="217"/>
      <c r="I36" s="217"/>
      <c r="J36" s="217"/>
      <c r="K36" s="217"/>
      <c r="L36" s="217"/>
      <c r="M36" s="217"/>
      <c r="N36" s="217"/>
      <c r="O36" s="217"/>
      <c r="P36" s="217"/>
      <c r="Q36" s="217"/>
      <c r="R36" s="860">
        <f t="shared" si="7"/>
        <v>0</v>
      </c>
      <c r="S36" s="217"/>
      <c r="T36" s="217"/>
      <c r="U36" s="213"/>
    </row>
    <row r="37" spans="1:21" s="214" customFormat="1">
      <c r="A37" s="1848" t="s">
        <v>34</v>
      </c>
      <c r="B37" s="216">
        <f t="shared" si="6"/>
        <v>0</v>
      </c>
      <c r="C37" s="217"/>
      <c r="D37" s="217"/>
      <c r="E37" s="217"/>
      <c r="F37" s="217"/>
      <c r="G37" s="217"/>
      <c r="H37" s="217"/>
      <c r="I37" s="217"/>
      <c r="J37" s="217"/>
      <c r="K37" s="217"/>
      <c r="L37" s="217"/>
      <c r="M37" s="217"/>
      <c r="N37" s="217"/>
      <c r="O37" s="217"/>
      <c r="P37" s="217"/>
      <c r="Q37" s="217"/>
      <c r="R37" s="860">
        <f t="shared" si="7"/>
        <v>0</v>
      </c>
      <c r="S37" s="217"/>
      <c r="T37" s="217"/>
      <c r="U37" s="213"/>
    </row>
    <row r="38" spans="1:21" s="214" customFormat="1">
      <c r="A38" s="219" t="s">
        <v>144</v>
      </c>
      <c r="B38" s="216">
        <f t="shared" si="6"/>
        <v>32300095</v>
      </c>
      <c r="C38" s="216">
        <f>SUM(C29:C37)</f>
        <v>32300095</v>
      </c>
      <c r="D38" s="216">
        <f t="shared" ref="D38:Q38" si="9">SUM(D29:D37)</f>
        <v>0</v>
      </c>
      <c r="E38" s="216">
        <f t="shared" si="9"/>
        <v>16753806</v>
      </c>
      <c r="F38" s="216">
        <f t="shared" si="9"/>
        <v>5321000</v>
      </c>
      <c r="G38" s="216">
        <f t="shared" si="9"/>
        <v>6413275</v>
      </c>
      <c r="H38" s="216">
        <f t="shared" si="9"/>
        <v>2400000</v>
      </c>
      <c r="I38" s="216">
        <f t="shared" si="9"/>
        <v>1035000</v>
      </c>
      <c r="J38" s="216">
        <f t="shared" si="9"/>
        <v>0</v>
      </c>
      <c r="K38" s="216">
        <f t="shared" si="9"/>
        <v>377014</v>
      </c>
      <c r="L38" s="216">
        <f t="shared" si="9"/>
        <v>0</v>
      </c>
      <c r="M38" s="216">
        <f t="shared" si="9"/>
        <v>0</v>
      </c>
      <c r="N38" s="216">
        <f t="shared" si="9"/>
        <v>0</v>
      </c>
      <c r="O38" s="216">
        <f t="shared" si="9"/>
        <v>0</v>
      </c>
      <c r="P38" s="216">
        <f t="shared" si="9"/>
        <v>0</v>
      </c>
      <c r="Q38" s="216">
        <f t="shared" si="9"/>
        <v>0</v>
      </c>
      <c r="R38" s="525">
        <f>SUM(R29:R37)</f>
        <v>32300095</v>
      </c>
      <c r="S38" s="220">
        <f>SUM(S29:S37)</f>
        <v>32300095</v>
      </c>
      <c r="T38" s="220">
        <f>SUM(T29:T37)</f>
        <v>0</v>
      </c>
      <c r="U38" s="213"/>
    </row>
    <row r="39" spans="1:21" s="214" customFormat="1">
      <c r="A39" s="211" t="s">
        <v>145</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146</v>
      </c>
      <c r="B40" s="216">
        <f>SUM(C40+D40)</f>
        <v>400000</v>
      </c>
      <c r="C40" s="217">
        <v>400000</v>
      </c>
      <c r="D40" s="217"/>
      <c r="E40" s="217">
        <f>C40</f>
        <v>400000</v>
      </c>
      <c r="F40" s="217"/>
      <c r="G40" s="217"/>
      <c r="H40" s="217"/>
      <c r="I40" s="217"/>
      <c r="J40" s="217"/>
      <c r="K40" s="217"/>
      <c r="L40" s="217"/>
      <c r="M40" s="217"/>
      <c r="N40" s="217"/>
      <c r="O40" s="217"/>
      <c r="P40" s="217"/>
      <c r="Q40" s="217"/>
      <c r="R40" s="860">
        <f>SUM(E40:Q40)</f>
        <v>400000</v>
      </c>
      <c r="S40" s="217">
        <f>R40</f>
        <v>400000</v>
      </c>
      <c r="T40" s="217"/>
      <c r="U40" s="213"/>
    </row>
    <row r="41" spans="1:21" s="214" customFormat="1">
      <c r="A41" s="215" t="s">
        <v>147</v>
      </c>
      <c r="B41" s="216">
        <f>SUM(C41+D41)</f>
        <v>200000</v>
      </c>
      <c r="C41" s="217">
        <v>200000</v>
      </c>
      <c r="D41" s="217"/>
      <c r="E41" s="217">
        <f>C41</f>
        <v>200000</v>
      </c>
      <c r="F41" s="217"/>
      <c r="G41" s="217"/>
      <c r="H41" s="217"/>
      <c r="I41" s="217"/>
      <c r="J41" s="217"/>
      <c r="K41" s="217"/>
      <c r="L41" s="217"/>
      <c r="M41" s="217"/>
      <c r="N41" s="217"/>
      <c r="O41" s="217"/>
      <c r="P41" s="217"/>
      <c r="Q41" s="217"/>
      <c r="R41" s="860">
        <f>SUM(E41:Q41)</f>
        <v>200000</v>
      </c>
      <c r="S41" s="217">
        <f>R41</f>
        <v>200000</v>
      </c>
      <c r="T41" s="217"/>
      <c r="U41" s="213"/>
    </row>
    <row r="42" spans="1:21" s="214" customFormat="1">
      <c r="A42" s="219" t="s">
        <v>148</v>
      </c>
      <c r="B42" s="216">
        <f>SUM(C42:D42)</f>
        <v>600000</v>
      </c>
      <c r="C42" s="216">
        <f>SUM(C39:C41)</f>
        <v>600000</v>
      </c>
      <c r="D42" s="216">
        <f>SUM(D39:D41)</f>
        <v>0</v>
      </c>
      <c r="E42" s="216">
        <f t="shared" ref="E42:T42" si="10">SUM(E40:E41)</f>
        <v>600000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25">
        <f>SUM(R40:R41)</f>
        <v>600000</v>
      </c>
      <c r="S42" s="220">
        <f t="shared" si="10"/>
        <v>600000</v>
      </c>
      <c r="T42" s="220">
        <f t="shared" si="10"/>
        <v>0</v>
      </c>
      <c r="U42" s="213"/>
    </row>
    <row r="43" spans="1:21" s="214" customFormat="1">
      <c r="A43" s="219" t="s">
        <v>149</v>
      </c>
      <c r="B43" s="216">
        <f>SUM(C43:D43)</f>
        <v>350000</v>
      </c>
      <c r="C43" s="217">
        <v>350000</v>
      </c>
      <c r="D43" s="217"/>
      <c r="E43" s="217">
        <f>C43</f>
        <v>350000</v>
      </c>
      <c r="F43" s="217"/>
      <c r="G43" s="217"/>
      <c r="H43" s="217"/>
      <c r="I43" s="217"/>
      <c r="J43" s="217"/>
      <c r="K43" s="217"/>
      <c r="L43" s="217"/>
      <c r="M43" s="217"/>
      <c r="N43" s="217"/>
      <c r="O43" s="217"/>
      <c r="P43" s="217"/>
      <c r="Q43" s="217"/>
      <c r="R43" s="860">
        <f>SUM(E43:Q43)</f>
        <v>350000</v>
      </c>
      <c r="S43" s="217">
        <f>R43</f>
        <v>350000</v>
      </c>
      <c r="T43" s="217"/>
      <c r="U43" s="213"/>
    </row>
    <row r="44" spans="1:21" s="214" customFormat="1">
      <c r="A44" s="211" t="s">
        <v>150</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151</v>
      </c>
      <c r="B45" s="216">
        <f t="shared" ref="B45:B53" si="11">SUM(C45+D45)</f>
        <v>2081003</v>
      </c>
      <c r="C45" s="217">
        <v>2081003</v>
      </c>
      <c r="D45" s="217"/>
      <c r="E45" s="217">
        <f>C45</f>
        <v>2081003</v>
      </c>
      <c r="F45" s="217"/>
      <c r="G45" s="217"/>
      <c r="H45" s="217"/>
      <c r="I45" s="217"/>
      <c r="J45" s="217"/>
      <c r="K45" s="217"/>
      <c r="L45" s="217"/>
      <c r="M45" s="217"/>
      <c r="N45" s="217"/>
      <c r="O45" s="217"/>
      <c r="P45" s="217"/>
      <c r="Q45" s="217"/>
      <c r="R45" s="860">
        <f t="shared" ref="R45:R53" si="12">SUM(E45:Q45)</f>
        <v>2081003</v>
      </c>
      <c r="S45" s="217">
        <v>1428342</v>
      </c>
      <c r="T45" s="217"/>
      <c r="U45" s="213"/>
    </row>
    <row r="46" spans="1:21" s="214" customFormat="1">
      <c r="A46" s="215" t="s">
        <v>152</v>
      </c>
      <c r="B46" s="216">
        <f t="shared" si="11"/>
        <v>336324</v>
      </c>
      <c r="C46" s="217">
        <v>336324</v>
      </c>
      <c r="D46" s="217"/>
      <c r="E46" s="217">
        <f t="shared" ref="E46:E53" si="13">C46</f>
        <v>336324</v>
      </c>
      <c r="F46" s="217"/>
      <c r="G46" s="217"/>
      <c r="H46" s="217"/>
      <c r="I46" s="217"/>
      <c r="J46" s="217"/>
      <c r="K46" s="217"/>
      <c r="L46" s="217"/>
      <c r="M46" s="217"/>
      <c r="N46" s="217"/>
      <c r="O46" s="217"/>
      <c r="P46" s="217"/>
      <c r="Q46" s="217"/>
      <c r="R46" s="860">
        <f t="shared" si="12"/>
        <v>336324</v>
      </c>
      <c r="S46" s="217">
        <f>R46</f>
        <v>336324</v>
      </c>
      <c r="T46" s="217"/>
      <c r="U46" s="213"/>
    </row>
    <row r="47" spans="1:21" s="214" customFormat="1">
      <c r="A47" s="296" t="s">
        <v>153</v>
      </c>
      <c r="B47" s="216">
        <f t="shared" si="11"/>
        <v>20000</v>
      </c>
      <c r="C47" s="217">
        <v>20000</v>
      </c>
      <c r="D47" s="217"/>
      <c r="E47" s="217">
        <f t="shared" si="13"/>
        <v>20000</v>
      </c>
      <c r="F47" s="217"/>
      <c r="G47" s="217"/>
      <c r="H47" s="217"/>
      <c r="I47" s="217"/>
      <c r="J47" s="217"/>
      <c r="K47" s="217"/>
      <c r="L47" s="217"/>
      <c r="M47" s="217"/>
      <c r="N47" s="217"/>
      <c r="O47" s="217"/>
      <c r="P47" s="217"/>
      <c r="Q47" s="217"/>
      <c r="R47" s="860">
        <f t="shared" si="12"/>
        <v>20000</v>
      </c>
      <c r="S47" s="217">
        <f>R47</f>
        <v>20000</v>
      </c>
      <c r="T47" s="217"/>
      <c r="U47" s="213"/>
    </row>
    <row r="48" spans="1:21" s="214" customFormat="1">
      <c r="A48" s="215" t="s">
        <v>154</v>
      </c>
      <c r="B48" s="216">
        <f t="shared" si="11"/>
        <v>0</v>
      </c>
      <c r="C48" s="217"/>
      <c r="D48" s="217"/>
      <c r="E48" s="217">
        <f t="shared" si="13"/>
        <v>0</v>
      </c>
      <c r="F48" s="217"/>
      <c r="G48" s="217"/>
      <c r="H48" s="217"/>
      <c r="I48" s="217"/>
      <c r="J48" s="217"/>
      <c r="K48" s="217"/>
      <c r="L48" s="217"/>
      <c r="M48" s="217"/>
      <c r="N48" s="217"/>
      <c r="O48" s="217"/>
      <c r="P48" s="217"/>
      <c r="Q48" s="217"/>
      <c r="R48" s="860">
        <f t="shared" si="12"/>
        <v>0</v>
      </c>
      <c r="S48" s="217">
        <f t="shared" ref="S48:S53" si="14">R48</f>
        <v>0</v>
      </c>
      <c r="T48" s="217"/>
      <c r="U48" s="213"/>
    </row>
    <row r="49" spans="1:21" s="214" customFormat="1">
      <c r="A49" s="215" t="s">
        <v>57</v>
      </c>
      <c r="B49" s="216">
        <f t="shared" si="11"/>
        <v>180530</v>
      </c>
      <c r="C49" s="217">
        <v>180530</v>
      </c>
      <c r="D49" s="217"/>
      <c r="E49" s="217">
        <f t="shared" si="13"/>
        <v>180530</v>
      </c>
      <c r="F49" s="217"/>
      <c r="G49" s="217"/>
      <c r="H49" s="217"/>
      <c r="I49" s="217"/>
      <c r="J49" s="217"/>
      <c r="K49" s="217"/>
      <c r="L49" s="217"/>
      <c r="M49" s="217"/>
      <c r="N49" s="217"/>
      <c r="O49" s="217"/>
      <c r="P49" s="217"/>
      <c r="Q49" s="217"/>
      <c r="R49" s="860">
        <f t="shared" si="12"/>
        <v>180530</v>
      </c>
      <c r="S49" s="217"/>
      <c r="T49" s="217"/>
      <c r="U49" s="213"/>
    </row>
    <row r="50" spans="1:21" s="214" customFormat="1">
      <c r="A50" s="215" t="s">
        <v>157</v>
      </c>
      <c r="B50" s="216">
        <f t="shared" si="11"/>
        <v>75000</v>
      </c>
      <c r="C50" s="217">
        <v>75000</v>
      </c>
      <c r="D50" s="217"/>
      <c r="E50" s="217">
        <f t="shared" si="13"/>
        <v>75000</v>
      </c>
      <c r="F50" s="217"/>
      <c r="G50" s="217"/>
      <c r="H50" s="217"/>
      <c r="I50" s="217"/>
      <c r="J50" s="217"/>
      <c r="K50" s="217"/>
      <c r="L50" s="217"/>
      <c r="M50" s="217"/>
      <c r="N50" s="217"/>
      <c r="O50" s="217"/>
      <c r="P50" s="217"/>
      <c r="Q50" s="217"/>
      <c r="R50" s="860">
        <f t="shared" si="12"/>
        <v>75000</v>
      </c>
      <c r="S50" s="217">
        <f t="shared" si="14"/>
        <v>75000</v>
      </c>
      <c r="T50" s="217"/>
      <c r="U50" s="213"/>
    </row>
    <row r="51" spans="1:21" s="214" customFormat="1">
      <c r="A51" s="435" t="s">
        <v>155</v>
      </c>
      <c r="B51" s="216">
        <f t="shared" si="11"/>
        <v>43125</v>
      </c>
      <c r="C51" s="217">
        <v>43125</v>
      </c>
      <c r="D51" s="217"/>
      <c r="E51" s="217">
        <f t="shared" si="13"/>
        <v>43125</v>
      </c>
      <c r="F51" s="217"/>
      <c r="G51" s="217"/>
      <c r="H51" s="217"/>
      <c r="I51" s="217"/>
      <c r="J51" s="217"/>
      <c r="K51" s="217"/>
      <c r="L51" s="217"/>
      <c r="M51" s="217"/>
      <c r="N51" s="217"/>
      <c r="O51" s="217"/>
      <c r="P51" s="217"/>
      <c r="Q51" s="217"/>
      <c r="R51" s="860">
        <f t="shared" si="12"/>
        <v>43125</v>
      </c>
      <c r="S51" s="217">
        <f t="shared" si="14"/>
        <v>43125</v>
      </c>
      <c r="T51" s="217"/>
      <c r="U51" s="213"/>
    </row>
    <row r="52" spans="1:21" s="214" customFormat="1">
      <c r="A52" s="215" t="s">
        <v>156</v>
      </c>
      <c r="B52" s="216">
        <f t="shared" si="11"/>
        <v>300000</v>
      </c>
      <c r="C52" s="217">
        <v>300000</v>
      </c>
      <c r="D52" s="217"/>
      <c r="E52" s="217">
        <f t="shared" si="13"/>
        <v>300000</v>
      </c>
      <c r="F52" s="217"/>
      <c r="G52" s="217"/>
      <c r="H52" s="217"/>
      <c r="I52" s="217"/>
      <c r="J52" s="217"/>
      <c r="K52" s="217"/>
      <c r="L52" s="217"/>
      <c r="M52" s="217"/>
      <c r="N52" s="217"/>
      <c r="O52" s="217"/>
      <c r="P52" s="217"/>
      <c r="Q52" s="217"/>
      <c r="R52" s="860">
        <f t="shared" si="12"/>
        <v>300000</v>
      </c>
      <c r="S52" s="217">
        <f t="shared" si="14"/>
        <v>300000</v>
      </c>
      <c r="T52" s="217"/>
      <c r="U52" s="213"/>
    </row>
    <row r="53" spans="1:21" s="214" customFormat="1">
      <c r="A53" s="1848" t="s">
        <v>2762</v>
      </c>
      <c r="B53" s="216">
        <f t="shared" si="11"/>
        <v>18000</v>
      </c>
      <c r="C53" s="217">
        <v>18000</v>
      </c>
      <c r="D53" s="217"/>
      <c r="E53" s="217">
        <f t="shared" si="13"/>
        <v>18000</v>
      </c>
      <c r="F53" s="217"/>
      <c r="G53" s="217"/>
      <c r="H53" s="217"/>
      <c r="I53" s="217"/>
      <c r="J53" s="217"/>
      <c r="K53" s="217"/>
      <c r="L53" s="217"/>
      <c r="M53" s="217"/>
      <c r="N53" s="217"/>
      <c r="O53" s="217"/>
      <c r="P53" s="217"/>
      <c r="Q53" s="217"/>
      <c r="R53" s="860">
        <f t="shared" si="12"/>
        <v>18000</v>
      </c>
      <c r="S53" s="217">
        <f t="shared" si="14"/>
        <v>18000</v>
      </c>
      <c r="T53" s="217"/>
      <c r="U53" s="213"/>
    </row>
    <row r="54" spans="1:21" s="223" customFormat="1">
      <c r="A54" s="219" t="s">
        <v>158</v>
      </c>
      <c r="B54" s="220">
        <f>SUM(C54:D54)</f>
        <v>3053982</v>
      </c>
      <c r="C54" s="220">
        <f t="shared" ref="C54:T54" si="15">SUM(C45:C53)</f>
        <v>3053982</v>
      </c>
      <c r="D54" s="220">
        <f t="shared" si="15"/>
        <v>0</v>
      </c>
      <c r="E54" s="220">
        <f t="shared" si="15"/>
        <v>3053982</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25">
        <f t="shared" si="15"/>
        <v>3053982</v>
      </c>
      <c r="S54" s="220">
        <f t="shared" si="15"/>
        <v>2220791</v>
      </c>
      <c r="T54" s="220">
        <f t="shared" si="15"/>
        <v>0</v>
      </c>
      <c r="U54" s="222"/>
    </row>
    <row r="55" spans="1:21" s="214" customFormat="1">
      <c r="A55" s="211" t="s">
        <v>419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159</v>
      </c>
      <c r="B56" s="216">
        <f t="shared" ref="B56:B61" si="16">SUM(C56+D56)</f>
        <v>53210</v>
      </c>
      <c r="C56" s="217">
        <v>53210</v>
      </c>
      <c r="D56" s="217"/>
      <c r="E56" s="217">
        <f>C56</f>
        <v>53210</v>
      </c>
      <c r="F56" s="217"/>
      <c r="G56" s="217"/>
      <c r="H56" s="217"/>
      <c r="I56" s="217"/>
      <c r="J56" s="217"/>
      <c r="K56" s="217"/>
      <c r="L56" s="217"/>
      <c r="M56" s="217"/>
      <c r="N56" s="217"/>
      <c r="O56" s="217"/>
      <c r="P56" s="217"/>
      <c r="Q56" s="217"/>
      <c r="R56" s="860">
        <f t="shared" ref="R56:R61" si="17">SUM(E56:Q56)</f>
        <v>53210</v>
      </c>
      <c r="S56" s="218"/>
      <c r="T56" s="218"/>
      <c r="U56" s="213"/>
    </row>
    <row r="57" spans="1:21" s="302" customFormat="1">
      <c r="A57" s="296" t="s">
        <v>153</v>
      </c>
      <c r="B57" s="303">
        <f t="shared" si="16"/>
        <v>0</v>
      </c>
      <c r="C57" s="300"/>
      <c r="D57" s="300"/>
      <c r="E57" s="300"/>
      <c r="F57" s="300"/>
      <c r="G57" s="300"/>
      <c r="H57" s="300"/>
      <c r="I57" s="300"/>
      <c r="J57" s="300"/>
      <c r="K57" s="300"/>
      <c r="L57" s="300"/>
      <c r="M57" s="300"/>
      <c r="N57" s="300"/>
      <c r="O57" s="300"/>
      <c r="P57" s="300"/>
      <c r="Q57" s="300"/>
      <c r="R57" s="860">
        <f t="shared" si="17"/>
        <v>0</v>
      </c>
      <c r="S57" s="304"/>
      <c r="T57" s="304"/>
      <c r="U57" s="301"/>
    </row>
    <row r="58" spans="1:21" s="214" customFormat="1">
      <c r="A58" s="215" t="s">
        <v>157</v>
      </c>
      <c r="B58" s="216">
        <f t="shared" si="16"/>
        <v>10000</v>
      </c>
      <c r="C58" s="217">
        <v>10000</v>
      </c>
      <c r="D58" s="217"/>
      <c r="E58" s="217">
        <f>C58</f>
        <v>10000</v>
      </c>
      <c r="F58" s="217"/>
      <c r="G58" s="217"/>
      <c r="H58" s="217"/>
      <c r="I58" s="217"/>
      <c r="J58" s="217"/>
      <c r="K58" s="217"/>
      <c r="L58" s="217"/>
      <c r="M58" s="217"/>
      <c r="N58" s="217"/>
      <c r="O58" s="217"/>
      <c r="P58" s="217"/>
      <c r="Q58" s="217"/>
      <c r="R58" s="860">
        <f t="shared" si="17"/>
        <v>10000</v>
      </c>
      <c r="S58" s="218"/>
      <c r="T58" s="218"/>
      <c r="U58" s="213"/>
    </row>
    <row r="59" spans="1:21" s="214" customFormat="1">
      <c r="A59" s="435" t="s">
        <v>155</v>
      </c>
      <c r="B59" s="216">
        <f t="shared" si="16"/>
        <v>0</v>
      </c>
      <c r="C59" s="217"/>
      <c r="D59" s="217"/>
      <c r="E59" s="217"/>
      <c r="F59" s="217"/>
      <c r="G59" s="217"/>
      <c r="H59" s="217"/>
      <c r="I59" s="217"/>
      <c r="J59" s="217"/>
      <c r="K59" s="217"/>
      <c r="L59" s="217"/>
      <c r="M59" s="217"/>
      <c r="N59" s="217"/>
      <c r="O59" s="217"/>
      <c r="P59" s="217"/>
      <c r="Q59" s="217"/>
      <c r="R59" s="860">
        <f t="shared" si="17"/>
        <v>0</v>
      </c>
      <c r="S59" s="218"/>
      <c r="T59" s="218"/>
      <c r="U59" s="213"/>
    </row>
    <row r="60" spans="1:21" s="214" customFormat="1">
      <c r="A60" s="215" t="s">
        <v>156</v>
      </c>
      <c r="B60" s="216">
        <f t="shared" si="16"/>
        <v>0</v>
      </c>
      <c r="C60" s="217"/>
      <c r="D60" s="217"/>
      <c r="E60" s="217"/>
      <c r="F60" s="217"/>
      <c r="G60" s="217"/>
      <c r="H60" s="217"/>
      <c r="I60" s="217"/>
      <c r="J60" s="217"/>
      <c r="K60" s="217"/>
      <c r="L60" s="217"/>
      <c r="M60" s="217"/>
      <c r="N60" s="217"/>
      <c r="O60" s="217"/>
      <c r="P60" s="217"/>
      <c r="Q60" s="217"/>
      <c r="R60" s="860">
        <f t="shared" si="17"/>
        <v>0</v>
      </c>
      <c r="S60" s="218"/>
      <c r="T60" s="218"/>
      <c r="U60" s="213"/>
    </row>
    <row r="61" spans="1:21" s="214" customFormat="1">
      <c r="A61" s="1848" t="s">
        <v>34</v>
      </c>
      <c r="B61" s="216">
        <f t="shared" si="16"/>
        <v>0</v>
      </c>
      <c r="C61" s="217"/>
      <c r="D61" s="217"/>
      <c r="E61" s="217"/>
      <c r="F61" s="217"/>
      <c r="G61" s="217"/>
      <c r="H61" s="217"/>
      <c r="I61" s="217"/>
      <c r="J61" s="217"/>
      <c r="K61" s="217"/>
      <c r="L61" s="217"/>
      <c r="M61" s="217"/>
      <c r="N61" s="217"/>
      <c r="O61" s="217"/>
      <c r="P61" s="217"/>
      <c r="Q61" s="217"/>
      <c r="R61" s="860">
        <f t="shared" si="17"/>
        <v>0</v>
      </c>
      <c r="S61" s="218"/>
      <c r="T61" s="218"/>
      <c r="U61" s="213"/>
    </row>
    <row r="62" spans="1:21" s="214" customFormat="1" ht="13.7" customHeight="1">
      <c r="A62" s="219" t="s">
        <v>302</v>
      </c>
      <c r="B62" s="216">
        <f>SUM(C62:D62)</f>
        <v>63210</v>
      </c>
      <c r="C62" s="216">
        <f t="shared" ref="C62:R62" si="18">SUM(C56:C61)</f>
        <v>63210</v>
      </c>
      <c r="D62" s="216">
        <f t="shared" si="18"/>
        <v>0</v>
      </c>
      <c r="E62" s="216">
        <f t="shared" si="18"/>
        <v>63210</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25">
        <f t="shared" si="18"/>
        <v>63210</v>
      </c>
      <c r="S62" s="218"/>
      <c r="T62" s="218"/>
      <c r="U62" s="213"/>
    </row>
    <row r="63" spans="1:21" s="214" customFormat="1">
      <c r="A63" s="224" t="s">
        <v>303</v>
      </c>
      <c r="B63" s="216">
        <f t="shared" ref="B63:R63" si="19">SUM(B8+B11+B13+B14+B15+B26+B27+B38+B42+B43+B54+B62)</f>
        <v>38742287</v>
      </c>
      <c r="C63" s="216">
        <f t="shared" si="19"/>
        <v>38742287</v>
      </c>
      <c r="D63" s="216">
        <f t="shared" si="19"/>
        <v>0</v>
      </c>
      <c r="E63" s="216">
        <f t="shared" si="19"/>
        <v>21591698</v>
      </c>
      <c r="F63" s="216">
        <f t="shared" si="19"/>
        <v>5321000</v>
      </c>
      <c r="G63" s="216">
        <f t="shared" si="19"/>
        <v>6413275</v>
      </c>
      <c r="H63" s="216">
        <f t="shared" si="19"/>
        <v>4004300</v>
      </c>
      <c r="I63" s="216">
        <f t="shared" si="19"/>
        <v>1035000</v>
      </c>
      <c r="J63" s="216">
        <f t="shared" si="19"/>
        <v>0</v>
      </c>
      <c r="K63" s="216">
        <f t="shared" si="19"/>
        <v>377014</v>
      </c>
      <c r="L63" s="216">
        <f t="shared" si="19"/>
        <v>0</v>
      </c>
      <c r="M63" s="216">
        <f t="shared" si="19"/>
        <v>0</v>
      </c>
      <c r="N63" s="216">
        <f t="shared" si="19"/>
        <v>0</v>
      </c>
      <c r="O63" s="216">
        <f t="shared" si="19"/>
        <v>0</v>
      </c>
      <c r="P63" s="216">
        <f t="shared" si="19"/>
        <v>0</v>
      </c>
      <c r="Q63" s="216">
        <f t="shared" si="19"/>
        <v>0</v>
      </c>
      <c r="R63" s="525">
        <f t="shared" si="19"/>
        <v>38742287</v>
      </c>
      <c r="S63" s="216">
        <f>SUM(S10+S13+S14+S15+S26+S27+S38+S42+S43+S54)</f>
        <v>35470886</v>
      </c>
      <c r="T63" s="216">
        <f>SUM(T11+T13+T14+T15+T26+T27+T38+T42+T43+T54)</f>
        <v>0</v>
      </c>
      <c r="U63" s="213"/>
    </row>
    <row r="64" spans="1:21" s="214" customFormat="1" ht="24">
      <c r="A64" s="211" t="s">
        <v>1823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171</v>
      </c>
      <c r="B65" s="216">
        <f>SUM(C65+D65)</f>
        <v>70000</v>
      </c>
      <c r="C65" s="217">
        <v>70000</v>
      </c>
      <c r="D65" s="217"/>
      <c r="E65" s="217">
        <f>C65</f>
        <v>70000</v>
      </c>
      <c r="F65" s="217"/>
      <c r="G65" s="217"/>
      <c r="H65" s="217"/>
      <c r="I65" s="217"/>
      <c r="J65" s="217"/>
      <c r="K65" s="217"/>
      <c r="L65" s="217"/>
      <c r="M65" s="217"/>
      <c r="N65" s="217"/>
      <c r="O65" s="217"/>
      <c r="P65" s="217"/>
      <c r="Q65" s="217"/>
      <c r="R65" s="860">
        <f>SUM(E65:Q65)</f>
        <v>70000</v>
      </c>
      <c r="S65" s="217">
        <f>R65</f>
        <v>70000</v>
      </c>
      <c r="T65" s="217"/>
      <c r="U65" s="213"/>
    </row>
    <row r="66" spans="1:21" s="214" customFormat="1" ht="24" customHeight="1">
      <c r="A66" s="435" t="s">
        <v>1820</v>
      </c>
      <c r="B66" s="216">
        <f>SUM(C66+D66)</f>
        <v>0</v>
      </c>
      <c r="C66" s="217"/>
      <c r="D66" s="217"/>
      <c r="E66" s="217"/>
      <c r="F66" s="217"/>
      <c r="G66" s="217"/>
      <c r="H66" s="217"/>
      <c r="I66" s="217"/>
      <c r="J66" s="217"/>
      <c r="K66" s="217"/>
      <c r="L66" s="217"/>
      <c r="M66" s="217"/>
      <c r="N66" s="217"/>
      <c r="O66" s="217"/>
      <c r="P66" s="217"/>
      <c r="Q66" s="217"/>
      <c r="R66" s="860">
        <f>SUM(E66:Q66)</f>
        <v>0</v>
      </c>
      <c r="S66" s="217"/>
      <c r="T66" s="217"/>
      <c r="U66" s="213"/>
    </row>
    <row r="67" spans="1:21" s="214" customFormat="1" ht="24" customHeight="1">
      <c r="A67" s="435" t="s">
        <v>1821</v>
      </c>
      <c r="B67" s="216">
        <f>SUM(C67+D67)</f>
        <v>0</v>
      </c>
      <c r="C67" s="217"/>
      <c r="D67" s="217"/>
      <c r="E67" s="217"/>
      <c r="F67" s="217"/>
      <c r="G67" s="217"/>
      <c r="H67" s="217"/>
      <c r="I67" s="217"/>
      <c r="J67" s="217"/>
      <c r="K67" s="217"/>
      <c r="L67" s="217"/>
      <c r="M67" s="217"/>
      <c r="N67" s="217"/>
      <c r="O67" s="217"/>
      <c r="P67" s="217"/>
      <c r="Q67" s="217"/>
      <c r="R67" s="860">
        <f>SUM(E67:Q67)</f>
        <v>0</v>
      </c>
      <c r="S67" s="217"/>
      <c r="T67" s="217"/>
      <c r="U67" s="213"/>
    </row>
    <row r="68" spans="1:21" s="214" customFormat="1" ht="12" customHeight="1">
      <c r="A68" s="435" t="s">
        <v>1827</v>
      </c>
      <c r="B68" s="216">
        <f>SUM(C68+D68)</f>
        <v>0</v>
      </c>
      <c r="C68" s="217"/>
      <c r="D68" s="217"/>
      <c r="E68" s="217"/>
      <c r="F68" s="217"/>
      <c r="G68" s="217"/>
      <c r="H68" s="217"/>
      <c r="I68" s="217"/>
      <c r="J68" s="217"/>
      <c r="K68" s="217"/>
      <c r="L68" s="217"/>
      <c r="M68" s="217"/>
      <c r="N68" s="217"/>
      <c r="O68" s="217"/>
      <c r="P68" s="217"/>
      <c r="Q68" s="217"/>
      <c r="R68" s="860">
        <f>SUM(E68:Q68)</f>
        <v>0</v>
      </c>
      <c r="S68" s="217"/>
      <c r="T68" s="217"/>
      <c r="U68" s="213"/>
    </row>
    <row r="69" spans="1:21" s="214" customFormat="1">
      <c r="A69" s="1848" t="s">
        <v>2763</v>
      </c>
      <c r="B69" s="216">
        <f>SUM(C69+D69)</f>
        <v>70000</v>
      </c>
      <c r="C69" s="217">
        <v>70000</v>
      </c>
      <c r="D69" s="217"/>
      <c r="E69" s="217">
        <f>C69</f>
        <v>70000</v>
      </c>
      <c r="F69" s="217"/>
      <c r="G69" s="217"/>
      <c r="H69" s="217"/>
      <c r="I69" s="217"/>
      <c r="J69" s="217"/>
      <c r="K69" s="217"/>
      <c r="L69" s="217"/>
      <c r="M69" s="217"/>
      <c r="N69" s="217"/>
      <c r="O69" s="217"/>
      <c r="P69" s="217"/>
      <c r="Q69" s="217"/>
      <c r="R69" s="860">
        <f>SUM(E69:Q69)</f>
        <v>70000</v>
      </c>
      <c r="S69" s="217">
        <v>10000</v>
      </c>
      <c r="T69" s="217"/>
      <c r="U69" s="213"/>
    </row>
    <row r="70" spans="1:21" s="214" customFormat="1">
      <c r="A70" s="219" t="s">
        <v>1824</v>
      </c>
      <c r="B70" s="216">
        <f>SUM(C70:D70)</f>
        <v>140000</v>
      </c>
      <c r="C70" s="216">
        <f>SUM(C65:C69)</f>
        <v>140000</v>
      </c>
      <c r="D70" s="216">
        <f>SUM(D65:D69)</f>
        <v>0</v>
      </c>
      <c r="E70" s="216">
        <f t="shared" ref="E70:T70" si="20">SUM(E65:E69)</f>
        <v>140000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25">
        <f t="shared" si="20"/>
        <v>140000</v>
      </c>
      <c r="S70" s="220">
        <f t="shared" si="20"/>
        <v>80000</v>
      </c>
      <c r="T70" s="220">
        <f t="shared" si="20"/>
        <v>0</v>
      </c>
      <c r="U70" s="213"/>
    </row>
    <row r="71" spans="1:21" s="214" customFormat="1">
      <c r="A71" s="211" t="s">
        <v>611</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612</v>
      </c>
      <c r="B72" s="216">
        <f>SUM(C72+D72)</f>
        <v>0</v>
      </c>
      <c r="C72" s="217"/>
      <c r="D72" s="217"/>
      <c r="E72" s="217"/>
      <c r="F72" s="217"/>
      <c r="G72" s="217"/>
      <c r="H72" s="217"/>
      <c r="I72" s="217"/>
      <c r="J72" s="217"/>
      <c r="K72" s="217"/>
      <c r="L72" s="217"/>
      <c r="M72" s="217"/>
      <c r="N72" s="217"/>
      <c r="O72" s="217"/>
      <c r="P72" s="217"/>
      <c r="Q72" s="217"/>
      <c r="R72" s="860">
        <f>SUM(E72:Q72)</f>
        <v>0</v>
      </c>
      <c r="S72" s="218"/>
      <c r="T72" s="218"/>
      <c r="U72" s="213"/>
    </row>
    <row r="73" spans="1:21" s="214" customFormat="1">
      <c r="A73" s="215" t="s">
        <v>613</v>
      </c>
      <c r="B73" s="216">
        <f>SUM(C73+D73)</f>
        <v>0</v>
      </c>
      <c r="C73" s="217"/>
      <c r="D73" s="217"/>
      <c r="E73" s="217"/>
      <c r="F73" s="217"/>
      <c r="G73" s="217"/>
      <c r="H73" s="217"/>
      <c r="I73" s="217"/>
      <c r="J73" s="217"/>
      <c r="K73" s="217"/>
      <c r="L73" s="217"/>
      <c r="M73" s="217"/>
      <c r="N73" s="217"/>
      <c r="O73" s="217"/>
      <c r="P73" s="217"/>
      <c r="Q73" s="217"/>
      <c r="R73" s="860">
        <f>SUM(E73:Q73)</f>
        <v>0</v>
      </c>
      <c r="S73" s="218"/>
      <c r="T73" s="218"/>
      <c r="U73" s="213"/>
    </row>
    <row r="74" spans="1:21" s="214" customFormat="1">
      <c r="A74" s="727" t="s">
        <v>1039</v>
      </c>
      <c r="B74" s="216">
        <f>SUM(C74+D74)</f>
        <v>0</v>
      </c>
      <c r="C74" s="217"/>
      <c r="D74" s="217"/>
      <c r="E74" s="217"/>
      <c r="F74" s="217"/>
      <c r="G74" s="217"/>
      <c r="H74" s="217"/>
      <c r="I74" s="217"/>
      <c r="J74" s="217"/>
      <c r="K74" s="217"/>
      <c r="L74" s="217"/>
      <c r="M74" s="217"/>
      <c r="N74" s="217"/>
      <c r="O74" s="217"/>
      <c r="P74" s="217"/>
      <c r="Q74" s="217"/>
      <c r="R74" s="860">
        <f>SUM(E74:Q74)</f>
        <v>0</v>
      </c>
      <c r="S74" s="218"/>
      <c r="T74" s="218"/>
      <c r="U74" s="213"/>
    </row>
    <row r="75" spans="1:21" s="214" customFormat="1">
      <c r="A75" s="215" t="s">
        <v>614</v>
      </c>
      <c r="B75" s="216">
        <f>SUM(C75+D75)</f>
        <v>228182</v>
      </c>
      <c r="C75" s="217">
        <v>228182</v>
      </c>
      <c r="D75" s="217"/>
      <c r="E75" s="217">
        <f>C75</f>
        <v>228182</v>
      </c>
      <c r="F75" s="217"/>
      <c r="G75" s="217"/>
      <c r="H75" s="217"/>
      <c r="I75" s="217"/>
      <c r="J75" s="217"/>
      <c r="K75" s="217"/>
      <c r="L75" s="217"/>
      <c r="M75" s="217"/>
      <c r="N75" s="217"/>
      <c r="O75" s="217"/>
      <c r="P75" s="217"/>
      <c r="Q75" s="217"/>
      <c r="R75" s="860">
        <f>SUM(E75:Q75)</f>
        <v>228182</v>
      </c>
      <c r="S75" s="218"/>
      <c r="T75" s="218"/>
      <c r="U75" s="213"/>
    </row>
    <row r="76" spans="1:21" s="214" customFormat="1">
      <c r="A76" s="1848" t="s">
        <v>34</v>
      </c>
      <c r="B76" s="216">
        <f>SUM(C76+D76)</f>
        <v>0</v>
      </c>
      <c r="C76" s="217"/>
      <c r="D76" s="217"/>
      <c r="E76" s="217"/>
      <c r="F76" s="217"/>
      <c r="G76" s="217"/>
      <c r="H76" s="217"/>
      <c r="I76" s="217"/>
      <c r="J76" s="217"/>
      <c r="K76" s="217"/>
      <c r="L76" s="217"/>
      <c r="M76" s="217"/>
      <c r="N76" s="217"/>
      <c r="O76" s="217"/>
      <c r="P76" s="217"/>
      <c r="Q76" s="217"/>
      <c r="R76" s="860">
        <f>SUM(E76:Q76)</f>
        <v>0</v>
      </c>
      <c r="S76" s="218"/>
      <c r="T76" s="218"/>
      <c r="U76" s="213"/>
    </row>
    <row r="77" spans="1:21" s="214" customFormat="1">
      <c r="A77" s="219" t="s">
        <v>615</v>
      </c>
      <c r="B77" s="216">
        <f>SUM(C77:D77)</f>
        <v>228182</v>
      </c>
      <c r="C77" s="216">
        <f>SUM(C72:C76)</f>
        <v>228182</v>
      </c>
      <c r="D77" s="216">
        <f>SUM(D72:D76)</f>
        <v>0</v>
      </c>
      <c r="E77" s="216">
        <f t="shared" ref="E77:Q77" si="21">SUM(E72:E76)</f>
        <v>228182</v>
      </c>
      <c r="F77" s="216">
        <f t="shared" si="21"/>
        <v>0</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25">
        <f>SUM(R72:R76)</f>
        <v>228182</v>
      </c>
      <c r="S77" s="218"/>
      <c r="T77" s="218"/>
      <c r="U77" s="213"/>
    </row>
    <row r="78" spans="1:21" s="214" customFormat="1">
      <c r="A78" s="211" t="s">
        <v>1352</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1354</v>
      </c>
      <c r="B79" s="216">
        <f>SUM(C79:D79)</f>
        <v>1744205</v>
      </c>
      <c r="C79" s="217">
        <v>1744205</v>
      </c>
      <c r="D79" s="217"/>
      <c r="E79" s="217">
        <f>C79</f>
        <v>1744205</v>
      </c>
      <c r="F79" s="217"/>
      <c r="G79" s="217"/>
      <c r="H79" s="217"/>
      <c r="I79" s="217"/>
      <c r="J79" s="217"/>
      <c r="K79" s="217"/>
      <c r="L79" s="217"/>
      <c r="M79" s="217"/>
      <c r="N79" s="217"/>
      <c r="O79" s="217"/>
      <c r="P79" s="217"/>
      <c r="Q79" s="217"/>
      <c r="R79" s="860">
        <f>SUM(E79:Q79)</f>
        <v>1744205</v>
      </c>
      <c r="S79" s="217">
        <f>R79</f>
        <v>1744205</v>
      </c>
      <c r="T79" s="217"/>
      <c r="U79" s="213"/>
    </row>
    <row r="80" spans="1:21" s="214" customFormat="1">
      <c r="A80" s="435" t="s">
        <v>58</v>
      </c>
      <c r="B80" s="216">
        <f>SUM(C80:D80)</f>
        <v>150000</v>
      </c>
      <c r="C80" s="217">
        <v>150000</v>
      </c>
      <c r="D80" s="217"/>
      <c r="E80" s="217">
        <f>C80</f>
        <v>150000</v>
      </c>
      <c r="F80" s="217"/>
      <c r="G80" s="217"/>
      <c r="H80" s="217"/>
      <c r="I80" s="217"/>
      <c r="J80" s="217"/>
      <c r="K80" s="217"/>
      <c r="L80" s="217"/>
      <c r="M80" s="217"/>
      <c r="N80" s="217"/>
      <c r="O80" s="217"/>
      <c r="P80" s="217"/>
      <c r="Q80" s="217"/>
      <c r="R80" s="860">
        <f>SUM(E80:Q80)</f>
        <v>150000</v>
      </c>
      <c r="S80" s="217">
        <f>R80</f>
        <v>150000</v>
      </c>
      <c r="T80" s="217"/>
      <c r="U80" s="213"/>
    </row>
    <row r="81" spans="1:21" s="214" customFormat="1">
      <c r="A81" s="219" t="s">
        <v>1351</v>
      </c>
      <c r="B81" s="216">
        <f>SUM(C81:D81)</f>
        <v>1894205</v>
      </c>
      <c r="C81" s="848">
        <f>SUM(C79:C80)</f>
        <v>1894205</v>
      </c>
      <c r="D81" s="848">
        <f t="shared" ref="D81:T81" si="22">SUM(D79:D80)</f>
        <v>0</v>
      </c>
      <c r="E81" s="848">
        <f t="shared" si="22"/>
        <v>1894205</v>
      </c>
      <c r="F81" s="848">
        <f t="shared" si="22"/>
        <v>0</v>
      </c>
      <c r="G81" s="848">
        <f t="shared" si="22"/>
        <v>0</v>
      </c>
      <c r="H81" s="848">
        <f t="shared" si="22"/>
        <v>0</v>
      </c>
      <c r="I81" s="848">
        <f t="shared" si="22"/>
        <v>0</v>
      </c>
      <c r="J81" s="848">
        <f t="shared" si="22"/>
        <v>0</v>
      </c>
      <c r="K81" s="848">
        <f t="shared" si="22"/>
        <v>0</v>
      </c>
      <c r="L81" s="848">
        <f t="shared" si="22"/>
        <v>0</v>
      </c>
      <c r="M81" s="848">
        <f t="shared" si="22"/>
        <v>0</v>
      </c>
      <c r="N81" s="848">
        <f t="shared" si="22"/>
        <v>0</v>
      </c>
      <c r="O81" s="848">
        <f t="shared" si="22"/>
        <v>0</v>
      </c>
      <c r="P81" s="848">
        <f t="shared" si="22"/>
        <v>0</v>
      </c>
      <c r="Q81" s="848">
        <f t="shared" si="22"/>
        <v>0</v>
      </c>
      <c r="R81" s="848">
        <f t="shared" si="22"/>
        <v>1894205</v>
      </c>
      <c r="S81" s="848">
        <f t="shared" si="22"/>
        <v>1894205</v>
      </c>
      <c r="T81" s="848">
        <f t="shared" si="22"/>
        <v>0</v>
      </c>
      <c r="U81" s="213"/>
    </row>
    <row r="82" spans="1:21" s="214" customFormat="1">
      <c r="A82" s="211" t="s">
        <v>789</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7" customHeight="1">
      <c r="A83" s="215" t="s">
        <v>2508</v>
      </c>
      <c r="B83" s="216">
        <f t="shared" ref="B83:B95" si="23">SUM(C83+D83)</f>
        <v>46514</v>
      </c>
      <c r="C83" s="217">
        <v>46514</v>
      </c>
      <c r="D83" s="217"/>
      <c r="E83" s="217">
        <f>C83</f>
        <v>46514</v>
      </c>
      <c r="F83" s="217"/>
      <c r="G83" s="217"/>
      <c r="H83" s="217"/>
      <c r="I83" s="217"/>
      <c r="J83" s="217"/>
      <c r="K83" s="217"/>
      <c r="L83" s="217"/>
      <c r="M83" s="217"/>
      <c r="N83" s="217"/>
      <c r="O83" s="217"/>
      <c r="P83" s="217"/>
      <c r="Q83" s="217"/>
      <c r="R83" s="860">
        <f t="shared" ref="R83:R95" si="24">SUM(E83:Q83)</f>
        <v>46514</v>
      </c>
      <c r="S83" s="218"/>
      <c r="T83" s="218"/>
      <c r="U83" s="213"/>
    </row>
    <row r="84" spans="1:21" s="214" customFormat="1">
      <c r="A84" s="215" t="s">
        <v>791</v>
      </c>
      <c r="B84" s="216">
        <f t="shared" si="23"/>
        <v>50000</v>
      </c>
      <c r="C84" s="217">
        <v>50000</v>
      </c>
      <c r="D84" s="217"/>
      <c r="E84" s="217">
        <f t="shared" ref="E84:E95" si="25">C84</f>
        <v>50000</v>
      </c>
      <c r="F84" s="217"/>
      <c r="G84" s="217"/>
      <c r="H84" s="217"/>
      <c r="I84" s="217"/>
      <c r="J84" s="217"/>
      <c r="K84" s="217"/>
      <c r="L84" s="217"/>
      <c r="M84" s="217"/>
      <c r="N84" s="217"/>
      <c r="O84" s="217"/>
      <c r="P84" s="217"/>
      <c r="Q84" s="217"/>
      <c r="R84" s="860">
        <f t="shared" si="24"/>
        <v>50000</v>
      </c>
      <c r="S84" s="217">
        <f>R84</f>
        <v>50000</v>
      </c>
      <c r="T84" s="217"/>
      <c r="U84" s="213"/>
    </row>
    <row r="85" spans="1:21" s="214" customFormat="1">
      <c r="A85" s="215" t="s">
        <v>792</v>
      </c>
      <c r="B85" s="216">
        <f t="shared" si="23"/>
        <v>45000</v>
      </c>
      <c r="C85" s="217">
        <v>45000</v>
      </c>
      <c r="D85" s="217"/>
      <c r="E85" s="217">
        <f t="shared" si="25"/>
        <v>45000</v>
      </c>
      <c r="F85" s="217"/>
      <c r="G85" s="217"/>
      <c r="H85" s="217"/>
      <c r="I85" s="217"/>
      <c r="J85" s="217"/>
      <c r="K85" s="217"/>
      <c r="L85" s="217"/>
      <c r="M85" s="217"/>
      <c r="N85" s="217"/>
      <c r="O85" s="217"/>
      <c r="P85" s="217"/>
      <c r="Q85" s="217"/>
      <c r="R85" s="860">
        <f t="shared" si="24"/>
        <v>45000</v>
      </c>
      <c r="S85" s="217">
        <f t="shared" ref="S85:S87" si="26">R85</f>
        <v>45000</v>
      </c>
      <c r="T85" s="217"/>
      <c r="U85" s="213"/>
    </row>
    <row r="86" spans="1:21" s="214" customFormat="1">
      <c r="A86" s="215" t="s">
        <v>793</v>
      </c>
      <c r="B86" s="216">
        <f t="shared" si="23"/>
        <v>55000</v>
      </c>
      <c r="C86" s="217">
        <v>55000</v>
      </c>
      <c r="D86" s="217"/>
      <c r="E86" s="217">
        <f t="shared" si="25"/>
        <v>55000</v>
      </c>
      <c r="F86" s="217"/>
      <c r="G86" s="217"/>
      <c r="H86" s="217"/>
      <c r="I86" s="217"/>
      <c r="J86" s="217"/>
      <c r="K86" s="217"/>
      <c r="L86" s="217"/>
      <c r="M86" s="217"/>
      <c r="N86" s="217"/>
      <c r="O86" s="217"/>
      <c r="P86" s="217"/>
      <c r="Q86" s="217"/>
      <c r="R86" s="860">
        <f t="shared" si="24"/>
        <v>55000</v>
      </c>
      <c r="S86" s="217">
        <f t="shared" si="26"/>
        <v>55000</v>
      </c>
      <c r="T86" s="217"/>
      <c r="U86" s="213"/>
    </row>
    <row r="87" spans="1:21" s="214" customFormat="1">
      <c r="A87" s="215" t="s">
        <v>794</v>
      </c>
      <c r="B87" s="216">
        <f t="shared" si="23"/>
        <v>42500</v>
      </c>
      <c r="C87" s="217">
        <v>42500</v>
      </c>
      <c r="D87" s="217"/>
      <c r="E87" s="217">
        <f t="shared" si="25"/>
        <v>42500</v>
      </c>
      <c r="F87" s="217"/>
      <c r="G87" s="217"/>
      <c r="H87" s="217"/>
      <c r="I87" s="217"/>
      <c r="J87" s="217"/>
      <c r="K87" s="217"/>
      <c r="L87" s="217"/>
      <c r="M87" s="217"/>
      <c r="N87" s="217"/>
      <c r="O87" s="217"/>
      <c r="P87" s="217"/>
      <c r="Q87" s="217"/>
      <c r="R87" s="860">
        <f t="shared" si="24"/>
        <v>42500</v>
      </c>
      <c r="S87" s="217">
        <f t="shared" si="26"/>
        <v>42500</v>
      </c>
      <c r="T87" s="217"/>
      <c r="U87" s="213"/>
    </row>
    <row r="88" spans="1:21" s="214" customFormat="1">
      <c r="A88" s="215" t="s">
        <v>795</v>
      </c>
      <c r="B88" s="216">
        <f t="shared" si="23"/>
        <v>20000</v>
      </c>
      <c r="C88" s="217">
        <v>20000</v>
      </c>
      <c r="D88" s="217"/>
      <c r="E88" s="217">
        <f t="shared" si="25"/>
        <v>20000</v>
      </c>
      <c r="F88" s="217"/>
      <c r="G88" s="217"/>
      <c r="H88" s="217"/>
      <c r="I88" s="217"/>
      <c r="J88" s="217"/>
      <c r="K88" s="217"/>
      <c r="L88" s="217"/>
      <c r="M88" s="217"/>
      <c r="N88" s="217"/>
      <c r="O88" s="217"/>
      <c r="P88" s="217"/>
      <c r="Q88" s="217"/>
      <c r="R88" s="860">
        <f t="shared" si="24"/>
        <v>20000</v>
      </c>
      <c r="S88" s="218"/>
      <c r="T88" s="218"/>
      <c r="U88" s="213"/>
    </row>
    <row r="89" spans="1:21" s="214" customFormat="1">
      <c r="A89" s="215" t="s">
        <v>796</v>
      </c>
      <c r="B89" s="216">
        <f t="shared" si="23"/>
        <v>120000</v>
      </c>
      <c r="C89" s="217">
        <v>120000</v>
      </c>
      <c r="D89" s="217"/>
      <c r="E89" s="217">
        <f t="shared" si="25"/>
        <v>120000</v>
      </c>
      <c r="F89" s="217"/>
      <c r="G89" s="217"/>
      <c r="H89" s="217"/>
      <c r="I89" s="217"/>
      <c r="J89" s="217"/>
      <c r="K89" s="217"/>
      <c r="L89" s="217"/>
      <c r="M89" s="217"/>
      <c r="N89" s="217"/>
      <c r="O89" s="217"/>
      <c r="P89" s="217"/>
      <c r="Q89" s="217"/>
      <c r="R89" s="860">
        <f t="shared" si="24"/>
        <v>120000</v>
      </c>
      <c r="S89" s="217">
        <f>R89</f>
        <v>120000</v>
      </c>
      <c r="T89" s="217"/>
      <c r="U89" s="213"/>
    </row>
    <row r="90" spans="1:21" s="214" customFormat="1">
      <c r="A90" s="215" t="s">
        <v>797</v>
      </c>
      <c r="B90" s="216">
        <f t="shared" si="23"/>
        <v>10000</v>
      </c>
      <c r="C90" s="217">
        <v>10000</v>
      </c>
      <c r="D90" s="217"/>
      <c r="E90" s="217">
        <f t="shared" si="25"/>
        <v>10000</v>
      </c>
      <c r="F90" s="217"/>
      <c r="G90" s="217"/>
      <c r="H90" s="217"/>
      <c r="I90" s="217"/>
      <c r="J90" s="217"/>
      <c r="K90" s="217"/>
      <c r="L90" s="217"/>
      <c r="M90" s="217"/>
      <c r="N90" s="217"/>
      <c r="O90" s="217"/>
      <c r="P90" s="217"/>
      <c r="Q90" s="217"/>
      <c r="R90" s="860">
        <f t="shared" si="24"/>
        <v>10000</v>
      </c>
      <c r="S90" s="217"/>
      <c r="T90" s="217"/>
      <c r="U90" s="213"/>
    </row>
    <row r="91" spans="1:21" s="214" customFormat="1">
      <c r="A91" s="1643" t="s">
        <v>373</v>
      </c>
      <c r="B91" s="216">
        <f t="shared" si="23"/>
        <v>25000</v>
      </c>
      <c r="C91" s="217">
        <v>25000</v>
      </c>
      <c r="D91" s="217"/>
      <c r="E91" s="217">
        <f t="shared" si="25"/>
        <v>25000</v>
      </c>
      <c r="F91" s="217"/>
      <c r="G91" s="217"/>
      <c r="H91" s="217"/>
      <c r="I91" s="217"/>
      <c r="J91" s="217"/>
      <c r="K91" s="217"/>
      <c r="L91" s="217"/>
      <c r="M91" s="217"/>
      <c r="N91" s="217"/>
      <c r="O91" s="217"/>
      <c r="P91" s="217"/>
      <c r="Q91" s="217"/>
      <c r="R91" s="860">
        <f t="shared" si="24"/>
        <v>25000</v>
      </c>
      <c r="S91" s="217"/>
      <c r="T91" s="217"/>
      <c r="U91" s="213"/>
    </row>
    <row r="92" spans="1:21" s="214" customFormat="1">
      <c r="A92" s="1642" t="s">
        <v>1353</v>
      </c>
      <c r="B92" s="216">
        <f t="shared" si="23"/>
        <v>10000</v>
      </c>
      <c r="C92" s="217">
        <v>10000</v>
      </c>
      <c r="D92" s="217"/>
      <c r="E92" s="217">
        <f t="shared" si="25"/>
        <v>10000</v>
      </c>
      <c r="F92" s="217"/>
      <c r="G92" s="217"/>
      <c r="H92" s="217"/>
      <c r="I92" s="217"/>
      <c r="J92" s="217"/>
      <c r="K92" s="217"/>
      <c r="L92" s="217"/>
      <c r="M92" s="217"/>
      <c r="N92" s="217"/>
      <c r="O92" s="217"/>
      <c r="P92" s="217"/>
      <c r="Q92" s="217"/>
      <c r="R92" s="860">
        <f t="shared" si="24"/>
        <v>10000</v>
      </c>
      <c r="S92" s="217">
        <f t="shared" ref="S92:S94" si="27">R92</f>
        <v>10000</v>
      </c>
      <c r="T92" s="217"/>
      <c r="U92" s="213"/>
    </row>
    <row r="93" spans="1:21" s="214" customFormat="1" ht="24">
      <c r="A93" s="1848" t="s">
        <v>2764</v>
      </c>
      <c r="B93" s="216">
        <f t="shared" si="23"/>
        <v>180000</v>
      </c>
      <c r="C93" s="217">
        <v>180000</v>
      </c>
      <c r="D93" s="217"/>
      <c r="E93" s="217">
        <f t="shared" si="25"/>
        <v>180000</v>
      </c>
      <c r="F93" s="217"/>
      <c r="G93" s="217"/>
      <c r="H93" s="217"/>
      <c r="I93" s="217"/>
      <c r="J93" s="217"/>
      <c r="K93" s="217"/>
      <c r="L93" s="217"/>
      <c r="M93" s="217"/>
      <c r="N93" s="217"/>
      <c r="O93" s="217"/>
      <c r="P93" s="217"/>
      <c r="Q93" s="217"/>
      <c r="R93" s="860">
        <f t="shared" si="24"/>
        <v>180000</v>
      </c>
      <c r="S93" s="217">
        <f t="shared" si="27"/>
        <v>180000</v>
      </c>
      <c r="T93" s="217"/>
      <c r="U93" s="213"/>
    </row>
    <row r="94" spans="1:21" s="214" customFormat="1" ht="24">
      <c r="A94" s="1848" t="s">
        <v>2765</v>
      </c>
      <c r="B94" s="216">
        <f t="shared" si="23"/>
        <v>112200</v>
      </c>
      <c r="C94" s="217">
        <f>80000+32200</f>
        <v>112200</v>
      </c>
      <c r="D94" s="217"/>
      <c r="E94" s="217">
        <f t="shared" si="25"/>
        <v>112200</v>
      </c>
      <c r="F94" s="217"/>
      <c r="G94" s="217"/>
      <c r="H94" s="217"/>
      <c r="I94" s="217"/>
      <c r="J94" s="217"/>
      <c r="K94" s="217"/>
      <c r="L94" s="217"/>
      <c r="M94" s="217"/>
      <c r="N94" s="217"/>
      <c r="O94" s="217"/>
      <c r="P94" s="217"/>
      <c r="Q94" s="217"/>
      <c r="R94" s="860">
        <f t="shared" si="24"/>
        <v>112200</v>
      </c>
      <c r="S94" s="217">
        <f t="shared" si="27"/>
        <v>112200</v>
      </c>
      <c r="T94" s="217"/>
      <c r="U94" s="213"/>
    </row>
    <row r="95" spans="1:21" s="214" customFormat="1" ht="24">
      <c r="A95" s="1848" t="s">
        <v>2766</v>
      </c>
      <c r="B95" s="216">
        <f t="shared" si="23"/>
        <v>35000</v>
      </c>
      <c r="C95" s="217">
        <v>35000</v>
      </c>
      <c r="D95" s="217"/>
      <c r="E95" s="217">
        <f t="shared" si="25"/>
        <v>35000</v>
      </c>
      <c r="F95" s="217"/>
      <c r="G95" s="217"/>
      <c r="H95" s="217"/>
      <c r="I95" s="217"/>
      <c r="J95" s="217"/>
      <c r="K95" s="217"/>
      <c r="L95" s="217"/>
      <c r="M95" s="217"/>
      <c r="N95" s="217"/>
      <c r="O95" s="217"/>
      <c r="P95" s="217"/>
      <c r="Q95" s="217"/>
      <c r="R95" s="860">
        <f t="shared" si="24"/>
        <v>35000</v>
      </c>
      <c r="S95" s="217"/>
      <c r="T95" s="217"/>
      <c r="U95" s="213"/>
    </row>
    <row r="96" spans="1:21" s="214" customFormat="1">
      <c r="A96" s="219" t="s">
        <v>798</v>
      </c>
      <c r="B96" s="216">
        <f>SUM(C96:D96)</f>
        <v>751214</v>
      </c>
      <c r="C96" s="216">
        <f t="shared" ref="C96:R96" si="28">SUM(C83:C95)</f>
        <v>751214</v>
      </c>
      <c r="D96" s="216">
        <f t="shared" si="28"/>
        <v>0</v>
      </c>
      <c r="E96" s="216">
        <f t="shared" si="28"/>
        <v>751214</v>
      </c>
      <c r="F96" s="216">
        <f t="shared" si="28"/>
        <v>0</v>
      </c>
      <c r="G96" s="216">
        <f t="shared" si="28"/>
        <v>0</v>
      </c>
      <c r="H96" s="216">
        <f t="shared" si="28"/>
        <v>0</v>
      </c>
      <c r="I96" s="216">
        <f t="shared" si="28"/>
        <v>0</v>
      </c>
      <c r="J96" s="216">
        <f t="shared" si="28"/>
        <v>0</v>
      </c>
      <c r="K96" s="216">
        <f t="shared" si="28"/>
        <v>0</v>
      </c>
      <c r="L96" s="216">
        <f t="shared" si="28"/>
        <v>0</v>
      </c>
      <c r="M96" s="216">
        <f t="shared" si="28"/>
        <v>0</v>
      </c>
      <c r="N96" s="216">
        <f t="shared" si="28"/>
        <v>0</v>
      </c>
      <c r="O96" s="216">
        <f t="shared" si="28"/>
        <v>0</v>
      </c>
      <c r="P96" s="216">
        <f t="shared" si="28"/>
        <v>0</v>
      </c>
      <c r="Q96" s="216">
        <f t="shared" si="28"/>
        <v>0</v>
      </c>
      <c r="R96" s="525">
        <f t="shared" si="28"/>
        <v>751214</v>
      </c>
      <c r="S96" s="220">
        <f>SUM(S84:S87,S89:S95)</f>
        <v>614700</v>
      </c>
      <c r="T96" s="216">
        <f>SUM(T84:T87,T89:T95)</f>
        <v>0</v>
      </c>
      <c r="U96" s="213"/>
    </row>
    <row r="97" spans="1:21" s="214" customFormat="1">
      <c r="A97" s="219" t="s">
        <v>799</v>
      </c>
      <c r="B97" s="216">
        <f>SUM(C97:D97)</f>
        <v>41755888</v>
      </c>
      <c r="C97" s="216">
        <f t="shared" ref="C97:R97" si="29">SUM(C63+C70+C77+C81+C96)</f>
        <v>41755888</v>
      </c>
      <c r="D97" s="216">
        <f t="shared" si="29"/>
        <v>0</v>
      </c>
      <c r="E97" s="216">
        <f t="shared" si="29"/>
        <v>24605299</v>
      </c>
      <c r="F97" s="216">
        <f t="shared" si="29"/>
        <v>5321000</v>
      </c>
      <c r="G97" s="216">
        <f t="shared" si="29"/>
        <v>6413275</v>
      </c>
      <c r="H97" s="216">
        <f t="shared" si="29"/>
        <v>4004300</v>
      </c>
      <c r="I97" s="216">
        <f t="shared" si="29"/>
        <v>1035000</v>
      </c>
      <c r="J97" s="216">
        <f t="shared" si="29"/>
        <v>0</v>
      </c>
      <c r="K97" s="216">
        <f t="shared" si="29"/>
        <v>377014</v>
      </c>
      <c r="L97" s="216">
        <f t="shared" si="29"/>
        <v>0</v>
      </c>
      <c r="M97" s="216">
        <f t="shared" si="29"/>
        <v>0</v>
      </c>
      <c r="N97" s="216">
        <f t="shared" si="29"/>
        <v>0</v>
      </c>
      <c r="O97" s="216">
        <f t="shared" si="29"/>
        <v>0</v>
      </c>
      <c r="P97" s="216">
        <f t="shared" si="29"/>
        <v>0</v>
      </c>
      <c r="Q97" s="216">
        <f t="shared" si="29"/>
        <v>0</v>
      </c>
      <c r="R97" s="216">
        <f t="shared" si="29"/>
        <v>41755888</v>
      </c>
      <c r="S97" s="216">
        <f>SUM(S63+S70+S81+S96)</f>
        <v>38059791</v>
      </c>
      <c r="T97" s="216">
        <f>SUM(T63+T70+T81+T96)</f>
        <v>0</v>
      </c>
      <c r="U97" s="213"/>
    </row>
    <row r="98" spans="1:21" s="214" customFormat="1">
      <c r="A98" s="211" t="s">
        <v>800</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801</v>
      </c>
      <c r="B99" s="216">
        <f>SUM(C99+D99)</f>
        <v>2500000</v>
      </c>
      <c r="C99" s="1537">
        <v>2500000</v>
      </c>
      <c r="D99" s="1537"/>
      <c r="E99" s="1537">
        <f>C99-J99</f>
        <v>1500000</v>
      </c>
      <c r="F99" s="217"/>
      <c r="G99" s="217"/>
      <c r="H99" s="217"/>
      <c r="I99" s="217"/>
      <c r="J99" s="217">
        <v>1000000</v>
      </c>
      <c r="K99" s="217"/>
      <c r="L99" s="217"/>
      <c r="M99" s="217"/>
      <c r="N99" s="217"/>
      <c r="O99" s="217"/>
      <c r="P99" s="217"/>
      <c r="Q99" s="217"/>
      <c r="R99" s="860">
        <f>SUM(E99:Q99)</f>
        <v>2500000</v>
      </c>
      <c r="S99" s="217">
        <f>R99</f>
        <v>2500000</v>
      </c>
      <c r="T99" s="217"/>
      <c r="U99" s="213"/>
    </row>
    <row r="100" spans="1:21" s="214" customFormat="1">
      <c r="A100" s="435" t="s">
        <v>1825</v>
      </c>
      <c r="B100" s="216">
        <f>SUM(C100+D100)</f>
        <v>0</v>
      </c>
      <c r="C100" s="217"/>
      <c r="D100" s="217"/>
      <c r="E100" s="217"/>
      <c r="F100" s="217"/>
      <c r="G100" s="217"/>
      <c r="H100" s="217"/>
      <c r="I100" s="217"/>
      <c r="J100" s="217"/>
      <c r="K100" s="217"/>
      <c r="L100" s="217"/>
      <c r="M100" s="217"/>
      <c r="N100" s="217"/>
      <c r="O100" s="217"/>
      <c r="P100" s="217"/>
      <c r="Q100" s="217"/>
      <c r="R100" s="860">
        <f>SUM(E100:Q100)</f>
        <v>0</v>
      </c>
      <c r="S100" s="217"/>
      <c r="T100" s="217"/>
      <c r="U100" s="213"/>
    </row>
    <row r="101" spans="1:21" s="214" customFormat="1" ht="12" customHeight="1">
      <c r="A101" s="215" t="s">
        <v>802</v>
      </c>
      <c r="B101" s="216">
        <f>SUM(C101+D101)</f>
        <v>0</v>
      </c>
      <c r="C101" s="217"/>
      <c r="D101" s="217"/>
      <c r="E101" s="217"/>
      <c r="F101" s="217"/>
      <c r="G101" s="217"/>
      <c r="H101" s="217"/>
      <c r="I101" s="217"/>
      <c r="J101" s="217"/>
      <c r="K101" s="217"/>
      <c r="L101" s="217"/>
      <c r="M101" s="217"/>
      <c r="N101" s="217"/>
      <c r="O101" s="217"/>
      <c r="P101" s="217"/>
      <c r="Q101" s="217"/>
      <c r="R101" s="860">
        <f>SUM(E101:Q101)</f>
        <v>0</v>
      </c>
      <c r="S101" s="217"/>
      <c r="T101" s="217"/>
      <c r="U101" s="213"/>
    </row>
    <row r="102" spans="1:21" s="214" customFormat="1">
      <c r="A102" s="435" t="s">
        <v>1826</v>
      </c>
      <c r="B102" s="216">
        <f>SUM(C102+D102)</f>
        <v>0</v>
      </c>
      <c r="C102" s="217"/>
      <c r="D102" s="217"/>
      <c r="E102" s="217"/>
      <c r="F102" s="217"/>
      <c r="G102" s="217"/>
      <c r="H102" s="217"/>
      <c r="I102" s="217"/>
      <c r="J102" s="217"/>
      <c r="K102" s="217"/>
      <c r="L102" s="217"/>
      <c r="M102" s="217"/>
      <c r="N102" s="217"/>
      <c r="O102" s="217"/>
      <c r="P102" s="217"/>
      <c r="Q102" s="217"/>
      <c r="R102" s="860">
        <f>SUM(E102:Q102)</f>
        <v>0</v>
      </c>
      <c r="S102" s="217"/>
      <c r="T102" s="217"/>
      <c r="U102" s="213"/>
    </row>
    <row r="103" spans="1:21" s="214" customFormat="1">
      <c r="A103" s="1848" t="s">
        <v>34</v>
      </c>
      <c r="B103" s="216">
        <f>SUM(C103+D103)</f>
        <v>0</v>
      </c>
      <c r="C103" s="217"/>
      <c r="D103" s="217"/>
      <c r="E103" s="217"/>
      <c r="F103" s="217"/>
      <c r="G103" s="217"/>
      <c r="H103" s="217"/>
      <c r="I103" s="217"/>
      <c r="J103" s="217"/>
      <c r="K103" s="217"/>
      <c r="L103" s="217"/>
      <c r="M103" s="217"/>
      <c r="N103" s="217"/>
      <c r="O103" s="217"/>
      <c r="P103" s="217"/>
      <c r="Q103" s="217"/>
      <c r="R103" s="860">
        <f>SUM(E103:Q103)</f>
        <v>0</v>
      </c>
      <c r="S103" s="217"/>
      <c r="T103" s="217"/>
      <c r="U103" s="213"/>
    </row>
    <row r="104" spans="1:21" s="214" customFormat="1">
      <c r="A104" s="219" t="s">
        <v>803</v>
      </c>
      <c r="B104" s="216">
        <f>SUM(C104:D104)</f>
        <v>2500000</v>
      </c>
      <c r="C104" s="216">
        <f>SUM(C99:C103)</f>
        <v>2500000</v>
      </c>
      <c r="D104" s="216">
        <f t="shared" ref="D104:T104" si="30">SUM(D99:D103)</f>
        <v>0</v>
      </c>
      <c r="E104" s="216">
        <f t="shared" si="30"/>
        <v>1500000</v>
      </c>
      <c r="F104" s="216">
        <f t="shared" si="30"/>
        <v>0</v>
      </c>
      <c r="G104" s="216">
        <f t="shared" si="30"/>
        <v>0</v>
      </c>
      <c r="H104" s="216">
        <f t="shared" si="30"/>
        <v>0</v>
      </c>
      <c r="I104" s="216">
        <f t="shared" si="30"/>
        <v>0</v>
      </c>
      <c r="J104" s="216">
        <f t="shared" si="30"/>
        <v>1000000</v>
      </c>
      <c r="K104" s="216">
        <f t="shared" si="30"/>
        <v>0</v>
      </c>
      <c r="L104" s="216">
        <f t="shared" si="30"/>
        <v>0</v>
      </c>
      <c r="M104" s="216">
        <f t="shared" si="30"/>
        <v>0</v>
      </c>
      <c r="N104" s="216">
        <f t="shared" si="30"/>
        <v>0</v>
      </c>
      <c r="O104" s="216">
        <f t="shared" si="30"/>
        <v>0</v>
      </c>
      <c r="P104" s="216">
        <f t="shared" si="30"/>
        <v>0</v>
      </c>
      <c r="Q104" s="216">
        <f t="shared" si="30"/>
        <v>0</v>
      </c>
      <c r="R104" s="525">
        <f t="shared" si="30"/>
        <v>2500000</v>
      </c>
      <c r="S104" s="220">
        <f t="shared" si="30"/>
        <v>2500000</v>
      </c>
      <c r="T104" s="220">
        <f t="shared" si="30"/>
        <v>0</v>
      </c>
      <c r="U104" s="213"/>
    </row>
    <row r="105" spans="1:21" s="214" customFormat="1">
      <c r="A105" s="219" t="s">
        <v>804</v>
      </c>
      <c r="B105" s="220">
        <f>SUM(C105:D105)</f>
        <v>44255888</v>
      </c>
      <c r="C105" s="220">
        <f t="shared" ref="C105:R105" si="31">SUM(C97+C104)</f>
        <v>44255888</v>
      </c>
      <c r="D105" s="220">
        <f t="shared" si="31"/>
        <v>0</v>
      </c>
      <c r="E105" s="220">
        <f t="shared" si="31"/>
        <v>26105299</v>
      </c>
      <c r="F105" s="220">
        <f t="shared" si="31"/>
        <v>5321000</v>
      </c>
      <c r="G105" s="220">
        <f t="shared" si="31"/>
        <v>6413275</v>
      </c>
      <c r="H105" s="220">
        <f t="shared" si="31"/>
        <v>4004300</v>
      </c>
      <c r="I105" s="220">
        <f t="shared" si="31"/>
        <v>1035000</v>
      </c>
      <c r="J105" s="220">
        <f t="shared" si="31"/>
        <v>1000000</v>
      </c>
      <c r="K105" s="220">
        <f t="shared" si="31"/>
        <v>377014</v>
      </c>
      <c r="L105" s="220">
        <f t="shared" si="31"/>
        <v>0</v>
      </c>
      <c r="M105" s="220">
        <f t="shared" si="31"/>
        <v>0</v>
      </c>
      <c r="N105" s="220">
        <f t="shared" si="31"/>
        <v>0</v>
      </c>
      <c r="O105" s="220">
        <f t="shared" si="31"/>
        <v>0</v>
      </c>
      <c r="P105" s="220">
        <f t="shared" si="31"/>
        <v>0</v>
      </c>
      <c r="Q105" s="220">
        <f t="shared" si="31"/>
        <v>0</v>
      </c>
      <c r="R105" s="525">
        <f t="shared" si="31"/>
        <v>44255888</v>
      </c>
      <c r="S105" s="220">
        <f>S97+S104</f>
        <v>40559791</v>
      </c>
      <c r="T105" s="220">
        <f>T97+T104</f>
        <v>0</v>
      </c>
      <c r="U105" s="213"/>
    </row>
    <row r="106" spans="1:21">
      <c r="A106" s="855" t="s">
        <v>1080</v>
      </c>
      <c r="B106" s="227"/>
      <c r="C106" s="227"/>
      <c r="D106" s="227"/>
      <c r="H106" s="229" t="s">
        <v>93</v>
      </c>
      <c r="I106" s="229"/>
      <c r="J106" s="229"/>
      <c r="R106" s="230" t="s">
        <v>94</v>
      </c>
      <c r="S106" s="217"/>
      <c r="T106" s="217"/>
    </row>
    <row r="107" spans="1:21">
      <c r="A107" s="227" t="s">
        <v>184</v>
      </c>
      <c r="C107" s="227"/>
      <c r="D107" s="227"/>
      <c r="I107" s="232" t="s">
        <v>351</v>
      </c>
      <c r="J107" s="232"/>
      <c r="R107" s="230" t="s">
        <v>95</v>
      </c>
      <c r="S107" s="233">
        <f>S105+S106</f>
        <v>40559791</v>
      </c>
      <c r="T107" s="233">
        <f>T105+T106</f>
        <v>0</v>
      </c>
    </row>
    <row r="108" spans="1:21" s="299" customFormat="1">
      <c r="A108" s="232" t="s">
        <v>908</v>
      </c>
      <c r="B108" s="227"/>
      <c r="C108" s="227"/>
      <c r="D108" s="227"/>
      <c r="E108" s="459">
        <f>Application!AO636</f>
        <v>26105299</v>
      </c>
      <c r="F108" s="459">
        <f>Application!AO623</f>
        <v>5321000</v>
      </c>
      <c r="G108" s="459">
        <f>Application!AO624</f>
        <v>6413275</v>
      </c>
      <c r="H108" s="459">
        <f>Application!AO625</f>
        <v>4004300</v>
      </c>
      <c r="I108" s="459">
        <f>Application!AO626</f>
        <v>1035000</v>
      </c>
      <c r="J108" s="459">
        <f>Application!AO627</f>
        <v>1000000</v>
      </c>
      <c r="K108" s="459">
        <f>Application!AO628</f>
        <v>377014</v>
      </c>
      <c r="L108" s="459">
        <f>Application!AO629</f>
        <v>0</v>
      </c>
      <c r="M108" s="459">
        <f>Application!AO630</f>
        <v>0</v>
      </c>
      <c r="N108" s="459">
        <f>Application!AO631</f>
        <v>0</v>
      </c>
      <c r="O108" s="459">
        <f>Application!AO632</f>
        <v>0</v>
      </c>
      <c r="P108" s="459">
        <f>Application!AO633</f>
        <v>0</v>
      </c>
      <c r="Q108" s="459">
        <f>Application!AO634</f>
        <v>0</v>
      </c>
      <c r="R108" s="228"/>
      <c r="S108" s="228"/>
      <c r="T108" s="228"/>
      <c r="U108" s="298"/>
    </row>
    <row r="109" spans="1:21" ht="10.15" customHeight="1">
      <c r="A109" s="227"/>
      <c r="B109" s="227"/>
      <c r="C109" s="227"/>
      <c r="D109" s="227"/>
    </row>
    <row r="110" spans="1:21">
      <c r="A110" s="232" t="s">
        <v>997</v>
      </c>
      <c r="B110" s="227"/>
      <c r="C110" s="227"/>
      <c r="D110" s="227"/>
    </row>
    <row r="111" spans="1:21">
      <c r="A111" s="226" t="s">
        <v>998</v>
      </c>
      <c r="B111" s="227"/>
      <c r="C111" s="227"/>
      <c r="D111" s="227"/>
    </row>
    <row r="112" spans="1:21" ht="12" customHeight="1">
      <c r="A112" s="478"/>
      <c r="B112" s="227"/>
      <c r="C112" s="227"/>
      <c r="D112" s="227"/>
    </row>
    <row r="113" spans="1:21">
      <c r="A113" s="226" t="s">
        <v>1076</v>
      </c>
      <c r="B113" s="227"/>
      <c r="C113" s="227"/>
      <c r="D113" s="227"/>
    </row>
    <row r="114" spans="1:21">
      <c r="A114" s="226" t="s">
        <v>2509</v>
      </c>
      <c r="B114" s="227"/>
      <c r="C114" s="227"/>
      <c r="D114" s="227"/>
    </row>
    <row r="115" spans="1:21" ht="12" customHeight="1">
      <c r="A115" s="478"/>
      <c r="B115" s="227"/>
      <c r="C115" s="227"/>
      <c r="D115" s="227"/>
    </row>
    <row r="116" spans="1:21">
      <c r="A116" s="528" t="s">
        <v>1082</v>
      </c>
      <c r="B116" s="227"/>
      <c r="C116" s="227"/>
      <c r="D116" s="227"/>
    </row>
    <row r="117" spans="1:21">
      <c r="A117" s="528" t="s">
        <v>1369</v>
      </c>
      <c r="B117" s="227"/>
      <c r="C117" s="227"/>
      <c r="D117" s="227"/>
    </row>
    <row r="118" spans="1:21">
      <c r="A118" s="528" t="s">
        <v>1081</v>
      </c>
      <c r="B118" s="227"/>
      <c r="C118" s="227"/>
      <c r="D118" s="227"/>
    </row>
    <row r="119" spans="1:21">
      <c r="A119" s="528" t="s">
        <v>1083</v>
      </c>
      <c r="B119" s="227"/>
      <c r="C119" s="227"/>
      <c r="D119" s="227"/>
    </row>
    <row r="120" spans="1:21" ht="12" customHeight="1">
      <c r="A120" s="527"/>
      <c r="B120" s="227"/>
      <c r="C120" s="227"/>
      <c r="D120" s="227"/>
    </row>
    <row r="121" spans="1:21" ht="15.75">
      <c r="A121" s="521" t="s">
        <v>1061</v>
      </c>
      <c r="B121" s="227"/>
      <c r="C121" s="227"/>
      <c r="D121" s="227"/>
    </row>
    <row r="122" spans="1:21">
      <c r="A122" s="506" t="s">
        <v>1045</v>
      </c>
      <c r="B122" s="505"/>
      <c r="C122" s="505"/>
      <c r="D122" s="2629" t="s">
        <v>1046</v>
      </c>
      <c r="E122" s="2629"/>
      <c r="F122" s="2629"/>
      <c r="G122" s="505"/>
      <c r="H122" s="505"/>
      <c r="I122" s="505"/>
      <c r="J122" s="505"/>
      <c r="K122" s="505"/>
      <c r="L122" s="505"/>
      <c r="M122" s="505"/>
      <c r="N122" s="505"/>
      <c r="O122" s="505"/>
      <c r="P122" s="505"/>
      <c r="Q122" s="505"/>
      <c r="R122" s="505"/>
      <c r="S122" s="505"/>
      <c r="T122" s="505"/>
      <c r="U122" s="507"/>
    </row>
    <row r="123" spans="1:21">
      <c r="A123" s="505" t="s">
        <v>1047</v>
      </c>
      <c r="B123" s="514"/>
      <c r="C123" s="505"/>
      <c r="D123" s="2619" t="s">
        <v>1370</v>
      </c>
      <c r="E123" s="2620"/>
      <c r="F123" s="2620"/>
      <c r="G123" s="2620"/>
      <c r="H123" s="2620"/>
      <c r="I123" s="2620"/>
      <c r="J123" s="2620"/>
      <c r="K123" s="2620"/>
      <c r="L123" s="2620"/>
      <c r="M123" s="2620"/>
      <c r="N123" s="2620"/>
      <c r="O123" s="2620"/>
      <c r="P123" s="2620"/>
      <c r="Q123" s="2620"/>
      <c r="R123" s="2620"/>
      <c r="S123" s="2620"/>
      <c r="T123" s="505"/>
      <c r="U123" s="507"/>
    </row>
    <row r="124" spans="1:21" ht="12.75">
      <c r="A124" s="504" t="s">
        <v>1048</v>
      </c>
      <c r="B124" s="514"/>
      <c r="C124" s="504"/>
      <c r="D124" s="2620"/>
      <c r="E124" s="2620"/>
      <c r="F124" s="2620"/>
      <c r="G124" s="2620"/>
      <c r="H124" s="2620"/>
      <c r="I124" s="2620"/>
      <c r="J124" s="2620"/>
      <c r="K124" s="2620"/>
      <c r="L124" s="2620"/>
      <c r="M124" s="2620"/>
      <c r="N124" s="2620"/>
      <c r="O124" s="2620"/>
      <c r="P124" s="2620"/>
      <c r="Q124" s="2620"/>
      <c r="R124" s="2620"/>
      <c r="S124" s="2620"/>
      <c r="T124" s="505"/>
      <c r="U124" s="507"/>
    </row>
    <row r="125" spans="1:21" ht="12.75">
      <c r="A125" s="504" t="s">
        <v>1049</v>
      </c>
      <c r="B125" s="514"/>
      <c r="C125" s="504"/>
      <c r="D125" s="2620"/>
      <c r="E125" s="2620"/>
      <c r="F125" s="2620"/>
      <c r="G125" s="2620"/>
      <c r="H125" s="2620"/>
      <c r="I125" s="2620"/>
      <c r="J125" s="2620"/>
      <c r="K125" s="2620"/>
      <c r="L125" s="2620"/>
      <c r="M125" s="2620"/>
      <c r="N125" s="2620"/>
      <c r="O125" s="2620"/>
      <c r="P125" s="2620"/>
      <c r="Q125" s="2620"/>
      <c r="R125" s="2620"/>
      <c r="S125" s="2620"/>
      <c r="T125" s="505"/>
      <c r="U125" s="507"/>
    </row>
    <row r="126" spans="1:21" ht="12.75">
      <c r="A126" s="504" t="s">
        <v>1050</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75">
      <c r="A127" s="504" t="s">
        <v>1051</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75">
      <c r="A128" s="504" t="s">
        <v>1052</v>
      </c>
      <c r="B128" s="514"/>
      <c r="C128" s="504"/>
      <c r="D128" s="2627"/>
      <c r="E128" s="2627"/>
      <c r="F128" s="2627"/>
      <c r="G128" s="2627"/>
      <c r="H128" s="2627"/>
      <c r="I128" s="504"/>
      <c r="J128" s="2618"/>
      <c r="K128" s="2618"/>
      <c r="L128" s="504"/>
      <c r="M128" s="504"/>
      <c r="N128" s="504"/>
      <c r="O128" s="504"/>
      <c r="P128" s="504"/>
      <c r="Q128" s="504"/>
      <c r="R128" s="504"/>
      <c r="S128" s="504"/>
      <c r="T128" s="505"/>
      <c r="U128" s="507"/>
    </row>
    <row r="129" spans="1:21" ht="12.75">
      <c r="A129" s="504" t="s">
        <v>301</v>
      </c>
      <c r="B129" s="514"/>
      <c r="C129" s="504"/>
      <c r="D129" s="2628" t="s">
        <v>1053</v>
      </c>
      <c r="E129" s="2628"/>
      <c r="F129" s="2628"/>
      <c r="G129" s="2628"/>
      <c r="H129" s="2628"/>
      <c r="I129" s="504"/>
      <c r="J129" s="504" t="s">
        <v>1054</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2.75">
      <c r="A131" s="517" t="s">
        <v>1055</v>
      </c>
      <c r="B131" s="515">
        <f>SUM(B123:B129)</f>
        <v>0</v>
      </c>
      <c r="C131" s="504"/>
      <c r="D131" s="2161"/>
      <c r="E131" s="2161"/>
      <c r="F131" s="2161"/>
      <c r="G131" s="2161"/>
      <c r="H131" s="2161"/>
      <c r="I131" s="504"/>
      <c r="J131" s="2161"/>
      <c r="K131" s="2161"/>
      <c r="L131" s="2161"/>
      <c r="M131" s="2161"/>
      <c r="N131" s="504"/>
      <c r="O131" s="504"/>
      <c r="P131" s="504"/>
      <c r="Q131" s="504"/>
      <c r="R131" s="504"/>
      <c r="S131" s="504"/>
      <c r="T131" s="505"/>
      <c r="U131" s="507"/>
    </row>
    <row r="132" spans="1:21" ht="12" customHeight="1">
      <c r="A132" s="518"/>
      <c r="B132" s="504"/>
      <c r="C132" s="504"/>
      <c r="D132" s="2621" t="s">
        <v>1056</v>
      </c>
      <c r="E132" s="2621"/>
      <c r="F132" s="2621"/>
      <c r="G132" s="2621"/>
      <c r="H132" s="2621"/>
      <c r="I132" s="504"/>
      <c r="J132" s="2621" t="s">
        <v>1057</v>
      </c>
      <c r="K132" s="2621"/>
      <c r="L132" s="2621"/>
      <c r="M132" s="2621"/>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75">
      <c r="A134" s="519" t="s">
        <v>1058</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2.75">
      <c r="A135" s="478" t="s">
        <v>1059</v>
      </c>
      <c r="B135" s="504"/>
      <c r="C135" s="504"/>
      <c r="D135" s="504"/>
      <c r="E135" s="504"/>
      <c r="F135" s="504"/>
      <c r="G135" s="504"/>
      <c r="H135" s="504"/>
      <c r="I135" s="504"/>
      <c r="J135" s="504"/>
      <c r="K135" s="504"/>
      <c r="L135" s="504"/>
      <c r="M135" s="504"/>
      <c r="N135" s="520"/>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75">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22"/>
      <c r="B138" s="2623"/>
      <c r="C138" s="2623"/>
      <c r="D138" s="509"/>
      <c r="E138" s="2618"/>
      <c r="F138" s="2618"/>
      <c r="G138" s="504"/>
      <c r="H138" s="504"/>
      <c r="I138" s="504"/>
      <c r="J138" s="504"/>
      <c r="K138" s="504"/>
      <c r="L138" s="504"/>
      <c r="M138" s="504"/>
      <c r="N138" s="504"/>
      <c r="O138" s="504"/>
      <c r="P138" s="504"/>
      <c r="Q138" s="504"/>
      <c r="R138" s="504"/>
      <c r="S138" s="504"/>
      <c r="T138" s="511"/>
      <c r="U138" s="512"/>
    </row>
    <row r="139" spans="1:21" ht="12.75">
      <c r="A139" s="2616" t="s">
        <v>1060</v>
      </c>
      <c r="B139" s="2617"/>
      <c r="C139" s="2617"/>
      <c r="D139" s="509"/>
      <c r="E139" s="504" t="s">
        <v>1054</v>
      </c>
      <c r="F139" s="504"/>
      <c r="G139" s="504"/>
      <c r="H139" s="504"/>
      <c r="I139" s="504"/>
      <c r="J139" s="504"/>
      <c r="K139" s="504"/>
      <c r="L139" s="504"/>
      <c r="M139" s="504"/>
      <c r="N139" s="504"/>
      <c r="O139" s="504"/>
      <c r="P139" s="504"/>
      <c r="Q139" s="504"/>
      <c r="R139" s="504"/>
      <c r="S139" s="504"/>
      <c r="T139" s="511"/>
      <c r="U139" s="512"/>
    </row>
    <row r="140" spans="1:21" ht="12.75">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2" priority="254" stopIfTrue="1">
      <formula>T9&gt;C9</formula>
    </cfRule>
  </conditionalFormatting>
  <conditionalFormatting sqref="S10">
    <cfRule type="expression" dxfId="151" priority="253" stopIfTrue="1">
      <formula>(S10+T10)&gt;C10</formula>
    </cfRule>
  </conditionalFormatting>
  <conditionalFormatting sqref="R8">
    <cfRule type="cellIs" dxfId="150" priority="242" stopIfTrue="1" operator="notEqual">
      <formula>$B8</formula>
    </cfRule>
    <cfRule type="cellIs" priority="245" stopIfTrue="1" operator="notEqual">
      <formula>$B8</formula>
    </cfRule>
  </conditionalFormatting>
  <conditionalFormatting sqref="R4:R7 R56:R61 R45:R53 R83:R95 R99:R103">
    <cfRule type="cellIs" dxfId="149" priority="244" stopIfTrue="1" operator="notEqual">
      <formula>$B4</formula>
    </cfRule>
  </conditionalFormatting>
  <conditionalFormatting sqref="R9:R10">
    <cfRule type="cellIs" dxfId="148" priority="243" stopIfTrue="1" operator="notEqual">
      <formula>$B9</formula>
    </cfRule>
  </conditionalFormatting>
  <conditionalFormatting sqref="R11:R12">
    <cfRule type="cellIs" dxfId="147" priority="240" stopIfTrue="1" operator="notEqual">
      <formula>$B11</formula>
    </cfRule>
    <cfRule type="cellIs" priority="241" stopIfTrue="1" operator="notEqual">
      <formula>$B11</formula>
    </cfRule>
  </conditionalFormatting>
  <conditionalFormatting sqref="R13:R15">
    <cfRule type="cellIs" dxfId="146" priority="239" stopIfTrue="1" operator="notEqual">
      <formula>$B13</formula>
    </cfRule>
  </conditionalFormatting>
  <conditionalFormatting sqref="R26">
    <cfRule type="cellIs" dxfId="145" priority="237" stopIfTrue="1" operator="notEqual">
      <formula>$B26</formula>
    </cfRule>
    <cfRule type="cellIs" priority="238" stopIfTrue="1" operator="notEqual">
      <formula>$B26</formula>
    </cfRule>
  </conditionalFormatting>
  <conditionalFormatting sqref="R17:R25">
    <cfRule type="cellIs" dxfId="144" priority="236" stopIfTrue="1" operator="notEqual">
      <formula>$B17</formula>
    </cfRule>
  </conditionalFormatting>
  <conditionalFormatting sqref="R27">
    <cfRule type="cellIs" dxfId="143" priority="235" stopIfTrue="1" operator="notEqual">
      <formula>$B27</formula>
    </cfRule>
  </conditionalFormatting>
  <conditionalFormatting sqref="R38">
    <cfRule type="cellIs" dxfId="142" priority="233" stopIfTrue="1" operator="notEqual">
      <formula>$B38</formula>
    </cfRule>
    <cfRule type="cellIs" priority="234" stopIfTrue="1" operator="notEqual">
      <formula>$B38</formula>
    </cfRule>
  </conditionalFormatting>
  <conditionalFormatting sqref="R29:R37">
    <cfRule type="cellIs" dxfId="141" priority="232" stopIfTrue="1" operator="notEqual">
      <formula>$B29</formula>
    </cfRule>
  </conditionalFormatting>
  <conditionalFormatting sqref="R42">
    <cfRule type="cellIs" dxfId="140" priority="230" stopIfTrue="1" operator="notEqual">
      <formula>$B42</formula>
    </cfRule>
    <cfRule type="cellIs" priority="231" stopIfTrue="1" operator="notEqual">
      <formula>$B42</formula>
    </cfRule>
  </conditionalFormatting>
  <conditionalFormatting sqref="R40:R41">
    <cfRule type="cellIs" dxfId="139" priority="229" stopIfTrue="1" operator="notEqual">
      <formula>$B40</formula>
    </cfRule>
  </conditionalFormatting>
  <conditionalFormatting sqref="R43">
    <cfRule type="cellIs" dxfId="138" priority="228" stopIfTrue="1" operator="notEqual">
      <formula>$B43</formula>
    </cfRule>
  </conditionalFormatting>
  <conditionalFormatting sqref="R54">
    <cfRule type="cellIs" dxfId="137" priority="226" stopIfTrue="1" operator="notEqual">
      <formula>$B54</formula>
    </cfRule>
    <cfRule type="cellIs" priority="227" stopIfTrue="1" operator="notEqual">
      <formula>$B54</formula>
    </cfRule>
  </conditionalFormatting>
  <conditionalFormatting sqref="R62:R63">
    <cfRule type="cellIs" dxfId="136" priority="223" stopIfTrue="1" operator="notEqual">
      <formula>$B62</formula>
    </cfRule>
    <cfRule type="cellIs" priority="224" stopIfTrue="1" operator="notEqual">
      <formula>$B62</formula>
    </cfRule>
  </conditionalFormatting>
  <conditionalFormatting sqref="R70">
    <cfRule type="cellIs" dxfId="135" priority="220" stopIfTrue="1" operator="notEqual">
      <formula>$B70</formula>
    </cfRule>
    <cfRule type="cellIs" priority="221" stopIfTrue="1" operator="notEqual">
      <formula>$B70</formula>
    </cfRule>
  </conditionalFormatting>
  <conditionalFormatting sqref="R65:R69">
    <cfRule type="cellIs" dxfId="134" priority="219" stopIfTrue="1" operator="notEqual">
      <formula>$B65</formula>
    </cfRule>
  </conditionalFormatting>
  <conditionalFormatting sqref="R77">
    <cfRule type="cellIs" dxfId="133" priority="217" stopIfTrue="1" operator="notEqual">
      <formula>$B77</formula>
    </cfRule>
    <cfRule type="cellIs" priority="218" stopIfTrue="1" operator="notEqual">
      <formula>$B77</formula>
    </cfRule>
  </conditionalFormatting>
  <conditionalFormatting sqref="R96">
    <cfRule type="cellIs" dxfId="132" priority="215" stopIfTrue="1" operator="notEqual">
      <formula>$B96</formula>
    </cfRule>
    <cfRule type="cellIs" priority="216" stopIfTrue="1" operator="notEqual">
      <formula>$B96</formula>
    </cfRule>
  </conditionalFormatting>
  <conditionalFormatting sqref="R72:R76">
    <cfRule type="cellIs" dxfId="131" priority="214" stopIfTrue="1" operator="notEqual">
      <formula>$B72</formula>
    </cfRule>
  </conditionalFormatting>
  <conditionalFormatting sqref="R79:R80">
    <cfRule type="cellIs" dxfId="130" priority="213" stopIfTrue="1" operator="notEqual">
      <formula>$B79</formula>
    </cfRule>
  </conditionalFormatting>
  <conditionalFormatting sqref="R104:R105">
    <cfRule type="cellIs" dxfId="129" priority="210" stopIfTrue="1" operator="notEqual">
      <formula>$B104</formula>
    </cfRule>
    <cfRule type="cellIs" priority="211" stopIfTrue="1" operator="notEqual">
      <formula>$B104</formula>
    </cfRule>
  </conditionalFormatting>
  <conditionalFormatting sqref="E105:Q105">
    <cfRule type="cellIs" dxfId="128" priority="208" stopIfTrue="1" operator="notEqual">
      <formula>E$108</formula>
    </cfRule>
  </conditionalFormatting>
  <conditionalFormatting sqref="S13">
    <cfRule type="expression" dxfId="127" priority="205" stopIfTrue="1">
      <formula>(S13+T13)&gt;C13</formula>
    </cfRule>
  </conditionalFormatting>
  <conditionalFormatting sqref="S14">
    <cfRule type="expression" dxfId="126" priority="202" stopIfTrue="1">
      <formula>(S14+T14)&gt;C14</formula>
    </cfRule>
  </conditionalFormatting>
  <conditionalFormatting sqref="S17">
    <cfRule type="expression" dxfId="125" priority="201" stopIfTrue="1">
      <formula>(S17+T17)&gt;C17</formula>
    </cfRule>
  </conditionalFormatting>
  <conditionalFormatting sqref="S18">
    <cfRule type="expression" dxfId="124" priority="193" stopIfTrue="1">
      <formula>(S18+T18)&gt;C18</formula>
    </cfRule>
  </conditionalFormatting>
  <conditionalFormatting sqref="S19">
    <cfRule type="expression" dxfId="123" priority="191" stopIfTrue="1">
      <formula>(S19+T19)&gt;C19</formula>
    </cfRule>
  </conditionalFormatting>
  <conditionalFormatting sqref="S20">
    <cfRule type="expression" dxfId="122" priority="190" stopIfTrue="1">
      <formula>(S20+T20)&gt;C20</formula>
    </cfRule>
  </conditionalFormatting>
  <conditionalFormatting sqref="S21">
    <cfRule type="expression" dxfId="121" priority="189" stopIfTrue="1">
      <formula>(S21+T21)&gt;C21</formula>
    </cfRule>
  </conditionalFormatting>
  <conditionalFormatting sqref="S22">
    <cfRule type="expression" dxfId="120" priority="188" stopIfTrue="1">
      <formula>(S22+T22)&gt;C22</formula>
    </cfRule>
  </conditionalFormatting>
  <conditionalFormatting sqref="S23:S24">
    <cfRule type="expression" dxfId="119" priority="187" stopIfTrue="1">
      <formula>(S23+T23)&gt;C23</formula>
    </cfRule>
  </conditionalFormatting>
  <conditionalFormatting sqref="S25">
    <cfRule type="expression" dxfId="118" priority="186" stopIfTrue="1">
      <formula>(S25+T25)&gt;C25</formula>
    </cfRule>
  </conditionalFormatting>
  <conditionalFormatting sqref="S27">
    <cfRule type="expression" dxfId="117" priority="179" stopIfTrue="1">
      <formula>(S27+T27)&gt;C27</formula>
    </cfRule>
  </conditionalFormatting>
  <conditionalFormatting sqref="S29:S35">
    <cfRule type="expression" dxfId="116" priority="177" stopIfTrue="1">
      <formula>(S29+T29)&gt;C29</formula>
    </cfRule>
  </conditionalFormatting>
  <conditionalFormatting sqref="S36">
    <cfRule type="expression" dxfId="115" priority="170" stopIfTrue="1">
      <formula>(S36+T36)&gt;C36</formula>
    </cfRule>
  </conditionalFormatting>
  <conditionalFormatting sqref="S37">
    <cfRule type="expression" dxfId="114" priority="169" stopIfTrue="1">
      <formula>(S37+T37)&gt;C37</formula>
    </cfRule>
  </conditionalFormatting>
  <conditionalFormatting sqref="S40">
    <cfRule type="expression" dxfId="113" priority="161" stopIfTrue="1">
      <formula>(S40+T40)&gt;C40</formula>
    </cfRule>
  </conditionalFormatting>
  <conditionalFormatting sqref="S41">
    <cfRule type="expression" dxfId="112" priority="160" stopIfTrue="1">
      <formula>(S41+T41)&gt;C41</formula>
    </cfRule>
  </conditionalFormatting>
  <conditionalFormatting sqref="S43">
    <cfRule type="expression" dxfId="111" priority="157" stopIfTrue="1">
      <formula>(S43+T43)&gt;C43</formula>
    </cfRule>
  </conditionalFormatting>
  <conditionalFormatting sqref="S45">
    <cfRule type="expression" dxfId="110" priority="155" stopIfTrue="1">
      <formula>(S45+T45)&gt;C45</formula>
    </cfRule>
  </conditionalFormatting>
  <conditionalFormatting sqref="S46:S53">
    <cfRule type="expression" dxfId="109" priority="150" stopIfTrue="1">
      <formula>(S46+T46)&gt;C46</formula>
    </cfRule>
  </conditionalFormatting>
  <conditionalFormatting sqref="S65:S68">
    <cfRule type="expression" dxfId="108" priority="132" stopIfTrue="1">
      <formula>(S65+T65)&gt;C65</formula>
    </cfRule>
  </conditionalFormatting>
  <conditionalFormatting sqref="S69">
    <cfRule type="expression" dxfId="107" priority="131" stopIfTrue="1">
      <formula>(S69+T69)&gt;C69</formula>
    </cfRule>
  </conditionalFormatting>
  <conditionalFormatting sqref="S79">
    <cfRule type="expression" dxfId="106" priority="128" stopIfTrue="1">
      <formula>(S79+T79)&gt;C79</formula>
    </cfRule>
  </conditionalFormatting>
  <conditionalFormatting sqref="S80">
    <cfRule type="expression" dxfId="105" priority="127" stopIfTrue="1">
      <formula>(S80+T80)&gt;C80</formula>
    </cfRule>
  </conditionalFormatting>
  <conditionalFormatting sqref="S84:S87">
    <cfRule type="expression" dxfId="104" priority="124" stopIfTrue="1">
      <formula>(S84+T84)&gt;C84</formula>
    </cfRule>
  </conditionalFormatting>
  <conditionalFormatting sqref="S89:S95">
    <cfRule type="expression" dxfId="103" priority="116" stopIfTrue="1">
      <formula>(S89+T89)&gt;C89</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5" zoomScaleNormal="100" zoomScaleSheetLayoutView="100" workbookViewId="0">
      <selection activeCell="C4" sqref="C4"/>
    </sheetView>
  </sheetViews>
  <sheetFormatPr defaultColWidth="0" defaultRowHeight="12" zeroHeight="1"/>
  <cols>
    <col min="1" max="1" width="32.7109375" style="601" customWidth="1"/>
    <col min="2" max="3" width="12.140625" style="594" customWidth="1"/>
    <col min="4" max="6" width="12.85546875" style="594" customWidth="1"/>
    <col min="7" max="9" width="12.140625" style="594" customWidth="1"/>
    <col min="10" max="10" width="12.140625" style="595" customWidth="1"/>
    <col min="11" max="11" width="8.85546875" style="596" hidden="1" customWidth="1"/>
    <col min="12" max="21" width="8.85546875" style="594" hidden="1" customWidth="1"/>
    <col min="22" max="23" width="0" style="594" hidden="1"/>
    <col min="24" max="256" width="8.85546875" style="594" hidden="1"/>
    <col min="257" max="257" width="32.7109375" style="594" hidden="1" customWidth="1"/>
    <col min="258" max="259" width="12.140625" style="594" hidden="1" customWidth="1"/>
    <col min="260" max="260" width="12.85546875" style="594" hidden="1" customWidth="1"/>
    <col min="261" max="266" width="12.140625" style="594" hidden="1" customWidth="1"/>
    <col min="267" max="277" width="8.85546875" style="594" hidden="1" customWidth="1"/>
    <col min="278" max="512" width="8.85546875" style="594" hidden="1"/>
    <col min="513" max="513" width="32.7109375" style="594" hidden="1" customWidth="1"/>
    <col min="514" max="515" width="12.140625" style="594" hidden="1" customWidth="1"/>
    <col min="516" max="516" width="12.85546875" style="594" hidden="1" customWidth="1"/>
    <col min="517" max="522" width="12.140625" style="594" hidden="1" customWidth="1"/>
    <col min="523" max="533" width="8.85546875" style="594" hidden="1" customWidth="1"/>
    <col min="534" max="768" width="8.85546875" style="594" hidden="1"/>
    <col min="769" max="769" width="32.7109375" style="594" hidden="1" customWidth="1"/>
    <col min="770" max="771" width="12.140625" style="594" hidden="1" customWidth="1"/>
    <col min="772" max="772" width="12.85546875" style="594" hidden="1" customWidth="1"/>
    <col min="773" max="778" width="12.140625" style="594" hidden="1" customWidth="1"/>
    <col min="779" max="789" width="8.85546875" style="594" hidden="1" customWidth="1"/>
    <col min="790" max="1024" width="8.85546875" style="594" hidden="1"/>
    <col min="1025" max="1025" width="32.7109375" style="594" hidden="1" customWidth="1"/>
    <col min="1026" max="1027" width="12.140625" style="594" hidden="1" customWidth="1"/>
    <col min="1028" max="1028" width="12.85546875" style="594" hidden="1" customWidth="1"/>
    <col min="1029" max="1034" width="12.140625" style="594" hidden="1" customWidth="1"/>
    <col min="1035" max="1045" width="8.85546875" style="594" hidden="1" customWidth="1"/>
    <col min="1046" max="1280" width="8.85546875" style="594" hidden="1"/>
    <col min="1281" max="1281" width="32.7109375" style="594" hidden="1" customWidth="1"/>
    <col min="1282" max="1283" width="12.140625" style="594" hidden="1" customWidth="1"/>
    <col min="1284" max="1284" width="12.85546875" style="594" hidden="1" customWidth="1"/>
    <col min="1285" max="1290" width="12.140625" style="594" hidden="1" customWidth="1"/>
    <col min="1291" max="1301" width="8.85546875" style="594" hidden="1" customWidth="1"/>
    <col min="1302" max="1536" width="8.85546875" style="594" hidden="1"/>
    <col min="1537" max="1537" width="32.7109375" style="594" hidden="1" customWidth="1"/>
    <col min="1538" max="1539" width="12.140625" style="594" hidden="1" customWidth="1"/>
    <col min="1540" max="1540" width="12.85546875" style="594" hidden="1" customWidth="1"/>
    <col min="1541" max="1546" width="12.140625" style="594" hidden="1" customWidth="1"/>
    <col min="1547" max="1557" width="8.85546875" style="594" hidden="1" customWidth="1"/>
    <col min="1558" max="1792" width="8.85546875" style="594" hidden="1"/>
    <col min="1793" max="1793" width="32.7109375" style="594" hidden="1" customWidth="1"/>
    <col min="1794" max="1795" width="12.140625" style="594" hidden="1" customWidth="1"/>
    <col min="1796" max="1796" width="12.85546875" style="594" hidden="1" customWidth="1"/>
    <col min="1797" max="1802" width="12.140625" style="594" hidden="1" customWidth="1"/>
    <col min="1803" max="1813" width="8.85546875" style="594" hidden="1" customWidth="1"/>
    <col min="1814" max="2048" width="8.85546875" style="594" hidden="1"/>
    <col min="2049" max="2049" width="32.7109375" style="594" hidden="1" customWidth="1"/>
    <col min="2050" max="2051" width="12.140625" style="594" hidden="1" customWidth="1"/>
    <col min="2052" max="2052" width="12.85546875" style="594" hidden="1" customWidth="1"/>
    <col min="2053" max="2058" width="12.140625" style="594" hidden="1" customWidth="1"/>
    <col min="2059" max="2069" width="8.85546875" style="594" hidden="1" customWidth="1"/>
    <col min="2070" max="2304" width="8.85546875" style="594" hidden="1"/>
    <col min="2305" max="2305" width="32.7109375" style="594" hidden="1" customWidth="1"/>
    <col min="2306" max="2307" width="12.140625" style="594" hidden="1" customWidth="1"/>
    <col min="2308" max="2308" width="12.85546875" style="594" hidden="1" customWidth="1"/>
    <col min="2309" max="2314" width="12.140625" style="594" hidden="1" customWidth="1"/>
    <col min="2315" max="2325" width="8.85546875" style="594" hidden="1" customWidth="1"/>
    <col min="2326" max="2560" width="8.85546875" style="594" hidden="1"/>
    <col min="2561" max="2561" width="32.7109375" style="594" hidden="1" customWidth="1"/>
    <col min="2562" max="2563" width="12.140625" style="594" hidden="1" customWidth="1"/>
    <col min="2564" max="2564" width="12.85546875" style="594" hidden="1" customWidth="1"/>
    <col min="2565" max="2570" width="12.140625" style="594" hidden="1" customWidth="1"/>
    <col min="2571" max="2581" width="8.85546875" style="594" hidden="1" customWidth="1"/>
    <col min="2582" max="2816" width="8.85546875" style="594" hidden="1"/>
    <col min="2817" max="2817" width="32.7109375" style="594" hidden="1" customWidth="1"/>
    <col min="2818" max="2819" width="12.140625" style="594" hidden="1" customWidth="1"/>
    <col min="2820" max="2820" width="12.85546875" style="594" hidden="1" customWidth="1"/>
    <col min="2821" max="2826" width="12.140625" style="594" hidden="1" customWidth="1"/>
    <col min="2827" max="2837" width="8.85546875" style="594" hidden="1" customWidth="1"/>
    <col min="2838" max="3072" width="8.85546875" style="594" hidden="1"/>
    <col min="3073" max="3073" width="32.7109375" style="594" hidden="1" customWidth="1"/>
    <col min="3074" max="3075" width="12.140625" style="594" hidden="1" customWidth="1"/>
    <col min="3076" max="3076" width="12.85546875" style="594" hidden="1" customWidth="1"/>
    <col min="3077" max="3082" width="12.140625" style="594" hidden="1" customWidth="1"/>
    <col min="3083" max="3093" width="8.85546875" style="594" hidden="1" customWidth="1"/>
    <col min="3094" max="3328" width="8.85546875" style="594" hidden="1"/>
    <col min="3329" max="3329" width="32.7109375" style="594" hidden="1" customWidth="1"/>
    <col min="3330" max="3331" width="12.140625" style="594" hidden="1" customWidth="1"/>
    <col min="3332" max="3332" width="12.85546875" style="594" hidden="1" customWidth="1"/>
    <col min="3333" max="3338" width="12.140625" style="594" hidden="1" customWidth="1"/>
    <col min="3339" max="3349" width="8.85546875" style="594" hidden="1" customWidth="1"/>
    <col min="3350" max="3584" width="8.85546875" style="594" hidden="1"/>
    <col min="3585" max="3585" width="32.7109375" style="594" hidden="1" customWidth="1"/>
    <col min="3586" max="3587" width="12.140625" style="594" hidden="1" customWidth="1"/>
    <col min="3588" max="3588" width="12.85546875" style="594" hidden="1" customWidth="1"/>
    <col min="3589" max="3594" width="12.140625" style="594" hidden="1" customWidth="1"/>
    <col min="3595" max="3605" width="8.85546875" style="594" hidden="1" customWidth="1"/>
    <col min="3606" max="3840" width="8.85546875" style="594" hidden="1"/>
    <col min="3841" max="3841" width="32.7109375" style="594" hidden="1" customWidth="1"/>
    <col min="3842" max="3843" width="12.140625" style="594" hidden="1" customWidth="1"/>
    <col min="3844" max="3844" width="12.85546875" style="594" hidden="1" customWidth="1"/>
    <col min="3845" max="3850" width="12.140625" style="594" hidden="1" customWidth="1"/>
    <col min="3851" max="3861" width="8.85546875" style="594" hidden="1" customWidth="1"/>
    <col min="3862" max="4096" width="8.85546875" style="594" hidden="1"/>
    <col min="4097" max="4097" width="32.7109375" style="594" hidden="1" customWidth="1"/>
    <col min="4098" max="4099" width="12.140625" style="594" hidden="1" customWidth="1"/>
    <col min="4100" max="4100" width="12.85546875" style="594" hidden="1" customWidth="1"/>
    <col min="4101" max="4106" width="12.140625" style="594" hidden="1" customWidth="1"/>
    <col min="4107" max="4117" width="8.85546875" style="594" hidden="1" customWidth="1"/>
    <col min="4118" max="4352" width="8.85546875" style="594" hidden="1"/>
    <col min="4353" max="4353" width="32.7109375" style="594" hidden="1" customWidth="1"/>
    <col min="4354" max="4355" width="12.140625" style="594" hidden="1" customWidth="1"/>
    <col min="4356" max="4356" width="12.85546875" style="594" hidden="1" customWidth="1"/>
    <col min="4357" max="4362" width="12.140625" style="594" hidden="1" customWidth="1"/>
    <col min="4363" max="4373" width="8.85546875" style="594" hidden="1" customWidth="1"/>
    <col min="4374" max="4608" width="8.85546875" style="594" hidden="1"/>
    <col min="4609" max="4609" width="32.7109375" style="594" hidden="1" customWidth="1"/>
    <col min="4610" max="4611" width="12.140625" style="594" hidden="1" customWidth="1"/>
    <col min="4612" max="4612" width="12.85546875" style="594" hidden="1" customWidth="1"/>
    <col min="4613" max="4618" width="12.140625" style="594" hidden="1" customWidth="1"/>
    <col min="4619" max="4629" width="8.85546875" style="594" hidden="1" customWidth="1"/>
    <col min="4630" max="4864" width="8.85546875" style="594" hidden="1"/>
    <col min="4865" max="4865" width="32.7109375" style="594" hidden="1" customWidth="1"/>
    <col min="4866" max="4867" width="12.140625" style="594" hidden="1" customWidth="1"/>
    <col min="4868" max="4868" width="12.85546875" style="594" hidden="1" customWidth="1"/>
    <col min="4869" max="4874" width="12.140625" style="594" hidden="1" customWidth="1"/>
    <col min="4875" max="4885" width="8.85546875" style="594" hidden="1" customWidth="1"/>
    <col min="4886" max="5120" width="8.85546875" style="594" hidden="1"/>
    <col min="5121" max="5121" width="32.7109375" style="594" hidden="1" customWidth="1"/>
    <col min="5122" max="5123" width="12.140625" style="594" hidden="1" customWidth="1"/>
    <col min="5124" max="5124" width="12.85546875" style="594" hidden="1" customWidth="1"/>
    <col min="5125" max="5130" width="12.140625" style="594" hidden="1" customWidth="1"/>
    <col min="5131" max="5141" width="8.85546875" style="594" hidden="1" customWidth="1"/>
    <col min="5142" max="5376" width="8.85546875" style="594" hidden="1"/>
    <col min="5377" max="5377" width="32.7109375" style="594" hidden="1" customWidth="1"/>
    <col min="5378" max="5379" width="12.140625" style="594" hidden="1" customWidth="1"/>
    <col min="5380" max="5380" width="12.85546875" style="594" hidden="1" customWidth="1"/>
    <col min="5381" max="5386" width="12.140625" style="594" hidden="1" customWidth="1"/>
    <col min="5387" max="5397" width="8.85546875" style="594" hidden="1" customWidth="1"/>
    <col min="5398" max="5632" width="8.85546875" style="594" hidden="1"/>
    <col min="5633" max="5633" width="32.7109375" style="594" hidden="1" customWidth="1"/>
    <col min="5634" max="5635" width="12.140625" style="594" hidden="1" customWidth="1"/>
    <col min="5636" max="5636" width="12.85546875" style="594" hidden="1" customWidth="1"/>
    <col min="5637" max="5642" width="12.140625" style="594" hidden="1" customWidth="1"/>
    <col min="5643" max="5653" width="8.85546875" style="594" hidden="1" customWidth="1"/>
    <col min="5654" max="5888" width="8.85546875" style="594" hidden="1"/>
    <col min="5889" max="5889" width="32.7109375" style="594" hidden="1" customWidth="1"/>
    <col min="5890" max="5891" width="12.140625" style="594" hidden="1" customWidth="1"/>
    <col min="5892" max="5892" width="12.85546875" style="594" hidden="1" customWidth="1"/>
    <col min="5893" max="5898" width="12.140625" style="594" hidden="1" customWidth="1"/>
    <col min="5899" max="5909" width="8.85546875" style="594" hidden="1" customWidth="1"/>
    <col min="5910" max="6144" width="8.85546875" style="594" hidden="1"/>
    <col min="6145" max="6145" width="32.7109375" style="594" hidden="1" customWidth="1"/>
    <col min="6146" max="6147" width="12.140625" style="594" hidden="1" customWidth="1"/>
    <col min="6148" max="6148" width="12.85546875" style="594" hidden="1" customWidth="1"/>
    <col min="6149" max="6154" width="12.140625" style="594" hidden="1" customWidth="1"/>
    <col min="6155" max="6165" width="8.85546875" style="594" hidden="1" customWidth="1"/>
    <col min="6166" max="6400" width="8.85546875" style="594" hidden="1"/>
    <col min="6401" max="6401" width="32.7109375" style="594" hidden="1" customWidth="1"/>
    <col min="6402" max="6403" width="12.140625" style="594" hidden="1" customWidth="1"/>
    <col min="6404" max="6404" width="12.85546875" style="594" hidden="1" customWidth="1"/>
    <col min="6405" max="6410" width="12.140625" style="594" hidden="1" customWidth="1"/>
    <col min="6411" max="6421" width="8.85546875" style="594" hidden="1" customWidth="1"/>
    <col min="6422" max="6656" width="8.85546875" style="594" hidden="1"/>
    <col min="6657" max="6657" width="32.7109375" style="594" hidden="1" customWidth="1"/>
    <col min="6658" max="6659" width="12.140625" style="594" hidden="1" customWidth="1"/>
    <col min="6660" max="6660" width="12.85546875" style="594" hidden="1" customWidth="1"/>
    <col min="6661" max="6666" width="12.140625" style="594" hidden="1" customWidth="1"/>
    <col min="6667" max="6677" width="8.85546875" style="594" hidden="1" customWidth="1"/>
    <col min="6678" max="6912" width="8.85546875" style="594" hidden="1"/>
    <col min="6913" max="6913" width="32.7109375" style="594" hidden="1" customWidth="1"/>
    <col min="6914" max="6915" width="12.140625" style="594" hidden="1" customWidth="1"/>
    <col min="6916" max="6916" width="12.85546875" style="594" hidden="1" customWidth="1"/>
    <col min="6917" max="6922" width="12.140625" style="594" hidden="1" customWidth="1"/>
    <col min="6923" max="6933" width="8.85546875" style="594" hidden="1" customWidth="1"/>
    <col min="6934" max="7168" width="8.85546875" style="594" hidden="1"/>
    <col min="7169" max="7169" width="32.7109375" style="594" hidden="1" customWidth="1"/>
    <col min="7170" max="7171" width="12.140625" style="594" hidden="1" customWidth="1"/>
    <col min="7172" max="7172" width="12.85546875" style="594" hidden="1" customWidth="1"/>
    <col min="7173" max="7178" width="12.140625" style="594" hidden="1" customWidth="1"/>
    <col min="7179" max="7189" width="8.85546875" style="594" hidden="1" customWidth="1"/>
    <col min="7190" max="7424" width="8.85546875" style="594" hidden="1"/>
    <col min="7425" max="7425" width="32.7109375" style="594" hidden="1" customWidth="1"/>
    <col min="7426" max="7427" width="12.140625" style="594" hidden="1" customWidth="1"/>
    <col min="7428" max="7428" width="12.85546875" style="594" hidden="1" customWidth="1"/>
    <col min="7429" max="7434" width="12.140625" style="594" hidden="1" customWidth="1"/>
    <col min="7435" max="7445" width="8.85546875" style="594" hidden="1" customWidth="1"/>
    <col min="7446" max="7680" width="8.85546875" style="594" hidden="1"/>
    <col min="7681" max="7681" width="32.7109375" style="594" hidden="1" customWidth="1"/>
    <col min="7682" max="7683" width="12.140625" style="594" hidden="1" customWidth="1"/>
    <col min="7684" max="7684" width="12.85546875" style="594" hidden="1" customWidth="1"/>
    <col min="7685" max="7690" width="12.140625" style="594" hidden="1" customWidth="1"/>
    <col min="7691" max="7701" width="8.85546875" style="594" hidden="1" customWidth="1"/>
    <col min="7702" max="7936" width="8.85546875" style="594" hidden="1"/>
    <col min="7937" max="7937" width="32.7109375" style="594" hidden="1" customWidth="1"/>
    <col min="7938" max="7939" width="12.140625" style="594" hidden="1" customWidth="1"/>
    <col min="7940" max="7940" width="12.85546875" style="594" hidden="1" customWidth="1"/>
    <col min="7941" max="7946" width="12.140625" style="594" hidden="1" customWidth="1"/>
    <col min="7947" max="7957" width="8.85546875" style="594" hidden="1" customWidth="1"/>
    <col min="7958" max="8192" width="8.85546875" style="594" hidden="1"/>
    <col min="8193" max="8193" width="32.7109375" style="594" hidden="1" customWidth="1"/>
    <col min="8194" max="8195" width="12.140625" style="594" hidden="1" customWidth="1"/>
    <col min="8196" max="8196" width="12.85546875" style="594" hidden="1" customWidth="1"/>
    <col min="8197" max="8202" width="12.140625" style="594" hidden="1" customWidth="1"/>
    <col min="8203" max="8213" width="8.85546875" style="594" hidden="1" customWidth="1"/>
    <col min="8214" max="8448" width="8.85546875" style="594" hidden="1"/>
    <col min="8449" max="8449" width="32.7109375" style="594" hidden="1" customWidth="1"/>
    <col min="8450" max="8451" width="12.140625" style="594" hidden="1" customWidth="1"/>
    <col min="8452" max="8452" width="12.85546875" style="594" hidden="1" customWidth="1"/>
    <col min="8453" max="8458" width="12.140625" style="594" hidden="1" customWidth="1"/>
    <col min="8459" max="8469" width="8.85546875" style="594" hidden="1" customWidth="1"/>
    <col min="8470" max="8704" width="8.85546875" style="594" hidden="1"/>
    <col min="8705" max="8705" width="32.7109375" style="594" hidden="1" customWidth="1"/>
    <col min="8706" max="8707" width="12.140625" style="594" hidden="1" customWidth="1"/>
    <col min="8708" max="8708" width="12.85546875" style="594" hidden="1" customWidth="1"/>
    <col min="8709" max="8714" width="12.140625" style="594" hidden="1" customWidth="1"/>
    <col min="8715" max="8725" width="8.85546875" style="594" hidden="1" customWidth="1"/>
    <col min="8726" max="8960" width="8.85546875" style="594" hidden="1"/>
    <col min="8961" max="8961" width="32.7109375" style="594" hidden="1" customWidth="1"/>
    <col min="8962" max="8963" width="12.140625" style="594" hidden="1" customWidth="1"/>
    <col min="8964" max="8964" width="12.85546875" style="594" hidden="1" customWidth="1"/>
    <col min="8965" max="8970" width="12.140625" style="594" hidden="1" customWidth="1"/>
    <col min="8971" max="8981" width="8.85546875" style="594" hidden="1" customWidth="1"/>
    <col min="8982" max="9216" width="8.85546875" style="594" hidden="1"/>
    <col min="9217" max="9217" width="32.7109375" style="594" hidden="1" customWidth="1"/>
    <col min="9218" max="9219" width="12.140625" style="594" hidden="1" customWidth="1"/>
    <col min="9220" max="9220" width="12.85546875" style="594" hidden="1" customWidth="1"/>
    <col min="9221" max="9226" width="12.140625" style="594" hidden="1" customWidth="1"/>
    <col min="9227" max="9237" width="8.85546875" style="594" hidden="1" customWidth="1"/>
    <col min="9238" max="9472" width="8.85546875" style="594" hidden="1"/>
    <col min="9473" max="9473" width="32.7109375" style="594" hidden="1" customWidth="1"/>
    <col min="9474" max="9475" width="12.140625" style="594" hidden="1" customWidth="1"/>
    <col min="9476" max="9476" width="12.85546875" style="594" hidden="1" customWidth="1"/>
    <col min="9477" max="9482" width="12.140625" style="594" hidden="1" customWidth="1"/>
    <col min="9483" max="9493" width="8.85546875" style="594" hidden="1" customWidth="1"/>
    <col min="9494" max="9728" width="8.85546875" style="594" hidden="1"/>
    <col min="9729" max="9729" width="32.7109375" style="594" hidden="1" customWidth="1"/>
    <col min="9730" max="9731" width="12.140625" style="594" hidden="1" customWidth="1"/>
    <col min="9732" max="9732" width="12.85546875" style="594" hidden="1" customWidth="1"/>
    <col min="9733" max="9738" width="12.140625" style="594" hidden="1" customWidth="1"/>
    <col min="9739" max="9749" width="8.85546875" style="594" hidden="1" customWidth="1"/>
    <col min="9750" max="9984" width="8.85546875" style="594" hidden="1"/>
    <col min="9985" max="9985" width="32.7109375" style="594" hidden="1" customWidth="1"/>
    <col min="9986" max="9987" width="12.140625" style="594" hidden="1" customWidth="1"/>
    <col min="9988" max="9988" width="12.85546875" style="594" hidden="1" customWidth="1"/>
    <col min="9989" max="9994" width="12.140625" style="594" hidden="1" customWidth="1"/>
    <col min="9995" max="10005" width="8.85546875" style="594" hidden="1" customWidth="1"/>
    <col min="10006" max="10240" width="8.85546875" style="594" hidden="1"/>
    <col min="10241" max="10241" width="32.7109375" style="594" hidden="1" customWidth="1"/>
    <col min="10242" max="10243" width="12.140625" style="594" hidden="1" customWidth="1"/>
    <col min="10244" max="10244" width="12.85546875" style="594" hidden="1" customWidth="1"/>
    <col min="10245" max="10250" width="12.140625" style="594" hidden="1" customWidth="1"/>
    <col min="10251" max="10261" width="8.85546875" style="594" hidden="1" customWidth="1"/>
    <col min="10262" max="10496" width="8.85546875" style="594" hidden="1"/>
    <col min="10497" max="10497" width="32.7109375" style="594" hidden="1" customWidth="1"/>
    <col min="10498" max="10499" width="12.140625" style="594" hidden="1" customWidth="1"/>
    <col min="10500" max="10500" width="12.85546875" style="594" hidden="1" customWidth="1"/>
    <col min="10501" max="10506" width="12.140625" style="594" hidden="1" customWidth="1"/>
    <col min="10507" max="10517" width="8.85546875" style="594" hidden="1" customWidth="1"/>
    <col min="10518" max="10752" width="8.85546875" style="594" hidden="1"/>
    <col min="10753" max="10753" width="32.7109375" style="594" hidden="1" customWidth="1"/>
    <col min="10754" max="10755" width="12.140625" style="594" hidden="1" customWidth="1"/>
    <col min="10756" max="10756" width="12.85546875" style="594" hidden="1" customWidth="1"/>
    <col min="10757" max="10762" width="12.140625" style="594" hidden="1" customWidth="1"/>
    <col min="10763" max="10773" width="8.85546875" style="594" hidden="1" customWidth="1"/>
    <col min="10774" max="11008" width="8.85546875" style="594" hidden="1"/>
    <col min="11009" max="11009" width="32.7109375" style="594" hidden="1" customWidth="1"/>
    <col min="11010" max="11011" width="12.140625" style="594" hidden="1" customWidth="1"/>
    <col min="11012" max="11012" width="12.85546875" style="594" hidden="1" customWidth="1"/>
    <col min="11013" max="11018" width="12.140625" style="594" hidden="1" customWidth="1"/>
    <col min="11019" max="11029" width="8.85546875" style="594" hidden="1" customWidth="1"/>
    <col min="11030" max="11264" width="8.85546875" style="594" hidden="1"/>
    <col min="11265" max="11265" width="32.7109375" style="594" hidden="1" customWidth="1"/>
    <col min="11266" max="11267" width="12.140625" style="594" hidden="1" customWidth="1"/>
    <col min="11268" max="11268" width="12.85546875" style="594" hidden="1" customWidth="1"/>
    <col min="11269" max="11274" width="12.140625" style="594" hidden="1" customWidth="1"/>
    <col min="11275" max="11285" width="8.85546875" style="594" hidden="1" customWidth="1"/>
    <col min="11286" max="11520" width="8.85546875" style="594" hidden="1"/>
    <col min="11521" max="11521" width="32.7109375" style="594" hidden="1" customWidth="1"/>
    <col min="11522" max="11523" width="12.140625" style="594" hidden="1" customWidth="1"/>
    <col min="11524" max="11524" width="12.85546875" style="594" hidden="1" customWidth="1"/>
    <col min="11525" max="11530" width="12.140625" style="594" hidden="1" customWidth="1"/>
    <col min="11531" max="11541" width="8.85546875" style="594" hidden="1" customWidth="1"/>
    <col min="11542" max="11776" width="8.85546875" style="594" hidden="1"/>
    <col min="11777" max="11777" width="32.7109375" style="594" hidden="1" customWidth="1"/>
    <col min="11778" max="11779" width="12.140625" style="594" hidden="1" customWidth="1"/>
    <col min="11780" max="11780" width="12.85546875" style="594" hidden="1" customWidth="1"/>
    <col min="11781" max="11786" width="12.140625" style="594" hidden="1" customWidth="1"/>
    <col min="11787" max="11797" width="8.85546875" style="594" hidden="1" customWidth="1"/>
    <col min="11798" max="12032" width="8.85546875" style="594" hidden="1"/>
    <col min="12033" max="12033" width="32.7109375" style="594" hidden="1" customWidth="1"/>
    <col min="12034" max="12035" width="12.140625" style="594" hidden="1" customWidth="1"/>
    <col min="12036" max="12036" width="12.85546875" style="594" hidden="1" customWidth="1"/>
    <col min="12037" max="12042" width="12.140625" style="594" hidden="1" customWidth="1"/>
    <col min="12043" max="12053" width="8.85546875" style="594" hidden="1" customWidth="1"/>
    <col min="12054" max="12288" width="8.85546875" style="594" hidden="1"/>
    <col min="12289" max="12289" width="32.7109375" style="594" hidden="1" customWidth="1"/>
    <col min="12290" max="12291" width="12.140625" style="594" hidden="1" customWidth="1"/>
    <col min="12292" max="12292" width="12.85546875" style="594" hidden="1" customWidth="1"/>
    <col min="12293" max="12298" width="12.140625" style="594" hidden="1" customWidth="1"/>
    <col min="12299" max="12309" width="8.85546875" style="594" hidden="1" customWidth="1"/>
    <col min="12310" max="12544" width="8.85546875" style="594" hidden="1"/>
    <col min="12545" max="12545" width="32.7109375" style="594" hidden="1" customWidth="1"/>
    <col min="12546" max="12547" width="12.140625" style="594" hidden="1" customWidth="1"/>
    <col min="12548" max="12548" width="12.85546875" style="594" hidden="1" customWidth="1"/>
    <col min="12549" max="12554" width="12.140625" style="594" hidden="1" customWidth="1"/>
    <col min="12555" max="12565" width="8.85546875" style="594" hidden="1" customWidth="1"/>
    <col min="12566" max="12800" width="8.85546875" style="594" hidden="1"/>
    <col min="12801" max="12801" width="32.7109375" style="594" hidden="1" customWidth="1"/>
    <col min="12802" max="12803" width="12.140625" style="594" hidden="1" customWidth="1"/>
    <col min="12804" max="12804" width="12.85546875" style="594" hidden="1" customWidth="1"/>
    <col min="12805" max="12810" width="12.140625" style="594" hidden="1" customWidth="1"/>
    <col min="12811" max="12821" width="8.85546875" style="594" hidden="1" customWidth="1"/>
    <col min="12822" max="13056" width="8.85546875" style="594" hidden="1"/>
    <col min="13057" max="13057" width="32.7109375" style="594" hidden="1" customWidth="1"/>
    <col min="13058" max="13059" width="12.140625" style="594" hidden="1" customWidth="1"/>
    <col min="13060" max="13060" width="12.85546875" style="594" hidden="1" customWidth="1"/>
    <col min="13061" max="13066" width="12.140625" style="594" hidden="1" customWidth="1"/>
    <col min="13067" max="13077" width="8.85546875" style="594" hidden="1" customWidth="1"/>
    <col min="13078" max="13312" width="8.85546875" style="594" hidden="1"/>
    <col min="13313" max="13313" width="32.7109375" style="594" hidden="1" customWidth="1"/>
    <col min="13314" max="13315" width="12.140625" style="594" hidden="1" customWidth="1"/>
    <col min="13316" max="13316" width="12.85546875" style="594" hidden="1" customWidth="1"/>
    <col min="13317" max="13322" width="12.140625" style="594" hidden="1" customWidth="1"/>
    <col min="13323" max="13333" width="8.85546875" style="594" hidden="1" customWidth="1"/>
    <col min="13334" max="13568" width="8.85546875" style="594" hidden="1"/>
    <col min="13569" max="13569" width="32.7109375" style="594" hidden="1" customWidth="1"/>
    <col min="13570" max="13571" width="12.140625" style="594" hidden="1" customWidth="1"/>
    <col min="13572" max="13572" width="12.85546875" style="594" hidden="1" customWidth="1"/>
    <col min="13573" max="13578" width="12.140625" style="594" hidden="1" customWidth="1"/>
    <col min="13579" max="13589" width="8.85546875" style="594" hidden="1" customWidth="1"/>
    <col min="13590" max="13824" width="8.85546875" style="594" hidden="1"/>
    <col min="13825" max="13825" width="32.7109375" style="594" hidden="1" customWidth="1"/>
    <col min="13826" max="13827" width="12.140625" style="594" hidden="1" customWidth="1"/>
    <col min="13828" max="13828" width="12.85546875" style="594" hidden="1" customWidth="1"/>
    <col min="13829" max="13834" width="12.140625" style="594" hidden="1" customWidth="1"/>
    <col min="13835" max="13845" width="8.85546875" style="594" hidden="1" customWidth="1"/>
    <col min="13846" max="14080" width="8.85546875" style="594" hidden="1"/>
    <col min="14081" max="14081" width="32.7109375" style="594" hidden="1" customWidth="1"/>
    <col min="14082" max="14083" width="12.140625" style="594" hidden="1" customWidth="1"/>
    <col min="14084" max="14084" width="12.85546875" style="594" hidden="1" customWidth="1"/>
    <col min="14085" max="14090" width="12.140625" style="594" hidden="1" customWidth="1"/>
    <col min="14091" max="14101" width="8.85546875" style="594" hidden="1" customWidth="1"/>
    <col min="14102" max="14336" width="8.85546875" style="594" hidden="1"/>
    <col min="14337" max="14337" width="32.7109375" style="594" hidden="1" customWidth="1"/>
    <col min="14338" max="14339" width="12.140625" style="594" hidden="1" customWidth="1"/>
    <col min="14340" max="14340" width="12.85546875" style="594" hidden="1" customWidth="1"/>
    <col min="14341" max="14346" width="12.140625" style="594" hidden="1" customWidth="1"/>
    <col min="14347" max="14357" width="8.85546875" style="594" hidden="1" customWidth="1"/>
    <col min="14358" max="14592" width="8.85546875" style="594" hidden="1"/>
    <col min="14593" max="14593" width="32.7109375" style="594" hidden="1" customWidth="1"/>
    <col min="14594" max="14595" width="12.140625" style="594" hidden="1" customWidth="1"/>
    <col min="14596" max="14596" width="12.85546875" style="594" hidden="1" customWidth="1"/>
    <col min="14597" max="14602" width="12.140625" style="594" hidden="1" customWidth="1"/>
    <col min="14603" max="14613" width="8.85546875" style="594" hidden="1" customWidth="1"/>
    <col min="14614" max="14848" width="8.85546875" style="594" hidden="1"/>
    <col min="14849" max="14849" width="32.7109375" style="594" hidden="1" customWidth="1"/>
    <col min="14850" max="14851" width="12.140625" style="594" hidden="1" customWidth="1"/>
    <col min="14852" max="14852" width="12.85546875" style="594" hidden="1" customWidth="1"/>
    <col min="14853" max="14858" width="12.140625" style="594" hidden="1" customWidth="1"/>
    <col min="14859" max="14869" width="8.85546875" style="594" hidden="1" customWidth="1"/>
    <col min="14870" max="15104" width="8.85546875" style="594" hidden="1"/>
    <col min="15105" max="15105" width="32.7109375" style="594" hidden="1" customWidth="1"/>
    <col min="15106" max="15107" width="12.140625" style="594" hidden="1" customWidth="1"/>
    <col min="15108" max="15108" width="12.85546875" style="594" hidden="1" customWidth="1"/>
    <col min="15109" max="15114" width="12.140625" style="594" hidden="1" customWidth="1"/>
    <col min="15115" max="15125" width="8.85546875" style="594" hidden="1" customWidth="1"/>
    <col min="15126" max="15360" width="8.85546875" style="594" hidden="1"/>
    <col min="15361" max="15361" width="32.7109375" style="594" hidden="1" customWidth="1"/>
    <col min="15362" max="15363" width="12.140625" style="594" hidden="1" customWidth="1"/>
    <col min="15364" max="15364" width="12.85546875" style="594" hidden="1" customWidth="1"/>
    <col min="15365" max="15370" width="12.140625" style="594" hidden="1" customWidth="1"/>
    <col min="15371" max="15381" width="8.85546875" style="594" hidden="1" customWidth="1"/>
    <col min="15382" max="15616" width="8.85546875" style="594" hidden="1"/>
    <col min="15617" max="15617" width="32.7109375" style="594" hidden="1" customWidth="1"/>
    <col min="15618" max="15619" width="12.140625" style="594" hidden="1" customWidth="1"/>
    <col min="15620" max="15620" width="12.85546875" style="594" hidden="1" customWidth="1"/>
    <col min="15621" max="15626" width="12.140625" style="594" hidden="1" customWidth="1"/>
    <col min="15627" max="15637" width="8.85546875" style="594" hidden="1" customWidth="1"/>
    <col min="15638" max="15872" width="8.85546875" style="594" hidden="1"/>
    <col min="15873" max="15873" width="32.7109375" style="594" hidden="1" customWidth="1"/>
    <col min="15874" max="15875" width="12.140625" style="594" hidden="1" customWidth="1"/>
    <col min="15876" max="15876" width="12.85546875" style="594" hidden="1" customWidth="1"/>
    <col min="15877" max="15882" width="12.140625" style="594" hidden="1" customWidth="1"/>
    <col min="15883" max="15893" width="8.85546875" style="594" hidden="1" customWidth="1"/>
    <col min="15894" max="16128" width="8.85546875" style="594" hidden="1"/>
    <col min="16129" max="16129" width="32.7109375" style="594" hidden="1" customWidth="1"/>
    <col min="16130" max="16131" width="12.140625" style="594" hidden="1" customWidth="1"/>
    <col min="16132" max="16132" width="12.85546875" style="594" hidden="1" customWidth="1"/>
    <col min="16133" max="16138" width="12.140625" style="594" hidden="1" customWidth="1"/>
    <col min="16139" max="16149" width="8.85546875" style="594" hidden="1" customWidth="1"/>
    <col min="16150" max="16384" width="8.85546875" style="594" hidden="1"/>
  </cols>
  <sheetData>
    <row r="1" spans="1:11" s="551" customFormat="1" ht="12.75">
      <c r="A1" s="2636" t="s">
        <v>1373</v>
      </c>
      <c r="B1" s="2637"/>
      <c r="C1" s="2637"/>
      <c r="D1" s="2637"/>
      <c r="E1" s="2637"/>
      <c r="F1" s="2637"/>
      <c r="G1" s="2637"/>
      <c r="H1" s="2637"/>
      <c r="I1" s="2637"/>
      <c r="J1" s="2638"/>
      <c r="K1" s="550"/>
    </row>
    <row r="2" spans="1:11" s="606" customFormat="1" ht="72">
      <c r="A2" s="602"/>
      <c r="B2" s="603" t="s">
        <v>1087</v>
      </c>
      <c r="C2" s="603" t="s">
        <v>1375</v>
      </c>
      <c r="D2" s="604" t="s">
        <v>1376</v>
      </c>
      <c r="E2" s="603" t="s">
        <v>1298</v>
      </c>
      <c r="F2" s="603" t="s">
        <v>1377</v>
      </c>
      <c r="G2" s="603" t="s">
        <v>1378</v>
      </c>
      <c r="H2" s="603" t="s">
        <v>1088</v>
      </c>
      <c r="I2" s="603" t="s">
        <v>1379</v>
      </c>
      <c r="J2" s="603" t="s">
        <v>1380</v>
      </c>
      <c r="K2" s="605"/>
    </row>
    <row r="3" spans="1:11" s="555" customFormat="1">
      <c r="A3" s="552" t="s">
        <v>26</v>
      </c>
      <c r="B3" s="553"/>
      <c r="C3" s="553"/>
      <c r="D3" s="553"/>
      <c r="E3" s="553"/>
      <c r="F3" s="553"/>
      <c r="G3" s="553"/>
      <c r="H3" s="553"/>
      <c r="I3" s="553"/>
      <c r="J3" s="553"/>
      <c r="K3" s="554"/>
    </row>
    <row r="4" spans="1:11" s="555" customFormat="1">
      <c r="A4" s="559" t="s">
        <v>27</v>
      </c>
      <c r="B4" s="556">
        <f>'Sources and Uses Budget'!C4</f>
        <v>2300000</v>
      </c>
      <c r="C4" s="557"/>
      <c r="D4" s="557"/>
      <c r="E4" s="558"/>
      <c r="F4" s="558"/>
      <c r="G4" s="558"/>
      <c r="H4" s="558"/>
      <c r="I4" s="558"/>
      <c r="J4" s="558"/>
      <c r="K4" s="554"/>
    </row>
    <row r="5" spans="1:11" s="555" customFormat="1">
      <c r="A5" s="559" t="s">
        <v>28</v>
      </c>
      <c r="B5" s="556">
        <f>'Sources and Uses Budget'!C5</f>
        <v>0</v>
      </c>
      <c r="C5" s="557"/>
      <c r="D5" s="557"/>
      <c r="E5" s="558"/>
      <c r="F5" s="558"/>
      <c r="G5" s="558"/>
      <c r="H5" s="558"/>
      <c r="I5" s="558"/>
      <c r="J5" s="558"/>
      <c r="K5" s="554"/>
    </row>
    <row r="6" spans="1:11" s="555" customFormat="1">
      <c r="A6" s="559" t="s">
        <v>29</v>
      </c>
      <c r="B6" s="556">
        <f>'Sources and Uses Budget'!C6</f>
        <v>0</v>
      </c>
      <c r="C6" s="557"/>
      <c r="D6" s="557"/>
      <c r="E6" s="558"/>
      <c r="F6" s="558"/>
      <c r="G6" s="558"/>
      <c r="H6" s="558"/>
      <c r="I6" s="558"/>
      <c r="J6" s="558"/>
      <c r="K6" s="554"/>
    </row>
    <row r="7" spans="1:11" s="555" customFormat="1">
      <c r="A7" s="559" t="s">
        <v>98</v>
      </c>
      <c r="B7" s="556">
        <f>'Sources and Uses Budget'!C7</f>
        <v>0</v>
      </c>
      <c r="C7" s="557"/>
      <c r="D7" s="557"/>
      <c r="E7" s="558"/>
      <c r="F7" s="558"/>
      <c r="G7" s="558"/>
      <c r="H7" s="558"/>
      <c r="I7" s="558"/>
      <c r="J7" s="558"/>
      <c r="K7" s="554"/>
    </row>
    <row r="8" spans="1:11" s="555" customFormat="1">
      <c r="A8" s="560" t="s">
        <v>602</v>
      </c>
      <c r="B8" s="556">
        <f>'Sources and Uses Budget'!C8</f>
        <v>2300000</v>
      </c>
      <c r="C8" s="556">
        <f>SUM(C4:C7)</f>
        <v>0</v>
      </c>
      <c r="D8" s="556">
        <f>SUM(D4:D7)</f>
        <v>0</v>
      </c>
      <c r="E8" s="558"/>
      <c r="F8" s="558"/>
      <c r="G8" s="558"/>
      <c r="H8" s="558"/>
      <c r="I8" s="558"/>
      <c r="J8" s="558"/>
      <c r="K8" s="554"/>
    </row>
    <row r="9" spans="1:11" s="555" customFormat="1">
      <c r="A9" s="559" t="s">
        <v>603</v>
      </c>
      <c r="B9" s="556">
        <f>'Sources and Uses Budget'!C9</f>
        <v>0</v>
      </c>
      <c r="C9" s="557"/>
      <c r="D9" s="557"/>
      <c r="E9" s="558"/>
      <c r="F9" s="558"/>
      <c r="G9" s="558"/>
      <c r="H9" s="556">
        <f>'Sources and Uses Budget'!T9</f>
        <v>0</v>
      </c>
      <c r="I9" s="557"/>
      <c r="J9" s="557"/>
      <c r="K9" s="554"/>
    </row>
    <row r="10" spans="1:11" s="555" customFormat="1">
      <c r="A10" s="559" t="s">
        <v>604</v>
      </c>
      <c r="B10" s="556">
        <f>'Sources and Uses Budget'!C10</f>
        <v>0</v>
      </c>
      <c r="C10" s="557"/>
      <c r="D10" s="557"/>
      <c r="E10" s="556">
        <f>'Sources and Uses Budget'!S10</f>
        <v>0</v>
      </c>
      <c r="F10" s="557"/>
      <c r="G10" s="557"/>
      <c r="H10" s="556">
        <f>'Sources and Uses Budget'!T10</f>
        <v>0</v>
      </c>
      <c r="I10" s="557"/>
      <c r="J10" s="557"/>
      <c r="K10" s="554"/>
    </row>
    <row r="11" spans="1:11" s="555" customFormat="1">
      <c r="A11" s="560" t="s">
        <v>605</v>
      </c>
      <c r="B11" s="556">
        <f>'Sources and Uses Budget'!C11</f>
        <v>0</v>
      </c>
      <c r="C11" s="556">
        <f>SUM(C9:C10)</f>
        <v>0</v>
      </c>
      <c r="D11" s="556">
        <f>SUM(D9:D10)</f>
        <v>0</v>
      </c>
      <c r="E11" s="558"/>
      <c r="F11" s="558"/>
      <c r="G11" s="558"/>
      <c r="H11" s="556">
        <f>'Sources and Uses Budget'!T11</f>
        <v>0</v>
      </c>
      <c r="I11" s="556">
        <f>SUM(I9:I10)</f>
        <v>0</v>
      </c>
      <c r="J11" s="556">
        <f>SUM(J9:J10)</f>
        <v>0</v>
      </c>
      <c r="K11" s="554"/>
    </row>
    <row r="12" spans="1:11" s="555" customFormat="1">
      <c r="A12" s="560" t="s">
        <v>85</v>
      </c>
      <c r="B12" s="556">
        <f>'Sources and Uses Budget'!C12</f>
        <v>2300000</v>
      </c>
      <c r="C12" s="556">
        <f>SUM(C8+C11)</f>
        <v>0</v>
      </c>
      <c r="D12" s="556">
        <f>SUM(D8+D11)</f>
        <v>0</v>
      </c>
      <c r="E12" s="558"/>
      <c r="F12" s="558"/>
      <c r="G12" s="558"/>
      <c r="H12" s="558"/>
      <c r="I12" s="558"/>
      <c r="J12" s="558"/>
      <c r="K12" s="554"/>
    </row>
    <row r="13" spans="1:11" s="555" customFormat="1">
      <c r="A13" s="561" t="s">
        <v>935</v>
      </c>
      <c r="B13" s="556">
        <f>'Sources and Uses Budget'!C13</f>
        <v>75000</v>
      </c>
      <c r="C13" s="557"/>
      <c r="D13" s="557"/>
      <c r="E13" s="556">
        <f>'Sources and Uses Budget'!S13</f>
        <v>0</v>
      </c>
      <c r="F13" s="557"/>
      <c r="G13" s="557"/>
      <c r="H13" s="556">
        <f>'Sources and Uses Budget'!T13</f>
        <v>0</v>
      </c>
      <c r="I13" s="557"/>
      <c r="J13" s="557"/>
      <c r="K13" s="554"/>
    </row>
    <row r="14" spans="1:11" s="555" customFormat="1" ht="24">
      <c r="A14" s="562" t="s">
        <v>936</v>
      </c>
      <c r="B14" s="556">
        <f>'Sources and Uses Budget'!C14</f>
        <v>0</v>
      </c>
      <c r="C14" s="557"/>
      <c r="D14" s="557"/>
      <c r="E14" s="556">
        <f>'Sources and Uses Budget'!S14</f>
        <v>0</v>
      </c>
      <c r="F14" s="557"/>
      <c r="G14" s="557"/>
      <c r="H14" s="556">
        <f>'Sources and Uses Budget'!T14</f>
        <v>0</v>
      </c>
      <c r="I14" s="557"/>
      <c r="J14" s="557"/>
      <c r="K14" s="554"/>
    </row>
    <row r="15" spans="1:11" s="555" customFormat="1">
      <c r="A15" s="562" t="s">
        <v>1302</v>
      </c>
      <c r="B15" s="556">
        <f>'Sources and Uses Budget'!C15</f>
        <v>0</v>
      </c>
      <c r="C15" s="557"/>
      <c r="D15" s="557"/>
      <c r="E15" s="558">
        <f>'Sources and Uses Budget'!S15</f>
        <v>0</v>
      </c>
      <c r="F15" s="558"/>
      <c r="G15" s="558"/>
      <c r="H15" s="558">
        <f>'Sources and Uses Budget'!T15</f>
        <v>0</v>
      </c>
      <c r="I15" s="558"/>
      <c r="J15" s="558"/>
      <c r="K15" s="554"/>
    </row>
    <row r="16" spans="1:11" s="555" customFormat="1">
      <c r="A16" s="552" t="s">
        <v>606</v>
      </c>
      <c r="B16" s="553"/>
      <c r="C16" s="553"/>
      <c r="D16" s="553"/>
      <c r="E16" s="553"/>
      <c r="F16" s="553"/>
      <c r="G16" s="553"/>
      <c r="H16" s="553"/>
      <c r="I16" s="553"/>
      <c r="J16" s="553"/>
      <c r="K16" s="554"/>
    </row>
    <row r="17" spans="1:11" s="555" customFormat="1">
      <c r="A17" s="559" t="s">
        <v>607</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608</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609</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138</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139</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140</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141</v>
      </c>
      <c r="B23" s="556">
        <f>'Sources and Uses Budget'!C23</f>
        <v>0</v>
      </c>
      <c r="C23" s="557"/>
      <c r="D23" s="557"/>
      <c r="E23" s="556">
        <f>'Sources and Uses Budget'!S23</f>
        <v>0</v>
      </c>
      <c r="F23" s="557"/>
      <c r="G23" s="557"/>
      <c r="H23" s="556">
        <f>'Sources and Uses Budget'!T23</f>
        <v>0</v>
      </c>
      <c r="I23" s="557"/>
      <c r="J23" s="557"/>
      <c r="K23" s="554"/>
    </row>
    <row r="24" spans="1:11" s="555" customFormat="1">
      <c r="A24" s="847" t="s">
        <v>1819</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134</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142</v>
      </c>
      <c r="B27" s="556">
        <f>'Sources and Uses Budget'!C27</f>
        <v>0</v>
      </c>
      <c r="C27" s="557"/>
      <c r="D27" s="557"/>
      <c r="E27" s="556">
        <f>'Sources and Uses Budget'!S27</f>
        <v>0</v>
      </c>
      <c r="F27" s="557"/>
      <c r="G27" s="557"/>
      <c r="H27" s="556">
        <f>'Sources and Uses Budget'!T27</f>
        <v>0</v>
      </c>
      <c r="I27" s="557"/>
      <c r="J27" s="557"/>
      <c r="K27" s="554"/>
    </row>
    <row r="28" spans="1:11" s="555" customFormat="1">
      <c r="A28" s="552" t="s">
        <v>143</v>
      </c>
      <c r="B28" s="553"/>
      <c r="C28" s="553"/>
      <c r="D28" s="553"/>
      <c r="E28" s="553"/>
      <c r="F28" s="553"/>
      <c r="G28" s="553"/>
      <c r="H28" s="553"/>
      <c r="I28" s="553"/>
      <c r="J28" s="553"/>
      <c r="K28" s="554"/>
    </row>
    <row r="29" spans="1:11" s="555" customFormat="1">
      <c r="A29" s="215" t="s">
        <v>607</v>
      </c>
      <c r="B29" s="556">
        <f>'Sources and Uses Budget'!C29</f>
        <v>3129020</v>
      </c>
      <c r="C29" s="557"/>
      <c r="D29" s="557"/>
      <c r="E29" s="556">
        <f>'Sources and Uses Budget'!S29</f>
        <v>3129020</v>
      </c>
      <c r="F29" s="557"/>
      <c r="G29" s="557"/>
      <c r="H29" s="556">
        <f>'Sources and Uses Budget'!T29</f>
        <v>0</v>
      </c>
      <c r="I29" s="557"/>
      <c r="J29" s="557"/>
      <c r="K29" s="554"/>
    </row>
    <row r="30" spans="1:11" s="555" customFormat="1">
      <c r="A30" s="215" t="s">
        <v>608</v>
      </c>
      <c r="B30" s="556">
        <f>'Sources and Uses Budget'!C30</f>
        <v>25631713</v>
      </c>
      <c r="C30" s="557"/>
      <c r="D30" s="557"/>
      <c r="E30" s="556">
        <f>'Sources and Uses Budget'!S30</f>
        <v>25631713</v>
      </c>
      <c r="F30" s="557"/>
      <c r="G30" s="557"/>
      <c r="H30" s="556">
        <f>'Sources and Uses Budget'!T30</f>
        <v>0</v>
      </c>
      <c r="I30" s="557"/>
      <c r="J30" s="557"/>
      <c r="K30" s="554"/>
    </row>
    <row r="31" spans="1:11" s="555" customFormat="1">
      <c r="A31" s="215" t="s">
        <v>609</v>
      </c>
      <c r="B31" s="556">
        <f>'Sources and Uses Budget'!C31</f>
        <v>1106051</v>
      </c>
      <c r="C31" s="557"/>
      <c r="D31" s="557"/>
      <c r="E31" s="556">
        <f>'Sources and Uses Budget'!S31</f>
        <v>1106051</v>
      </c>
      <c r="F31" s="557"/>
      <c r="G31" s="557"/>
      <c r="H31" s="556">
        <f>'Sources and Uses Budget'!T31</f>
        <v>0</v>
      </c>
      <c r="I31" s="557"/>
      <c r="J31" s="557"/>
      <c r="K31" s="554"/>
    </row>
    <row r="32" spans="1:11" s="555" customFormat="1">
      <c r="A32" s="215" t="s">
        <v>138</v>
      </c>
      <c r="B32" s="556">
        <f>'Sources and Uses Budget'!C32</f>
        <v>940143</v>
      </c>
      <c r="C32" s="557"/>
      <c r="D32" s="557"/>
      <c r="E32" s="556">
        <f>'Sources and Uses Budget'!S32</f>
        <v>940143</v>
      </c>
      <c r="F32" s="557"/>
      <c r="G32" s="557"/>
      <c r="H32" s="556">
        <f>'Sources and Uses Budget'!T32</f>
        <v>0</v>
      </c>
      <c r="I32" s="557"/>
      <c r="J32" s="557"/>
      <c r="K32" s="554"/>
    </row>
    <row r="33" spans="1:11" s="555" customFormat="1">
      <c r="A33" s="215" t="s">
        <v>139</v>
      </c>
      <c r="B33" s="556">
        <f>'Sources and Uses Budget'!C33</f>
        <v>940143</v>
      </c>
      <c r="C33" s="557"/>
      <c r="D33" s="557"/>
      <c r="E33" s="556">
        <f>'Sources and Uses Budget'!S33</f>
        <v>940143</v>
      </c>
      <c r="F33" s="557"/>
      <c r="G33" s="557"/>
      <c r="H33" s="556">
        <f>'Sources and Uses Budget'!T33</f>
        <v>0</v>
      </c>
      <c r="I33" s="557"/>
      <c r="J33" s="557"/>
      <c r="K33" s="554"/>
    </row>
    <row r="34" spans="1:11" s="555" customFormat="1">
      <c r="A34" s="215" t="s">
        <v>140</v>
      </c>
      <c r="B34" s="556">
        <f>'Sources and Uses Budget'!C34</f>
        <v>0</v>
      </c>
      <c r="C34" s="557"/>
      <c r="D34" s="557"/>
      <c r="E34" s="556">
        <f>'Sources and Uses Budget'!S34</f>
        <v>0</v>
      </c>
      <c r="F34" s="557"/>
      <c r="G34" s="557"/>
      <c r="H34" s="556">
        <f>'Sources and Uses Budget'!T34</f>
        <v>0</v>
      </c>
      <c r="I34" s="557"/>
      <c r="J34" s="557"/>
      <c r="K34" s="554"/>
    </row>
    <row r="35" spans="1:11" s="555" customFormat="1">
      <c r="A35" s="215" t="s">
        <v>141</v>
      </c>
      <c r="B35" s="556">
        <f>'Sources and Uses Budget'!C35</f>
        <v>553025</v>
      </c>
      <c r="C35" s="557"/>
      <c r="D35" s="557"/>
      <c r="E35" s="556">
        <f>'Sources and Uses Budget'!S35</f>
        <v>553025</v>
      </c>
      <c r="F35" s="557"/>
      <c r="G35" s="557"/>
      <c r="H35" s="556">
        <f>'Sources and Uses Budget'!T35</f>
        <v>0</v>
      </c>
      <c r="I35" s="557"/>
      <c r="J35" s="557"/>
      <c r="K35" s="554"/>
    </row>
    <row r="36" spans="1:11" s="555" customFormat="1">
      <c r="A36" s="847" t="s">
        <v>1819</v>
      </c>
      <c r="B36" s="556">
        <f>'Sources and Uses Budget'!C36</f>
        <v>0</v>
      </c>
      <c r="C36" s="557"/>
      <c r="D36" s="557"/>
      <c r="E36" s="556">
        <f>'Sources and Uses Budget'!S36</f>
        <v>0</v>
      </c>
      <c r="F36" s="557"/>
      <c r="G36" s="557"/>
      <c r="H36" s="556">
        <f>'Sources and Uses Budget'!T36</f>
        <v>0</v>
      </c>
      <c r="I36" s="557"/>
      <c r="J36" s="557"/>
      <c r="K36" s="554"/>
    </row>
    <row r="37" spans="1:11" s="555" customFormat="1">
      <c r="A37" s="562" t="str">
        <f>'Sources and Uses Budget'!$A37</f>
        <v>Other: (Specify)</v>
      </c>
      <c r="B37" s="556">
        <f>'Sources and Uses Budget'!C37</f>
        <v>0</v>
      </c>
      <c r="C37" s="557"/>
      <c r="D37" s="557"/>
      <c r="E37" s="556">
        <f>'Sources and Uses Budget'!S37</f>
        <v>0</v>
      </c>
      <c r="F37" s="557"/>
      <c r="G37" s="557"/>
      <c r="H37" s="556">
        <f>'Sources and Uses Budget'!T37</f>
        <v>0</v>
      </c>
      <c r="I37" s="557"/>
      <c r="J37" s="557"/>
      <c r="K37" s="554"/>
    </row>
    <row r="38" spans="1:11" s="555" customFormat="1">
      <c r="A38" s="564" t="s">
        <v>144</v>
      </c>
      <c r="B38" s="556">
        <f>'Sources and Uses Budget'!C38</f>
        <v>32300095</v>
      </c>
      <c r="C38" s="556">
        <f>SUM(C29:C37)</f>
        <v>0</v>
      </c>
      <c r="D38" s="556">
        <f>SUM(D29:D37)</f>
        <v>0</v>
      </c>
      <c r="E38" s="556">
        <f>'Sources and Uses Budget'!S38</f>
        <v>32300095</v>
      </c>
      <c r="F38" s="563">
        <f>SUM(F29:F37)</f>
        <v>0</v>
      </c>
      <c r="G38" s="563">
        <f>SUM(G29:G37)</f>
        <v>0</v>
      </c>
      <c r="H38" s="556">
        <f>'Sources and Uses Budget'!T38</f>
        <v>0</v>
      </c>
      <c r="I38" s="563">
        <f>SUM(I29:I37)</f>
        <v>0</v>
      </c>
      <c r="J38" s="563">
        <f>SUM(J29:J37)</f>
        <v>0</v>
      </c>
      <c r="K38" s="554"/>
    </row>
    <row r="39" spans="1:11" s="555" customFormat="1">
      <c r="A39" s="552" t="s">
        <v>145</v>
      </c>
      <c r="B39" s="553"/>
      <c r="C39" s="553"/>
      <c r="D39" s="553"/>
      <c r="E39" s="553"/>
      <c r="F39" s="553"/>
      <c r="G39" s="553"/>
      <c r="H39" s="553"/>
      <c r="I39" s="553"/>
      <c r="J39" s="553"/>
      <c r="K39" s="554"/>
    </row>
    <row r="40" spans="1:11" s="555" customFormat="1">
      <c r="A40" s="559" t="s">
        <v>146</v>
      </c>
      <c r="B40" s="556">
        <f>'Sources and Uses Budget'!C40</f>
        <v>400000</v>
      </c>
      <c r="C40" s="557"/>
      <c r="D40" s="557"/>
      <c r="E40" s="556">
        <f>'Sources and Uses Budget'!S40</f>
        <v>400000</v>
      </c>
      <c r="F40" s="557"/>
      <c r="G40" s="557"/>
      <c r="H40" s="556">
        <f>'Sources and Uses Budget'!T40</f>
        <v>0</v>
      </c>
      <c r="I40" s="557"/>
      <c r="J40" s="557"/>
      <c r="K40" s="554"/>
    </row>
    <row r="41" spans="1:11" s="555" customFormat="1">
      <c r="A41" s="559" t="s">
        <v>147</v>
      </c>
      <c r="B41" s="556">
        <f>'Sources and Uses Budget'!C41</f>
        <v>200000</v>
      </c>
      <c r="C41" s="557"/>
      <c r="D41" s="557"/>
      <c r="E41" s="556">
        <f>'Sources and Uses Budget'!S41</f>
        <v>200000</v>
      </c>
      <c r="F41" s="557"/>
      <c r="G41" s="557"/>
      <c r="H41" s="556">
        <f>'Sources and Uses Budget'!T41</f>
        <v>0</v>
      </c>
      <c r="I41" s="557"/>
      <c r="J41" s="557"/>
      <c r="K41" s="554"/>
    </row>
    <row r="42" spans="1:11" s="555" customFormat="1">
      <c r="A42" s="560" t="s">
        <v>148</v>
      </c>
      <c r="B42" s="556">
        <f>'Sources and Uses Budget'!C42</f>
        <v>600000</v>
      </c>
      <c r="C42" s="556">
        <f>SUM(C39:C41)</f>
        <v>0</v>
      </c>
      <c r="D42" s="556">
        <f>SUM(D39:D41)</f>
        <v>0</v>
      </c>
      <c r="E42" s="556">
        <f>'Sources and Uses Budget'!S42</f>
        <v>600000</v>
      </c>
      <c r="F42" s="563">
        <f>SUM(F40:F41)</f>
        <v>0</v>
      </c>
      <c r="G42" s="563">
        <f>SUM(G40:G41)</f>
        <v>0</v>
      </c>
      <c r="H42" s="556">
        <f>'Sources and Uses Budget'!T42</f>
        <v>0</v>
      </c>
      <c r="I42" s="563">
        <f>SUM(I40:I41)</f>
        <v>0</v>
      </c>
      <c r="J42" s="563">
        <f>SUM(J40:J41)</f>
        <v>0</v>
      </c>
      <c r="K42" s="554"/>
    </row>
    <row r="43" spans="1:11" s="555" customFormat="1">
      <c r="A43" s="560" t="s">
        <v>149</v>
      </c>
      <c r="B43" s="556">
        <f>'Sources and Uses Budget'!C43</f>
        <v>350000</v>
      </c>
      <c r="C43" s="557"/>
      <c r="D43" s="557"/>
      <c r="E43" s="556">
        <f>'Sources and Uses Budget'!S43</f>
        <v>350000</v>
      </c>
      <c r="F43" s="557"/>
      <c r="G43" s="557"/>
      <c r="H43" s="556">
        <f>'Sources and Uses Budget'!T43</f>
        <v>0</v>
      </c>
      <c r="I43" s="557"/>
      <c r="J43" s="557"/>
      <c r="K43" s="554"/>
    </row>
    <row r="44" spans="1:11" s="555" customFormat="1">
      <c r="A44" s="552" t="s">
        <v>150</v>
      </c>
      <c r="B44" s="553"/>
      <c r="C44" s="553"/>
      <c r="D44" s="553"/>
      <c r="E44" s="553"/>
      <c r="F44" s="553"/>
      <c r="G44" s="553"/>
      <c r="H44" s="553"/>
      <c r="I44" s="553"/>
      <c r="J44" s="553"/>
      <c r="K44" s="554"/>
    </row>
    <row r="45" spans="1:11" s="555" customFormat="1">
      <c r="A45" s="559" t="s">
        <v>151</v>
      </c>
      <c r="B45" s="556">
        <f>'Sources and Uses Budget'!C45</f>
        <v>2081003</v>
      </c>
      <c r="C45" s="557"/>
      <c r="D45" s="557"/>
      <c r="E45" s="556">
        <f>'Sources and Uses Budget'!S45</f>
        <v>1428342</v>
      </c>
      <c r="F45" s="557"/>
      <c r="G45" s="557"/>
      <c r="H45" s="556">
        <f>'Sources and Uses Budget'!T45</f>
        <v>0</v>
      </c>
      <c r="I45" s="557"/>
      <c r="J45" s="557"/>
      <c r="K45" s="554"/>
    </row>
    <row r="46" spans="1:11" s="555" customFormat="1">
      <c r="A46" s="559" t="s">
        <v>152</v>
      </c>
      <c r="B46" s="556">
        <f>'Sources and Uses Budget'!C46</f>
        <v>336324</v>
      </c>
      <c r="C46" s="557"/>
      <c r="D46" s="557"/>
      <c r="E46" s="556">
        <f>'Sources and Uses Budget'!S46</f>
        <v>336324</v>
      </c>
      <c r="F46" s="557"/>
      <c r="G46" s="557"/>
      <c r="H46" s="556">
        <f>'Sources and Uses Budget'!T46</f>
        <v>0</v>
      </c>
      <c r="I46" s="557"/>
      <c r="J46" s="557"/>
      <c r="K46" s="554"/>
    </row>
    <row r="47" spans="1:11" s="555" customFormat="1" ht="12" customHeight="1">
      <c r="A47" s="559" t="s">
        <v>153</v>
      </c>
      <c r="B47" s="556">
        <f>'Sources and Uses Budget'!C47</f>
        <v>20000</v>
      </c>
      <c r="C47" s="557"/>
      <c r="D47" s="557"/>
      <c r="E47" s="556">
        <f>'Sources and Uses Budget'!S47</f>
        <v>20000</v>
      </c>
      <c r="F47" s="557"/>
      <c r="G47" s="557"/>
      <c r="H47" s="556">
        <f>'Sources and Uses Budget'!T47</f>
        <v>0</v>
      </c>
      <c r="I47" s="557"/>
      <c r="J47" s="557"/>
      <c r="K47" s="554"/>
    </row>
    <row r="48" spans="1:11" s="555" customFormat="1">
      <c r="A48" s="559" t="s">
        <v>154</v>
      </c>
      <c r="B48" s="556">
        <f>'Sources and Uses Budget'!C48</f>
        <v>0</v>
      </c>
      <c r="C48" s="557"/>
      <c r="D48" s="557"/>
      <c r="E48" s="556">
        <f>'Sources and Uses Budget'!S48</f>
        <v>0</v>
      </c>
      <c r="F48" s="557"/>
      <c r="G48" s="557"/>
      <c r="H48" s="556">
        <f>'Sources and Uses Budget'!T48</f>
        <v>0</v>
      </c>
      <c r="I48" s="557"/>
      <c r="J48" s="557"/>
      <c r="K48" s="554"/>
    </row>
    <row r="49" spans="1:11" s="555" customFormat="1">
      <c r="A49" s="435" t="s">
        <v>57</v>
      </c>
      <c r="B49" s="556">
        <f>'Sources and Uses Budget'!C49</f>
        <v>180530</v>
      </c>
      <c r="C49" s="557"/>
      <c r="D49" s="557"/>
      <c r="E49" s="556">
        <f>'Sources and Uses Budget'!S49</f>
        <v>0</v>
      </c>
      <c r="F49" s="557"/>
      <c r="G49" s="557"/>
      <c r="H49" s="556">
        <f>'Sources and Uses Budget'!T49</f>
        <v>0</v>
      </c>
      <c r="I49" s="557"/>
      <c r="J49" s="557"/>
      <c r="K49" s="554"/>
    </row>
    <row r="50" spans="1:11" s="555" customFormat="1">
      <c r="A50" s="559" t="s">
        <v>157</v>
      </c>
      <c r="B50" s="556">
        <f>'Sources and Uses Budget'!C50</f>
        <v>75000</v>
      </c>
      <c r="C50" s="557"/>
      <c r="D50" s="557"/>
      <c r="E50" s="556">
        <f>'Sources and Uses Budget'!S50</f>
        <v>75000</v>
      </c>
      <c r="F50" s="557"/>
      <c r="G50" s="557"/>
      <c r="H50" s="556">
        <f>'Sources and Uses Budget'!T50</f>
        <v>0</v>
      </c>
      <c r="I50" s="557"/>
      <c r="J50" s="557"/>
      <c r="K50" s="554"/>
    </row>
    <row r="51" spans="1:11" s="555" customFormat="1">
      <c r="A51" s="559" t="s">
        <v>155</v>
      </c>
      <c r="B51" s="556">
        <f>'Sources and Uses Budget'!C51</f>
        <v>43125</v>
      </c>
      <c r="C51" s="557"/>
      <c r="D51" s="557"/>
      <c r="E51" s="556">
        <f>'Sources and Uses Budget'!S51</f>
        <v>43125</v>
      </c>
      <c r="F51" s="557"/>
      <c r="G51" s="557"/>
      <c r="H51" s="556">
        <f>'Sources and Uses Budget'!T51</f>
        <v>0</v>
      </c>
      <c r="I51" s="557"/>
      <c r="J51" s="557"/>
      <c r="K51" s="554"/>
    </row>
    <row r="52" spans="1:11" s="555" customFormat="1">
      <c r="A52" s="559" t="s">
        <v>156</v>
      </c>
      <c r="B52" s="556">
        <f>'Sources and Uses Budget'!C52</f>
        <v>300000</v>
      </c>
      <c r="C52" s="557"/>
      <c r="D52" s="557"/>
      <c r="E52" s="556">
        <f>'Sources and Uses Budget'!S52</f>
        <v>300000</v>
      </c>
      <c r="F52" s="557"/>
      <c r="G52" s="557"/>
      <c r="H52" s="556">
        <f>'Sources and Uses Budget'!T52</f>
        <v>0</v>
      </c>
      <c r="I52" s="557"/>
      <c r="J52" s="557"/>
      <c r="K52" s="554"/>
    </row>
    <row r="53" spans="1:11" s="555" customFormat="1">
      <c r="A53" s="562" t="str">
        <f>'Sources and Uses Budget'!$A53</f>
        <v>Bank Inspector</v>
      </c>
      <c r="B53" s="556">
        <f>'Sources and Uses Budget'!C53</f>
        <v>18000</v>
      </c>
      <c r="C53" s="557"/>
      <c r="D53" s="557"/>
      <c r="E53" s="556">
        <f>'Sources and Uses Budget'!S53</f>
        <v>18000</v>
      </c>
      <c r="F53" s="557"/>
      <c r="G53" s="557"/>
      <c r="H53" s="556">
        <f>'Sources and Uses Budget'!T53</f>
        <v>0</v>
      </c>
      <c r="I53" s="557"/>
      <c r="J53" s="557"/>
      <c r="K53" s="554"/>
    </row>
    <row r="54" spans="1:11" s="566" customFormat="1">
      <c r="A54" s="560" t="s">
        <v>158</v>
      </c>
      <c r="B54" s="556">
        <f>'Sources and Uses Budget'!C54</f>
        <v>3053982</v>
      </c>
      <c r="C54" s="563">
        <f>SUM(C45:C53)</f>
        <v>0</v>
      </c>
      <c r="D54" s="563">
        <f>SUM(D45:D53)</f>
        <v>0</v>
      </c>
      <c r="E54" s="556">
        <f>'Sources and Uses Budget'!S54</f>
        <v>2220791</v>
      </c>
      <c r="F54" s="563">
        <f>SUM(F45:F53)</f>
        <v>0</v>
      </c>
      <c r="G54" s="563">
        <f>SUM(G45:G53)</f>
        <v>0</v>
      </c>
      <c r="H54" s="556">
        <f>'Sources and Uses Budget'!T54</f>
        <v>0</v>
      </c>
      <c r="I54" s="563">
        <f>SUM(I45:I53)</f>
        <v>0</v>
      </c>
      <c r="J54" s="563">
        <f>SUM(J45:J53)</f>
        <v>0</v>
      </c>
      <c r="K54" s="565"/>
    </row>
    <row r="55" spans="1:11" s="555" customFormat="1">
      <c r="A55" s="552" t="s">
        <v>419</v>
      </c>
      <c r="B55" s="553"/>
      <c r="C55" s="553"/>
      <c r="D55" s="553"/>
      <c r="E55" s="553"/>
      <c r="F55" s="553"/>
      <c r="G55" s="553"/>
      <c r="H55" s="553"/>
      <c r="I55" s="553"/>
      <c r="J55" s="553"/>
      <c r="K55" s="554"/>
    </row>
    <row r="56" spans="1:11" s="555" customFormat="1">
      <c r="A56" s="559" t="s">
        <v>159</v>
      </c>
      <c r="B56" s="556">
        <f>'Sources and Uses Budget'!C56</f>
        <v>53210</v>
      </c>
      <c r="C56" s="557"/>
      <c r="D56" s="557"/>
      <c r="E56" s="558"/>
      <c r="F56" s="558"/>
      <c r="G56" s="558"/>
      <c r="H56" s="558"/>
      <c r="I56" s="558"/>
      <c r="J56" s="558"/>
      <c r="K56" s="554"/>
    </row>
    <row r="57" spans="1:11" s="555" customFormat="1" ht="12" customHeight="1">
      <c r="A57" s="559" t="s">
        <v>153</v>
      </c>
      <c r="B57" s="556">
        <f>'Sources and Uses Budget'!C57</f>
        <v>0</v>
      </c>
      <c r="C57" s="557"/>
      <c r="D57" s="557"/>
      <c r="E57" s="558"/>
      <c r="F57" s="558"/>
      <c r="G57" s="558"/>
      <c r="H57" s="558"/>
      <c r="I57" s="558"/>
      <c r="J57" s="558"/>
      <c r="K57" s="554"/>
    </row>
    <row r="58" spans="1:11" s="555" customFormat="1">
      <c r="A58" s="559" t="s">
        <v>157</v>
      </c>
      <c r="B58" s="556">
        <f>'Sources and Uses Budget'!C58</f>
        <v>10000</v>
      </c>
      <c r="C58" s="557"/>
      <c r="D58" s="557"/>
      <c r="E58" s="558"/>
      <c r="F58" s="558"/>
      <c r="G58" s="558"/>
      <c r="H58" s="558"/>
      <c r="I58" s="558"/>
      <c r="J58" s="558"/>
      <c r="K58" s="554"/>
    </row>
    <row r="59" spans="1:11" s="555" customFormat="1">
      <c r="A59" s="559" t="s">
        <v>155</v>
      </c>
      <c r="B59" s="556">
        <f>'Sources and Uses Budget'!C59</f>
        <v>0</v>
      </c>
      <c r="C59" s="557"/>
      <c r="D59" s="557"/>
      <c r="E59" s="558"/>
      <c r="F59" s="558"/>
      <c r="G59" s="558"/>
      <c r="H59" s="558"/>
      <c r="I59" s="558"/>
      <c r="J59" s="558"/>
      <c r="K59" s="554"/>
    </row>
    <row r="60" spans="1:11" s="555" customFormat="1">
      <c r="A60" s="559" t="s">
        <v>156</v>
      </c>
      <c r="B60" s="556">
        <f>'Sources and Uses Budget'!C60</f>
        <v>0</v>
      </c>
      <c r="C60" s="557"/>
      <c r="D60" s="557"/>
      <c r="E60" s="558"/>
      <c r="F60" s="558"/>
      <c r="G60" s="558"/>
      <c r="H60" s="558"/>
      <c r="I60" s="558"/>
      <c r="J60" s="558"/>
      <c r="K60" s="554"/>
    </row>
    <row r="61" spans="1:11" s="555" customFormat="1">
      <c r="A61" s="562" t="str">
        <f>'Sources and Uses Budget'!$A61</f>
        <v>Other: (Specify)</v>
      </c>
      <c r="B61" s="556">
        <f>'Sources and Uses Budget'!C61</f>
        <v>0</v>
      </c>
      <c r="C61" s="557"/>
      <c r="D61" s="557"/>
      <c r="E61" s="558"/>
      <c r="F61" s="558"/>
      <c r="G61" s="558"/>
      <c r="H61" s="558"/>
      <c r="I61" s="558"/>
      <c r="J61" s="558"/>
      <c r="K61" s="554"/>
    </row>
    <row r="62" spans="1:11" s="555" customFormat="1" ht="13.7" customHeight="1">
      <c r="A62" s="560" t="s">
        <v>302</v>
      </c>
      <c r="B62" s="556">
        <f>'Sources and Uses Budget'!C62</f>
        <v>63210</v>
      </c>
      <c r="C62" s="556">
        <f>SUM(C56:C61)</f>
        <v>0</v>
      </c>
      <c r="D62" s="556">
        <f>SUM(D56:D61)</f>
        <v>0</v>
      </c>
      <c r="E62" s="558"/>
      <c r="F62" s="558"/>
      <c r="G62" s="558"/>
      <c r="H62" s="558"/>
      <c r="I62" s="558"/>
      <c r="J62" s="558"/>
      <c r="K62" s="554"/>
    </row>
    <row r="63" spans="1:11" s="555" customFormat="1">
      <c r="A63" s="567" t="s">
        <v>303</v>
      </c>
      <c r="B63" s="556">
        <f>'Sources and Uses Budget'!C63</f>
        <v>38742287</v>
      </c>
      <c r="C63" s="556">
        <f>SUM(C8+C11+C13+C14+C15+C26+C27+C38+C42+C43+C54+C62)</f>
        <v>0</v>
      </c>
      <c r="D63" s="556">
        <f>SUM(D8+D11+D13+D14+D15+D26+D27+D38+D42+D43+D54+D62)</f>
        <v>0</v>
      </c>
      <c r="E63" s="556">
        <f>'Sources and Uses Budget'!S63</f>
        <v>35470886</v>
      </c>
      <c r="F63" s="556">
        <f>SUM(F10+F13+F14+F15+F26+F27+F38+F42+F43+F54)</f>
        <v>0</v>
      </c>
      <c r="G63" s="556">
        <f>SUM(G10+G13+G14+G15+G26+G27+G38+G42+G43+G54)</f>
        <v>0</v>
      </c>
      <c r="H63" s="556">
        <f>'Sources and Uses Budget'!T63</f>
        <v>0</v>
      </c>
      <c r="I63" s="556">
        <f>SUM(I11+I13+I14+I15+I26+I27+I38+I42+I43+I54)</f>
        <v>0</v>
      </c>
      <c r="J63" s="556">
        <f>SUM(J11+J13+J14+J15+J26+J27+J38+J42+J43+J54)</f>
        <v>0</v>
      </c>
      <c r="K63" s="554"/>
    </row>
    <row r="64" spans="1:11" s="555" customFormat="1" ht="24">
      <c r="A64" s="211" t="s">
        <v>1823</v>
      </c>
      <c r="B64" s="553"/>
      <c r="C64" s="553"/>
      <c r="D64" s="553"/>
      <c r="E64" s="553"/>
      <c r="F64" s="553"/>
      <c r="G64" s="553"/>
      <c r="H64" s="553"/>
      <c r="I64" s="553"/>
      <c r="J64" s="553"/>
      <c r="K64" s="554"/>
    </row>
    <row r="65" spans="1:11" s="555" customFormat="1">
      <c r="A65" s="215" t="s">
        <v>171</v>
      </c>
      <c r="B65" s="556">
        <f>'Sources and Uses Budget'!C65</f>
        <v>70000</v>
      </c>
      <c r="C65" s="557"/>
      <c r="D65" s="557"/>
      <c r="E65" s="556">
        <f>'Sources and Uses Budget'!S65</f>
        <v>70000</v>
      </c>
      <c r="F65" s="557"/>
      <c r="G65" s="557"/>
      <c r="H65" s="556">
        <f>'Sources and Uses Budget'!T65</f>
        <v>0</v>
      </c>
      <c r="I65" s="557"/>
      <c r="J65" s="557"/>
      <c r="K65" s="554"/>
    </row>
    <row r="66" spans="1:11" s="555" customFormat="1" ht="24">
      <c r="A66" s="435" t="s">
        <v>1820</v>
      </c>
      <c r="B66" s="556">
        <f>'Sources and Uses Budget'!C66</f>
        <v>0</v>
      </c>
      <c r="C66" s="557"/>
      <c r="D66" s="557"/>
      <c r="E66" s="556">
        <f>'Sources and Uses Budget'!S66</f>
        <v>0</v>
      </c>
      <c r="F66" s="557"/>
      <c r="G66" s="557"/>
      <c r="H66" s="556">
        <f>'Sources and Uses Budget'!T66</f>
        <v>0</v>
      </c>
      <c r="I66" s="557"/>
      <c r="J66" s="557"/>
      <c r="K66" s="554"/>
    </row>
    <row r="67" spans="1:11" s="555" customFormat="1" ht="24">
      <c r="A67" s="435" t="s">
        <v>1821</v>
      </c>
      <c r="B67" s="556">
        <f>'Sources and Uses Budget'!C67</f>
        <v>0</v>
      </c>
      <c r="C67" s="557"/>
      <c r="D67" s="557"/>
      <c r="E67" s="556">
        <f>'Sources and Uses Budget'!S67</f>
        <v>0</v>
      </c>
      <c r="F67" s="557"/>
      <c r="G67" s="557"/>
      <c r="H67" s="556">
        <f>'Sources and Uses Budget'!T67</f>
        <v>0</v>
      </c>
      <c r="I67" s="557"/>
      <c r="J67" s="557"/>
      <c r="K67" s="554"/>
    </row>
    <row r="68" spans="1:11" s="555" customFormat="1">
      <c r="A68" s="435" t="s">
        <v>1827</v>
      </c>
      <c r="B68" s="556">
        <f>'Sources and Uses Budget'!C68</f>
        <v>0</v>
      </c>
      <c r="C68" s="557"/>
      <c r="D68" s="557"/>
      <c r="E68" s="556">
        <f>'Sources and Uses Budget'!S68</f>
        <v>0</v>
      </c>
      <c r="F68" s="557"/>
      <c r="G68" s="557"/>
      <c r="H68" s="556">
        <f>'Sources and Uses Budget'!T68</f>
        <v>0</v>
      </c>
      <c r="I68" s="557"/>
      <c r="J68" s="557"/>
      <c r="K68" s="554"/>
    </row>
    <row r="69" spans="1:11" s="555" customFormat="1">
      <c r="A69" s="562" t="str">
        <f>'Sources and Uses Budget'!$A69</f>
        <v>Transaction Legal Fees</v>
      </c>
      <c r="B69" s="556">
        <f>'Sources and Uses Budget'!C69</f>
        <v>70000</v>
      </c>
      <c r="C69" s="557"/>
      <c r="D69" s="557"/>
      <c r="E69" s="556">
        <f>'Sources and Uses Budget'!S69</f>
        <v>10000</v>
      </c>
      <c r="F69" s="557"/>
      <c r="G69" s="557"/>
      <c r="H69" s="556">
        <f>'Sources and Uses Budget'!T69</f>
        <v>0</v>
      </c>
      <c r="I69" s="557"/>
      <c r="J69" s="557"/>
      <c r="K69" s="554"/>
    </row>
    <row r="70" spans="1:11" s="555" customFormat="1">
      <c r="A70" s="560" t="s">
        <v>610</v>
      </c>
      <c r="B70" s="556">
        <f>'Sources and Uses Budget'!C70</f>
        <v>140000</v>
      </c>
      <c r="C70" s="556">
        <f>SUM(C64:C69)</f>
        <v>0</v>
      </c>
      <c r="D70" s="556">
        <f>SUM(D64:D69)</f>
        <v>0</v>
      </c>
      <c r="E70" s="556">
        <f>'Sources and Uses Budget'!S70</f>
        <v>80000</v>
      </c>
      <c r="F70" s="563">
        <f>SUM(F65:F69)</f>
        <v>0</v>
      </c>
      <c r="G70" s="563">
        <f>SUM(G65:G69)</f>
        <v>0</v>
      </c>
      <c r="H70" s="556">
        <f>'Sources and Uses Budget'!T70</f>
        <v>0</v>
      </c>
      <c r="I70" s="563">
        <f>SUM(I65:I69)</f>
        <v>0</v>
      </c>
      <c r="J70" s="563">
        <f>SUM(J65:J69)</f>
        <v>0</v>
      </c>
      <c r="K70" s="554"/>
    </row>
    <row r="71" spans="1:11" s="555" customFormat="1">
      <c r="A71" s="552" t="s">
        <v>611</v>
      </c>
      <c r="B71" s="553"/>
      <c r="C71" s="553"/>
      <c r="D71" s="553"/>
      <c r="E71" s="553"/>
      <c r="F71" s="553"/>
      <c r="G71" s="553"/>
      <c r="H71" s="553"/>
      <c r="I71" s="553"/>
      <c r="J71" s="553"/>
      <c r="K71" s="554"/>
    </row>
    <row r="72" spans="1:11" s="555" customFormat="1">
      <c r="A72" s="559" t="s">
        <v>612</v>
      </c>
      <c r="B72" s="556">
        <f>'Sources and Uses Budget'!C72</f>
        <v>0</v>
      </c>
      <c r="C72" s="557"/>
      <c r="D72" s="557"/>
      <c r="E72" s="558"/>
      <c r="F72" s="558"/>
      <c r="G72" s="558"/>
      <c r="H72" s="558"/>
      <c r="I72" s="558"/>
      <c r="J72" s="558"/>
      <c r="K72" s="554"/>
    </row>
    <row r="73" spans="1:11" s="555" customFormat="1">
      <c r="A73" s="559" t="s">
        <v>613</v>
      </c>
      <c r="B73" s="556">
        <f>'Sources and Uses Budget'!C73</f>
        <v>0</v>
      </c>
      <c r="C73" s="557"/>
      <c r="D73" s="557"/>
      <c r="E73" s="558"/>
      <c r="F73" s="558"/>
      <c r="G73" s="558"/>
      <c r="H73" s="558"/>
      <c r="I73" s="558"/>
      <c r="J73" s="558"/>
      <c r="K73" s="554"/>
    </row>
    <row r="74" spans="1:11" s="555" customFormat="1">
      <c r="A74" s="728" t="s">
        <v>1039</v>
      </c>
      <c r="B74" s="556">
        <f>'Sources and Uses Budget'!C74</f>
        <v>0</v>
      </c>
      <c r="C74" s="557"/>
      <c r="D74" s="557"/>
      <c r="E74" s="558"/>
      <c r="F74" s="558"/>
      <c r="G74" s="558"/>
      <c r="H74" s="558"/>
      <c r="I74" s="558"/>
      <c r="J74" s="558"/>
      <c r="K74" s="554"/>
    </row>
    <row r="75" spans="1:11" s="555" customFormat="1">
      <c r="A75" s="559" t="s">
        <v>614</v>
      </c>
      <c r="B75" s="556">
        <f>'Sources and Uses Budget'!C75</f>
        <v>228182</v>
      </c>
      <c r="C75" s="557"/>
      <c r="D75" s="557"/>
      <c r="E75" s="558"/>
      <c r="F75" s="558"/>
      <c r="G75" s="558"/>
      <c r="H75" s="558"/>
      <c r="I75" s="558"/>
      <c r="J75" s="558"/>
      <c r="K75" s="554"/>
    </row>
    <row r="76" spans="1:11" s="555" customFormat="1">
      <c r="A76" s="562" t="str">
        <f>'Sources and Uses Budget'!$A76</f>
        <v>Other: (Specify)</v>
      </c>
      <c r="B76" s="556">
        <f>'Sources and Uses Budget'!C76</f>
        <v>0</v>
      </c>
      <c r="C76" s="557"/>
      <c r="D76" s="557"/>
      <c r="E76" s="558"/>
      <c r="F76" s="558"/>
      <c r="G76" s="558"/>
      <c r="H76" s="558"/>
      <c r="I76" s="558"/>
      <c r="J76" s="558"/>
      <c r="K76" s="554"/>
    </row>
    <row r="77" spans="1:11" s="555" customFormat="1">
      <c r="A77" s="560" t="s">
        <v>615</v>
      </c>
      <c r="B77" s="556">
        <f>'Sources and Uses Budget'!C77</f>
        <v>228182</v>
      </c>
      <c r="C77" s="556">
        <f>SUM(C72:C76)</f>
        <v>0</v>
      </c>
      <c r="D77" s="556">
        <f>SUM(D72:D76)</f>
        <v>0</v>
      </c>
      <c r="E77" s="558"/>
      <c r="F77" s="558"/>
      <c r="G77" s="558"/>
      <c r="H77" s="558"/>
      <c r="I77" s="558"/>
      <c r="J77" s="558"/>
      <c r="K77" s="554"/>
    </row>
    <row r="78" spans="1:11" s="555" customFormat="1">
      <c r="A78" s="552" t="s">
        <v>1352</v>
      </c>
      <c r="B78" s="553"/>
      <c r="C78" s="553"/>
      <c r="D78" s="553"/>
      <c r="E78" s="553"/>
      <c r="F78" s="553"/>
      <c r="G78" s="553"/>
      <c r="H78" s="553"/>
      <c r="I78" s="553"/>
      <c r="J78" s="553"/>
      <c r="K78" s="554"/>
    </row>
    <row r="79" spans="1:11" s="555" customFormat="1">
      <c r="A79" s="559" t="s">
        <v>1354</v>
      </c>
      <c r="B79" s="556">
        <f>'Sources and Uses Budget'!C79</f>
        <v>1744205</v>
      </c>
      <c r="C79" s="557"/>
      <c r="D79" s="557"/>
      <c r="E79" s="556">
        <f>'Sources and Uses Budget'!S79</f>
        <v>1744205</v>
      </c>
      <c r="F79" s="557"/>
      <c r="G79" s="557"/>
      <c r="H79" s="556">
        <f>'Sources and Uses Budget'!T79</f>
        <v>0</v>
      </c>
      <c r="I79" s="557"/>
      <c r="J79" s="557"/>
      <c r="K79" s="554"/>
    </row>
    <row r="80" spans="1:11" s="555" customFormat="1">
      <c r="A80" s="559" t="s">
        <v>58</v>
      </c>
      <c r="B80" s="556">
        <f>'Sources and Uses Budget'!C80</f>
        <v>150000</v>
      </c>
      <c r="C80" s="557"/>
      <c r="D80" s="557"/>
      <c r="E80" s="556">
        <f>'Sources and Uses Budget'!S80</f>
        <v>150000</v>
      </c>
      <c r="F80" s="557"/>
      <c r="G80" s="557"/>
      <c r="H80" s="556">
        <f>'Sources and Uses Budget'!T80</f>
        <v>0</v>
      </c>
      <c r="I80" s="557"/>
      <c r="J80" s="557"/>
      <c r="K80" s="554"/>
    </row>
    <row r="81" spans="1:11" s="555" customFormat="1">
      <c r="A81" s="560" t="s">
        <v>1351</v>
      </c>
      <c r="B81" s="556">
        <f>'Sources and Uses Budget'!C81</f>
        <v>1894205</v>
      </c>
      <c r="C81" s="556">
        <f>SUM(C79:C80)</f>
        <v>0</v>
      </c>
      <c r="D81" s="556">
        <f>SUM(D79:D80)</f>
        <v>0</v>
      </c>
      <c r="E81" s="556">
        <f>'Sources and Uses Budget'!S81</f>
        <v>1894205</v>
      </c>
      <c r="F81" s="556">
        <f>SUM(F79:F80)</f>
        <v>0</v>
      </c>
      <c r="G81" s="556">
        <f>SUM(G79:G80)</f>
        <v>0</v>
      </c>
      <c r="H81" s="556">
        <f>'Sources and Uses Budget'!T81</f>
        <v>0</v>
      </c>
      <c r="I81" s="556">
        <f>SUM(I79:I80)</f>
        <v>0</v>
      </c>
      <c r="J81" s="556">
        <f>SUM(J79:J80)</f>
        <v>0</v>
      </c>
      <c r="K81" s="554"/>
    </row>
    <row r="82" spans="1:11" s="555" customFormat="1">
      <c r="A82" s="552" t="s">
        <v>789</v>
      </c>
      <c r="B82" s="553"/>
      <c r="C82" s="553"/>
      <c r="D82" s="553"/>
      <c r="E82" s="553"/>
      <c r="F82" s="553"/>
      <c r="G82" s="553"/>
      <c r="H82" s="553"/>
      <c r="I82" s="553"/>
      <c r="J82" s="553"/>
      <c r="K82" s="554"/>
    </row>
    <row r="83" spans="1:11" s="555" customFormat="1" ht="13.7" customHeight="1">
      <c r="A83" s="215" t="s">
        <v>2508</v>
      </c>
      <c r="B83" s="556">
        <f>'Sources and Uses Budget'!C83</f>
        <v>46514</v>
      </c>
      <c r="C83" s="557"/>
      <c r="D83" s="557"/>
      <c r="E83" s="558"/>
      <c r="F83" s="558"/>
      <c r="G83" s="558"/>
      <c r="H83" s="558"/>
      <c r="I83" s="558"/>
      <c r="J83" s="558"/>
      <c r="K83" s="554"/>
    </row>
    <row r="84" spans="1:11" s="555" customFormat="1">
      <c r="A84" s="215" t="s">
        <v>791</v>
      </c>
      <c r="B84" s="556">
        <f>'Sources and Uses Budget'!C84</f>
        <v>50000</v>
      </c>
      <c r="C84" s="557"/>
      <c r="D84" s="557"/>
      <c r="E84" s="556">
        <f>'Sources and Uses Budget'!S84</f>
        <v>50000</v>
      </c>
      <c r="F84" s="557"/>
      <c r="G84" s="557"/>
      <c r="H84" s="556">
        <f>'Sources and Uses Budget'!T84</f>
        <v>0</v>
      </c>
      <c r="I84" s="557"/>
      <c r="J84" s="557"/>
      <c r="K84" s="554"/>
    </row>
    <row r="85" spans="1:11" s="555" customFormat="1">
      <c r="A85" s="215" t="s">
        <v>792</v>
      </c>
      <c r="B85" s="556">
        <f>'Sources and Uses Budget'!C85</f>
        <v>45000</v>
      </c>
      <c r="C85" s="557"/>
      <c r="D85" s="557"/>
      <c r="E85" s="556">
        <f>'Sources and Uses Budget'!S85</f>
        <v>45000</v>
      </c>
      <c r="F85" s="557"/>
      <c r="G85" s="557"/>
      <c r="H85" s="556">
        <f>'Sources and Uses Budget'!T85</f>
        <v>0</v>
      </c>
      <c r="I85" s="557"/>
      <c r="J85" s="557"/>
      <c r="K85" s="554"/>
    </row>
    <row r="86" spans="1:11" s="555" customFormat="1">
      <c r="A86" s="215" t="s">
        <v>793</v>
      </c>
      <c r="B86" s="556">
        <f>'Sources and Uses Budget'!C86</f>
        <v>55000</v>
      </c>
      <c r="C86" s="557"/>
      <c r="D86" s="557"/>
      <c r="E86" s="556">
        <f>'Sources and Uses Budget'!S86</f>
        <v>55000</v>
      </c>
      <c r="F86" s="557"/>
      <c r="G86" s="557"/>
      <c r="H86" s="556">
        <f>'Sources and Uses Budget'!T86</f>
        <v>0</v>
      </c>
      <c r="I86" s="557"/>
      <c r="J86" s="557"/>
      <c r="K86" s="554"/>
    </row>
    <row r="87" spans="1:11" s="555" customFormat="1">
      <c r="A87" s="215" t="s">
        <v>794</v>
      </c>
      <c r="B87" s="556">
        <f>'Sources and Uses Budget'!C87</f>
        <v>42500</v>
      </c>
      <c r="C87" s="557"/>
      <c r="D87" s="557"/>
      <c r="E87" s="556">
        <f>'Sources and Uses Budget'!S87</f>
        <v>42500</v>
      </c>
      <c r="F87" s="557"/>
      <c r="G87" s="557"/>
      <c r="H87" s="556">
        <f>'Sources and Uses Budget'!T87</f>
        <v>0</v>
      </c>
      <c r="I87" s="557"/>
      <c r="J87" s="557"/>
      <c r="K87" s="554"/>
    </row>
    <row r="88" spans="1:11" s="555" customFormat="1">
      <c r="A88" s="215" t="s">
        <v>795</v>
      </c>
      <c r="B88" s="556">
        <f>'Sources and Uses Budget'!C88</f>
        <v>20000</v>
      </c>
      <c r="C88" s="557"/>
      <c r="D88" s="557"/>
      <c r="E88" s="558"/>
      <c r="F88" s="558"/>
      <c r="G88" s="558"/>
      <c r="H88" s="558"/>
      <c r="I88" s="558"/>
      <c r="J88" s="558"/>
      <c r="K88" s="554"/>
    </row>
    <row r="89" spans="1:11" s="555" customFormat="1">
      <c r="A89" s="215" t="s">
        <v>796</v>
      </c>
      <c r="B89" s="556">
        <f>'Sources and Uses Budget'!C89</f>
        <v>120000</v>
      </c>
      <c r="C89" s="557"/>
      <c r="D89" s="557"/>
      <c r="E89" s="556">
        <f>'Sources and Uses Budget'!S89</f>
        <v>120000</v>
      </c>
      <c r="F89" s="557"/>
      <c r="G89" s="557"/>
      <c r="H89" s="556">
        <f>'Sources and Uses Budget'!T89</f>
        <v>0</v>
      </c>
      <c r="I89" s="557"/>
      <c r="J89" s="557"/>
      <c r="K89" s="554"/>
    </row>
    <row r="90" spans="1:11" s="555" customFormat="1">
      <c r="A90" s="215" t="s">
        <v>797</v>
      </c>
      <c r="B90" s="556">
        <f>'Sources and Uses Budget'!C90</f>
        <v>10000</v>
      </c>
      <c r="C90" s="557"/>
      <c r="D90" s="557"/>
      <c r="E90" s="556">
        <f>'Sources and Uses Budget'!S90</f>
        <v>0</v>
      </c>
      <c r="F90" s="557"/>
      <c r="G90" s="557"/>
      <c r="H90" s="556">
        <f>'Sources and Uses Budget'!T90</f>
        <v>0</v>
      </c>
      <c r="I90" s="557"/>
      <c r="J90" s="557"/>
      <c r="K90" s="554"/>
    </row>
    <row r="91" spans="1:11" s="555" customFormat="1">
      <c r="A91" s="225" t="s">
        <v>373</v>
      </c>
      <c r="B91" s="556">
        <f>'Sources and Uses Budget'!C91</f>
        <v>25000</v>
      </c>
      <c r="C91" s="557"/>
      <c r="D91" s="557"/>
      <c r="E91" s="556">
        <f>'Sources and Uses Budget'!S91</f>
        <v>0</v>
      </c>
      <c r="F91" s="557"/>
      <c r="G91" s="557"/>
      <c r="H91" s="556">
        <f>'Sources and Uses Budget'!T91</f>
        <v>0</v>
      </c>
      <c r="I91" s="557"/>
      <c r="J91" s="557"/>
      <c r="K91" s="554"/>
    </row>
    <row r="92" spans="1:11" s="555" customFormat="1">
      <c r="A92" s="847" t="s">
        <v>1353</v>
      </c>
      <c r="B92" s="556">
        <f>'Sources and Uses Budget'!C92</f>
        <v>10000</v>
      </c>
      <c r="C92" s="557"/>
      <c r="D92" s="557"/>
      <c r="E92" s="556">
        <f>'Sources and Uses Budget'!S92</f>
        <v>10000</v>
      </c>
      <c r="F92" s="557"/>
      <c r="G92" s="557"/>
      <c r="H92" s="556">
        <f>'Sources and Uses Budget'!T92</f>
        <v>0</v>
      </c>
      <c r="I92" s="557"/>
      <c r="J92" s="557"/>
      <c r="K92" s="554"/>
    </row>
    <row r="93" spans="1:11" s="555" customFormat="1" ht="24">
      <c r="A93" s="562" t="str">
        <f>'Sources and Uses Budget'!$A93</f>
        <v>Construction Mgmt, Deputy Inspections &amp; Security</v>
      </c>
      <c r="B93" s="556">
        <f>'Sources and Uses Budget'!C93</f>
        <v>180000</v>
      </c>
      <c r="C93" s="557"/>
      <c r="D93" s="557"/>
      <c r="E93" s="556">
        <f>'Sources and Uses Budget'!S93</f>
        <v>180000</v>
      </c>
      <c r="F93" s="557"/>
      <c r="G93" s="557"/>
      <c r="H93" s="556">
        <f>'Sources and Uses Budget'!T93</f>
        <v>0</v>
      </c>
      <c r="I93" s="557"/>
      <c r="J93" s="557"/>
      <c r="K93" s="554"/>
    </row>
    <row r="94" spans="1:11" s="555" customFormat="1" ht="24">
      <c r="A94" s="562" t="str">
        <f>'Sources and Uses Budget'!$A94</f>
        <v>Green Building Certification &amp; ACBCI Monitoring</v>
      </c>
      <c r="B94" s="556">
        <f>'Sources and Uses Budget'!C94</f>
        <v>112200</v>
      </c>
      <c r="C94" s="557"/>
      <c r="D94" s="557"/>
      <c r="E94" s="556">
        <f>'Sources and Uses Budget'!S94</f>
        <v>112200</v>
      </c>
      <c r="F94" s="557"/>
      <c r="G94" s="557"/>
      <c r="H94" s="556">
        <f>'Sources and Uses Budget'!T94</f>
        <v>0</v>
      </c>
      <c r="I94" s="557"/>
      <c r="J94" s="557"/>
      <c r="K94" s="554"/>
    </row>
    <row r="95" spans="1:11" s="555" customFormat="1" ht="24">
      <c r="A95" s="562" t="str">
        <f>'Sources and Uses Budget'!$A95</f>
        <v>Lease Up Expense &amp; Syndication Consulting</v>
      </c>
      <c r="B95" s="556">
        <f>'Sources and Uses Budget'!C95</f>
        <v>35000</v>
      </c>
      <c r="C95" s="557"/>
      <c r="D95" s="557"/>
      <c r="E95" s="556">
        <f>'Sources and Uses Budget'!S95</f>
        <v>0</v>
      </c>
      <c r="F95" s="557"/>
      <c r="G95" s="557"/>
      <c r="H95" s="556">
        <f>'Sources and Uses Budget'!T95</f>
        <v>0</v>
      </c>
      <c r="I95" s="557"/>
      <c r="J95" s="557"/>
      <c r="K95" s="554"/>
    </row>
    <row r="96" spans="1:11" s="555" customFormat="1">
      <c r="A96" s="560" t="s">
        <v>798</v>
      </c>
      <c r="B96" s="556">
        <f>'Sources and Uses Budget'!C96</f>
        <v>751214</v>
      </c>
      <c r="C96" s="556">
        <f>SUM(C83:C95)</f>
        <v>0</v>
      </c>
      <c r="D96" s="556">
        <f>SUM(D83:D95)</f>
        <v>0</v>
      </c>
      <c r="E96" s="556">
        <f>'Sources and Uses Budget'!S96</f>
        <v>614700</v>
      </c>
      <c r="F96" s="563">
        <f>SUM(F84:F87,F89:F95)</f>
        <v>0</v>
      </c>
      <c r="G96" s="563">
        <f>SUM(G84:G87,G89:G95)</f>
        <v>0</v>
      </c>
      <c r="H96" s="556">
        <f>'Sources and Uses Budget'!T96</f>
        <v>0</v>
      </c>
      <c r="I96" s="556">
        <f>SUM(I84:I87,I89:I95)</f>
        <v>0</v>
      </c>
      <c r="J96" s="556">
        <f>SUM(J84:J87,J89:J95)</f>
        <v>0</v>
      </c>
      <c r="K96" s="554"/>
    </row>
    <row r="97" spans="1:11" s="555" customFormat="1">
      <c r="A97" s="560" t="s">
        <v>1089</v>
      </c>
      <c r="B97" s="556">
        <f>'Sources and Uses Budget'!C97</f>
        <v>41755888</v>
      </c>
      <c r="C97" s="556">
        <f>SUM(C63+C70+C77+C81+C96)</f>
        <v>0</v>
      </c>
      <c r="D97" s="556">
        <f>SUM(D63+D70+D77+D81+D96)</f>
        <v>0</v>
      </c>
      <c r="E97" s="556">
        <f>'Sources and Uses Budget'!S97</f>
        <v>38059791</v>
      </c>
      <c r="F97" s="563">
        <f>SUM(+F63+F70+F81+F96)</f>
        <v>0</v>
      </c>
      <c r="G97" s="563">
        <f>SUM(+G63+G70+G81+G96)</f>
        <v>0</v>
      </c>
      <c r="H97" s="556">
        <f>'Sources and Uses Budget'!T97</f>
        <v>0</v>
      </c>
      <c r="I97" s="563">
        <f>SUM(I63+I70+I81+I96)</f>
        <v>0</v>
      </c>
      <c r="J97" s="563">
        <f>SUM(J63+J70+J81+J96)</f>
        <v>0</v>
      </c>
      <c r="K97" s="554"/>
    </row>
    <row r="98" spans="1:11" s="555" customFormat="1">
      <c r="A98" s="552" t="s">
        <v>800</v>
      </c>
      <c r="B98" s="553"/>
      <c r="C98" s="553"/>
      <c r="D98" s="553"/>
      <c r="E98" s="553"/>
      <c r="F98" s="553"/>
      <c r="G98" s="553"/>
      <c r="H98" s="553"/>
      <c r="I98" s="553"/>
      <c r="J98" s="553"/>
      <c r="K98" s="554"/>
    </row>
    <row r="99" spans="1:11" s="555" customFormat="1">
      <c r="A99" s="215" t="s">
        <v>801</v>
      </c>
      <c r="B99" s="556">
        <f>'Sources and Uses Budget'!C99</f>
        <v>2500000</v>
      </c>
      <c r="C99" s="557"/>
      <c r="D99" s="557"/>
      <c r="E99" s="556">
        <f>'Sources and Uses Budget'!S99</f>
        <v>2500000</v>
      </c>
      <c r="F99" s="557"/>
      <c r="G99" s="557"/>
      <c r="H99" s="556">
        <f>'Sources and Uses Budget'!T99</f>
        <v>0</v>
      </c>
      <c r="I99" s="557"/>
      <c r="J99" s="557"/>
      <c r="K99" s="554"/>
    </row>
    <row r="100" spans="1:11" s="555" customFormat="1">
      <c r="A100" s="435" t="s">
        <v>1825</v>
      </c>
      <c r="B100" s="556">
        <f>'Sources and Uses Budget'!C100</f>
        <v>0</v>
      </c>
      <c r="C100" s="557"/>
      <c r="D100" s="557"/>
      <c r="E100" s="556">
        <f>'Sources and Uses Budget'!S100</f>
        <v>0</v>
      </c>
      <c r="F100" s="557"/>
      <c r="G100" s="557"/>
      <c r="H100" s="556">
        <f>'Sources and Uses Budget'!T100</f>
        <v>0</v>
      </c>
      <c r="I100" s="557"/>
      <c r="J100" s="557"/>
      <c r="K100" s="554"/>
    </row>
    <row r="101" spans="1:11" s="555" customFormat="1">
      <c r="A101" s="215" t="s">
        <v>802</v>
      </c>
      <c r="B101" s="556">
        <f>'Sources and Uses Budget'!C101</f>
        <v>0</v>
      </c>
      <c r="C101" s="557"/>
      <c r="D101" s="557"/>
      <c r="E101" s="556">
        <f>'Sources and Uses Budget'!S101</f>
        <v>0</v>
      </c>
      <c r="F101" s="557"/>
      <c r="G101" s="557"/>
      <c r="H101" s="556">
        <f>'Sources and Uses Budget'!T101</f>
        <v>0</v>
      </c>
      <c r="I101" s="557"/>
      <c r="J101" s="557"/>
      <c r="K101" s="554"/>
    </row>
    <row r="102" spans="1:11" s="555" customFormat="1" ht="12" customHeight="1">
      <c r="A102" s="435" t="s">
        <v>1826</v>
      </c>
      <c r="B102" s="556">
        <f>'Sources and Uses Budget'!C102</f>
        <v>0</v>
      </c>
      <c r="C102" s="557"/>
      <c r="D102" s="557"/>
      <c r="E102" s="556">
        <f>'Sources and Uses Budget'!S102</f>
        <v>0</v>
      </c>
      <c r="F102" s="557"/>
      <c r="G102" s="557"/>
      <c r="H102" s="556">
        <f>'Sources and Uses Budget'!T102</f>
        <v>0</v>
      </c>
      <c r="I102" s="557"/>
      <c r="J102" s="557"/>
      <c r="K102" s="554"/>
    </row>
    <row r="103" spans="1:11" s="555" customFormat="1">
      <c r="A103" s="562" t="str">
        <f>'Sources and Uses Budget'!$A103</f>
        <v>Other: (Specify)</v>
      </c>
      <c r="B103" s="556">
        <f>'Sources and Uses Budget'!C103</f>
        <v>0</v>
      </c>
      <c r="C103" s="557"/>
      <c r="D103" s="557"/>
      <c r="E103" s="556">
        <f>'Sources and Uses Budget'!S103</f>
        <v>0</v>
      </c>
      <c r="F103" s="557"/>
      <c r="G103" s="557"/>
      <c r="H103" s="556">
        <f>'Sources and Uses Budget'!T103</f>
        <v>0</v>
      </c>
      <c r="I103" s="557"/>
      <c r="J103" s="557"/>
      <c r="K103" s="554"/>
    </row>
    <row r="104" spans="1:11" s="555" customFormat="1">
      <c r="A104" s="560" t="s">
        <v>803</v>
      </c>
      <c r="B104" s="556">
        <f>'Sources and Uses Budget'!C104</f>
        <v>2500000</v>
      </c>
      <c r="C104" s="556">
        <f>SUM(C99:C103)</f>
        <v>0</v>
      </c>
      <c r="D104" s="556">
        <f>SUM(D99:D103)</f>
        <v>0</v>
      </c>
      <c r="E104" s="556">
        <f>'Sources and Uses Budget'!S104</f>
        <v>2500000</v>
      </c>
      <c r="F104" s="563">
        <f>SUM(F99:F103)</f>
        <v>0</v>
      </c>
      <c r="G104" s="563">
        <f>SUM(G99:G103)</f>
        <v>0</v>
      </c>
      <c r="H104" s="556">
        <f>'Sources and Uses Budget'!T104</f>
        <v>0</v>
      </c>
      <c r="I104" s="563">
        <f>SUM(I99:I103)</f>
        <v>0</v>
      </c>
      <c r="J104" s="563">
        <f>SUM(J99:J103)</f>
        <v>0</v>
      </c>
      <c r="K104" s="554"/>
    </row>
    <row r="105" spans="1:11" s="555" customFormat="1">
      <c r="A105" s="560" t="s">
        <v>1090</v>
      </c>
      <c r="B105" s="556">
        <f>'Sources and Uses Budget'!C105</f>
        <v>44255888</v>
      </c>
      <c r="C105" s="563">
        <f>SUM(C97+C104)</f>
        <v>0</v>
      </c>
      <c r="D105" s="563">
        <f>SUM(D97+D104)</f>
        <v>0</v>
      </c>
      <c r="E105" s="556">
        <f>'Sources and Uses Budget'!S105</f>
        <v>40559791</v>
      </c>
      <c r="F105" s="563">
        <f>F97+F104</f>
        <v>0</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3" t="s">
        <v>376</v>
      </c>
      <c r="E107" s="556">
        <f>'Sources and Uses Budget'!S107</f>
        <v>40559791</v>
      </c>
      <c r="F107" s="572">
        <f>F105+F106</f>
        <v>0</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2.75">
      <c r="A111" s="575"/>
      <c r="B111" s="573"/>
      <c r="C111" s="573"/>
      <c r="D111" s="573"/>
      <c r="J111" s="574"/>
      <c r="K111" s="554"/>
    </row>
    <row r="112" spans="1:11" s="555" customFormat="1" ht="12.75">
      <c r="A112" s="575"/>
      <c r="B112" s="573"/>
      <c r="C112" s="573"/>
      <c r="D112" s="573"/>
      <c r="J112" s="574"/>
      <c r="K112" s="554"/>
    </row>
    <row r="113" spans="1:11" s="555" customFormat="1" ht="14.25">
      <c r="A113" s="576"/>
      <c r="B113" s="573"/>
      <c r="C113" s="573"/>
      <c r="D113" s="573"/>
      <c r="J113" s="574"/>
      <c r="K113" s="554"/>
    </row>
    <row r="114" spans="1:11" s="555" customFormat="1" ht="12.75">
      <c r="A114" s="575"/>
      <c r="J114" s="574"/>
      <c r="K114" s="554"/>
    </row>
    <row r="115" spans="1:11" s="555" customFormat="1" ht="14.25">
      <c r="A115" s="576"/>
      <c r="J115" s="574"/>
      <c r="K115" s="554"/>
    </row>
    <row r="116" spans="1:11" s="555" customFormat="1" ht="14.25">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4.25">
      <c r="A121" s="576"/>
      <c r="J121" s="574"/>
      <c r="K121" s="554"/>
    </row>
    <row r="122" spans="1:11" s="579" customFormat="1" ht="15.7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30"/>
      <c r="E124" s="2631"/>
      <c r="F124" s="2631"/>
      <c r="G124" s="2631"/>
      <c r="H124" s="2631"/>
      <c r="I124" s="2631"/>
      <c r="J124" s="574"/>
      <c r="K124" s="554"/>
    </row>
    <row r="125" spans="1:11" s="555" customFormat="1" ht="12.75">
      <c r="A125" s="585"/>
      <c r="B125" s="584"/>
      <c r="C125" s="585"/>
      <c r="D125" s="2631"/>
      <c r="E125" s="2631"/>
      <c r="F125" s="2631"/>
      <c r="G125" s="2631"/>
      <c r="H125" s="2631"/>
      <c r="I125" s="2631"/>
      <c r="J125" s="574"/>
      <c r="K125" s="554"/>
    </row>
    <row r="126" spans="1:11" s="555" customFormat="1" ht="12.75">
      <c r="A126" s="585"/>
      <c r="B126" s="584"/>
      <c r="C126" s="585"/>
      <c r="D126" s="2631"/>
      <c r="E126" s="2631"/>
      <c r="F126" s="2631"/>
      <c r="G126" s="2631"/>
      <c r="H126" s="2631"/>
      <c r="I126" s="2631"/>
      <c r="J126" s="574"/>
      <c r="K126" s="554"/>
    </row>
    <row r="127" spans="1:11" s="555" customFormat="1" ht="12.75">
      <c r="A127" s="585"/>
      <c r="B127" s="584"/>
      <c r="C127" s="585"/>
      <c r="D127" s="586"/>
      <c r="E127" s="585"/>
      <c r="F127" s="585"/>
      <c r="G127" s="585"/>
      <c r="J127" s="574"/>
      <c r="K127" s="554"/>
    </row>
    <row r="128" spans="1:11" s="555" customFormat="1" ht="12.75">
      <c r="A128" s="585"/>
      <c r="B128" s="584"/>
      <c r="C128" s="585"/>
      <c r="D128" s="586"/>
      <c r="E128" s="585"/>
      <c r="F128" s="585"/>
      <c r="G128" s="585"/>
      <c r="J128" s="574"/>
      <c r="K128" s="554"/>
    </row>
    <row r="129" spans="1:11" s="555" customFormat="1" ht="12.75">
      <c r="A129" s="585"/>
      <c r="B129" s="584"/>
      <c r="C129" s="585"/>
      <c r="D129" s="585"/>
      <c r="E129" s="585"/>
      <c r="F129" s="585"/>
      <c r="G129" s="585"/>
      <c r="J129" s="574"/>
      <c r="K129" s="554"/>
    </row>
    <row r="130" spans="1:11" s="555" customFormat="1" ht="12.75">
      <c r="A130" s="585"/>
      <c r="B130" s="584"/>
      <c r="C130" s="585"/>
      <c r="D130" s="585"/>
      <c r="E130" s="585"/>
      <c r="F130" s="585"/>
      <c r="G130" s="585"/>
      <c r="J130" s="574"/>
      <c r="K130" s="554"/>
    </row>
    <row r="131" spans="1:11" s="555" customFormat="1" ht="12.75">
      <c r="A131" s="585"/>
      <c r="B131" s="587"/>
      <c r="C131" s="585"/>
      <c r="D131" s="585"/>
      <c r="E131" s="585"/>
      <c r="F131" s="585"/>
      <c r="G131" s="585"/>
      <c r="J131" s="574"/>
      <c r="K131" s="554"/>
    </row>
    <row r="132" spans="1:11" s="555" customFormat="1" ht="12.75">
      <c r="A132" s="588"/>
      <c r="B132" s="589"/>
      <c r="C132" s="585"/>
      <c r="D132" s="590"/>
      <c r="E132" s="585"/>
      <c r="F132" s="585"/>
      <c r="G132" s="585"/>
      <c r="J132" s="574"/>
      <c r="K132" s="554"/>
    </row>
    <row r="133" spans="1:11" s="555" customFormat="1" ht="12.75">
      <c r="A133" s="591"/>
      <c r="B133" s="585"/>
      <c r="C133" s="585"/>
      <c r="D133" s="585"/>
      <c r="E133" s="585"/>
      <c r="F133" s="585"/>
      <c r="G133" s="585"/>
      <c r="J133" s="574"/>
      <c r="K133" s="554"/>
    </row>
    <row r="134" spans="1:11" s="555" customFormat="1" ht="12.75">
      <c r="A134" s="591"/>
      <c r="B134" s="585"/>
      <c r="C134" s="585"/>
      <c r="D134" s="585"/>
      <c r="E134" s="585"/>
      <c r="F134" s="585"/>
      <c r="G134" s="585"/>
      <c r="J134" s="574"/>
      <c r="K134" s="554"/>
    </row>
    <row r="135" spans="1:11" s="555" customFormat="1" ht="12.75">
      <c r="A135" s="592"/>
      <c r="B135" s="585"/>
      <c r="C135" s="585"/>
      <c r="D135" s="585"/>
      <c r="E135" s="585"/>
      <c r="F135" s="585"/>
      <c r="G135" s="585"/>
      <c r="J135" s="574"/>
      <c r="K135" s="554"/>
    </row>
    <row r="136" spans="1:11" s="555" customFormat="1" ht="12.75">
      <c r="A136" s="593"/>
      <c r="B136" s="585"/>
      <c r="C136" s="585"/>
      <c r="D136" s="585"/>
      <c r="E136" s="585"/>
      <c r="F136" s="585"/>
      <c r="G136" s="585"/>
      <c r="J136" s="574"/>
      <c r="K136" s="554"/>
    </row>
    <row r="137" spans="1:11" ht="12.75">
      <c r="A137" s="591"/>
      <c r="B137" s="585"/>
      <c r="C137" s="585"/>
      <c r="D137" s="585"/>
      <c r="E137" s="585"/>
      <c r="F137" s="585"/>
      <c r="G137" s="585"/>
    </row>
    <row r="138" spans="1:11" ht="12" customHeight="1">
      <c r="A138" s="591"/>
      <c r="B138" s="585"/>
      <c r="C138" s="585"/>
      <c r="D138" s="585"/>
      <c r="E138" s="585"/>
      <c r="F138" s="585"/>
      <c r="G138" s="585"/>
    </row>
    <row r="139" spans="1:11" ht="12" customHeight="1">
      <c r="A139" s="2632"/>
      <c r="B139" s="2633"/>
      <c r="C139" s="2633"/>
      <c r="D139" s="597"/>
      <c r="E139" s="585"/>
      <c r="F139" s="585"/>
      <c r="G139" s="585"/>
    </row>
    <row r="140" spans="1:11" ht="12" customHeight="1">
      <c r="A140" s="2634"/>
      <c r="B140" s="2635"/>
      <c r="C140" s="2635"/>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09"/>
  <sheetViews>
    <sheetView showGridLines="0" topLeftCell="A169" zoomScaleNormal="100" zoomScaleSheetLayoutView="100" workbookViewId="0">
      <selection activeCell="B191" sqref="B191:AB191"/>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04"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9.140625" style="51" hidden="1"/>
  </cols>
  <sheetData>
    <row r="1" spans="1:42" ht="15.75" customHeight="1">
      <c r="A1" s="2882" t="s">
        <v>1471</v>
      </c>
      <c r="B1" s="2882"/>
      <c r="C1" s="2882"/>
      <c r="D1" s="2882"/>
      <c r="E1" s="2882"/>
      <c r="F1" s="2882"/>
      <c r="G1" s="2882"/>
      <c r="H1" s="2882"/>
      <c r="I1" s="2882"/>
      <c r="J1" s="2882"/>
      <c r="K1" s="2882"/>
      <c r="L1" s="2882"/>
      <c r="M1" s="2882"/>
      <c r="N1" s="2882"/>
      <c r="O1" s="2882"/>
      <c r="P1" s="2882"/>
      <c r="Q1" s="2882"/>
      <c r="R1" s="2882"/>
      <c r="S1" s="2882"/>
      <c r="T1" s="2882"/>
      <c r="U1" s="2882"/>
      <c r="V1" s="2882"/>
      <c r="W1" s="2882"/>
      <c r="X1" s="2882"/>
      <c r="Y1" s="2882"/>
      <c r="Z1" s="2882"/>
      <c r="AA1" s="2882"/>
      <c r="AB1" s="2882"/>
      <c r="AC1" s="2882"/>
      <c r="AD1" s="2882"/>
      <c r="AE1" s="2882"/>
      <c r="AF1" s="2882"/>
      <c r="AG1" s="2882"/>
      <c r="AH1" s="2882"/>
      <c r="AI1" s="2882"/>
      <c r="AJ1" s="2882"/>
      <c r="AK1" s="2882"/>
      <c r="AL1" s="2882"/>
      <c r="AM1" s="2882"/>
    </row>
    <row r="2" spans="1:42" s="906" customFormat="1" ht="12.75" customHeight="1" thickBot="1">
      <c r="A2" s="2883"/>
      <c r="B2" s="2883"/>
      <c r="C2" s="2883"/>
      <c r="D2" s="2883"/>
      <c r="E2" s="2883"/>
      <c r="F2" s="2883"/>
      <c r="G2" s="2883"/>
      <c r="H2" s="2883"/>
      <c r="I2" s="2883"/>
      <c r="J2" s="2883"/>
      <c r="K2" s="2883"/>
      <c r="L2" s="2883"/>
      <c r="M2" s="2883"/>
      <c r="N2" s="2883"/>
      <c r="O2" s="2883"/>
      <c r="P2" s="2883"/>
      <c r="Q2" s="2883"/>
      <c r="R2" s="2883"/>
      <c r="S2" s="2883"/>
      <c r="T2" s="2883"/>
      <c r="U2" s="2883"/>
      <c r="V2" s="2883"/>
      <c r="W2" s="2883"/>
      <c r="X2" s="2883"/>
      <c r="Y2" s="2883"/>
      <c r="Z2" s="2883"/>
      <c r="AA2" s="2883"/>
      <c r="AB2" s="2883"/>
      <c r="AC2" s="2883"/>
      <c r="AD2" s="2883"/>
      <c r="AE2" s="2883"/>
      <c r="AF2" s="2883"/>
      <c r="AG2" s="2883"/>
      <c r="AH2" s="2883"/>
      <c r="AI2" s="2883"/>
      <c r="AJ2" s="2883"/>
      <c r="AK2" s="2883"/>
      <c r="AL2" s="2883"/>
      <c r="AM2" s="2883"/>
      <c r="AN2" s="905"/>
    </row>
    <row r="3" spans="1:42" s="909" customFormat="1" ht="12.75" customHeight="1" thickTop="1">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8"/>
    </row>
    <row r="4" spans="1:42" s="909" customFormat="1" ht="12.75" customHeight="1">
      <c r="A4" s="910" t="s">
        <v>1472</v>
      </c>
      <c r="B4" s="911" t="s">
        <v>1473</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08"/>
    </row>
    <row r="5" spans="1:42" s="909" customFormat="1" ht="12.75" customHeight="1" thickBot="1">
      <c r="A5" s="910"/>
      <c r="B5" s="911"/>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08"/>
    </row>
    <row r="6" spans="1:42" s="909" customFormat="1" ht="12.75" customHeight="1" thickTop="1">
      <c r="A6" s="913"/>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4"/>
      <c r="AN6" s="908"/>
    </row>
    <row r="7" spans="1:42" s="909" customFormat="1" ht="12.75" customHeight="1">
      <c r="A7" s="910" t="s">
        <v>1474</v>
      </c>
      <c r="B7" s="911" t="s">
        <v>1475</v>
      </c>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11"/>
      <c r="AE7" s="2873" t="s">
        <v>1476</v>
      </c>
      <c r="AF7" s="2873"/>
      <c r="AG7" s="2873"/>
      <c r="AH7" s="2873"/>
      <c r="AI7" s="2873"/>
      <c r="AJ7" s="2873"/>
      <c r="AK7" s="2873"/>
      <c r="AL7" s="912"/>
      <c r="AM7" s="912"/>
      <c r="AN7" s="908"/>
    </row>
    <row r="8" spans="1:42" s="909" customFormat="1" ht="12.75" customHeight="1">
      <c r="A8" s="910"/>
      <c r="B8" s="911" t="s">
        <v>1983</v>
      </c>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5"/>
      <c r="AF8" s="915"/>
      <c r="AG8" s="915"/>
      <c r="AH8" s="915"/>
      <c r="AI8" s="915"/>
      <c r="AJ8" s="915"/>
      <c r="AK8" s="915"/>
      <c r="AL8" s="912"/>
      <c r="AM8" s="912"/>
      <c r="AN8" s="908"/>
    </row>
    <row r="9" spans="1:42" s="909" customFormat="1" ht="12.75" customHeight="1">
      <c r="A9" s="910"/>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5"/>
      <c r="AF9" s="915"/>
      <c r="AG9" s="915"/>
      <c r="AH9" s="915"/>
      <c r="AI9" s="915"/>
      <c r="AJ9" s="915"/>
      <c r="AK9" s="915"/>
      <c r="AL9" s="912"/>
      <c r="AM9" s="912"/>
      <c r="AN9" s="908"/>
    </row>
    <row r="10" spans="1:42" s="909" customFormat="1" ht="12.75" customHeight="1">
      <c r="A10" s="910"/>
      <c r="B10" s="911" t="s">
        <v>2397</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1836"/>
      <c r="AF10" s="1836"/>
      <c r="AG10" s="1836"/>
      <c r="AH10" s="1836"/>
      <c r="AI10" s="1836"/>
      <c r="AJ10" s="1836"/>
      <c r="AK10" s="1836"/>
      <c r="AL10" s="912"/>
      <c r="AM10" s="912"/>
      <c r="AN10" s="908"/>
    </row>
    <row r="11" spans="1:42" s="909" customFormat="1" ht="12.75" customHeight="1">
      <c r="A11" s="912"/>
      <c r="C11" s="1838" t="s">
        <v>2391</v>
      </c>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912"/>
      <c r="AL11" s="912"/>
      <c r="AM11" s="912"/>
      <c r="AN11" s="908"/>
      <c r="AO11" s="903"/>
      <c r="AP11" s="917"/>
    </row>
    <row r="12" spans="1:42" s="909" customFormat="1" ht="12.75" customHeight="1">
      <c r="A12" s="912"/>
      <c r="B12" s="918"/>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08"/>
      <c r="AP12" s="51"/>
    </row>
    <row r="13" spans="1:42" s="909" customFormat="1" ht="12.75" customHeight="1">
      <c r="A13" s="912"/>
      <c r="B13" s="2876" t="s">
        <v>600</v>
      </c>
      <c r="C13" s="2876"/>
      <c r="D13" s="919"/>
      <c r="E13" s="920" t="s">
        <v>1477</v>
      </c>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2884"/>
      <c r="AH13" s="2884"/>
      <c r="AI13" s="2884"/>
      <c r="AJ13" s="2885"/>
      <c r="AK13" s="912"/>
      <c r="AL13" s="912"/>
      <c r="AM13" s="912"/>
      <c r="AN13" s="908"/>
      <c r="AO13" s="922">
        <f>IF($B13="yes",20,0)</f>
        <v>0</v>
      </c>
      <c r="AP13" s="51"/>
    </row>
    <row r="14" spans="1:42" s="909" customFormat="1" ht="12.75" customHeight="1">
      <c r="A14" s="912"/>
      <c r="B14" s="912"/>
      <c r="C14" s="912"/>
      <c r="D14" s="51"/>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08"/>
      <c r="AO14" s="922">
        <f>IF(AND($B16="yes",E20&gt;0),20,0)</f>
        <v>0</v>
      </c>
      <c r="AP14" s="51"/>
    </row>
    <row r="15" spans="1:42" s="909" customFormat="1" ht="12.75" customHeight="1">
      <c r="A15" s="912"/>
      <c r="B15" s="912"/>
      <c r="C15" s="912"/>
      <c r="D15" s="922"/>
      <c r="E15" s="912"/>
      <c r="F15" s="912"/>
      <c r="G15" s="912"/>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08"/>
      <c r="AO15" s="922">
        <f>IF($B22="yes",20,0)</f>
        <v>0</v>
      </c>
      <c r="AP15" s="21"/>
    </row>
    <row r="16" spans="1:42" s="909" customFormat="1" ht="12.75" customHeight="1">
      <c r="A16" s="912"/>
      <c r="B16" s="2876" t="s">
        <v>600</v>
      </c>
      <c r="C16" s="2876"/>
      <c r="D16" s="919"/>
      <c r="E16" s="2886" t="s">
        <v>1478</v>
      </c>
      <c r="F16" s="2887"/>
      <c r="G16" s="2887"/>
      <c r="H16" s="2887"/>
      <c r="I16" s="2887"/>
      <c r="J16" s="2887"/>
      <c r="K16" s="2887"/>
      <c r="L16" s="2887"/>
      <c r="M16" s="2887"/>
      <c r="N16" s="2887"/>
      <c r="O16" s="2887"/>
      <c r="P16" s="2887"/>
      <c r="Q16" s="2887"/>
      <c r="R16" s="2887"/>
      <c r="S16" s="2887"/>
      <c r="T16" s="2887"/>
      <c r="U16" s="2887"/>
      <c r="V16" s="2887"/>
      <c r="W16" s="2887"/>
      <c r="X16" s="2887"/>
      <c r="Y16" s="2887"/>
      <c r="Z16" s="2887"/>
      <c r="AA16" s="2887"/>
      <c r="AB16" s="2887"/>
      <c r="AC16" s="2887"/>
      <c r="AD16" s="2887"/>
      <c r="AE16" s="2887"/>
      <c r="AF16" s="2887"/>
      <c r="AG16" s="2887"/>
      <c r="AH16" s="2887"/>
      <c r="AI16" s="2887"/>
      <c r="AJ16" s="2888"/>
      <c r="AK16" s="912"/>
      <c r="AL16" s="912"/>
      <c r="AM16" s="912"/>
      <c r="AN16" s="908"/>
      <c r="AO16" s="922">
        <f>IF($B25="yes",20,0)</f>
        <v>0</v>
      </c>
      <c r="AP16" s="51"/>
    </row>
    <row r="17" spans="1:42" s="909" customFormat="1" ht="12.75" customHeight="1">
      <c r="A17" s="912"/>
      <c r="B17" s="912"/>
      <c r="C17" s="912"/>
      <c r="D17" s="923"/>
      <c r="E17" s="2889"/>
      <c r="F17" s="2890"/>
      <c r="G17" s="2890"/>
      <c r="H17" s="2890"/>
      <c r="I17" s="2890"/>
      <c r="J17" s="2890"/>
      <c r="K17" s="2890"/>
      <c r="L17" s="2890"/>
      <c r="M17" s="2890"/>
      <c r="N17" s="2890"/>
      <c r="O17" s="2890"/>
      <c r="P17" s="2890"/>
      <c r="Q17" s="2890"/>
      <c r="R17" s="2890"/>
      <c r="S17" s="2890"/>
      <c r="T17" s="2890"/>
      <c r="U17" s="2890"/>
      <c r="V17" s="2890"/>
      <c r="W17" s="2890"/>
      <c r="X17" s="2890"/>
      <c r="Y17" s="2890"/>
      <c r="Z17" s="2890"/>
      <c r="AA17" s="2890"/>
      <c r="AB17" s="2890"/>
      <c r="AC17" s="2890"/>
      <c r="AD17" s="2890"/>
      <c r="AE17" s="2890"/>
      <c r="AF17" s="2890"/>
      <c r="AG17" s="2890"/>
      <c r="AH17" s="2890"/>
      <c r="AI17" s="2890"/>
      <c r="AJ17" s="2891"/>
      <c r="AK17" s="912"/>
      <c r="AL17" s="912"/>
      <c r="AM17" s="912"/>
      <c r="AN17" s="908"/>
      <c r="AO17" s="909">
        <f>IF(SUM(AO13:AO16)&gt;20,20,(SUM(AO13:AO16)))</f>
        <v>0</v>
      </c>
      <c r="AP17" s="909" t="s">
        <v>1479</v>
      </c>
    </row>
    <row r="18" spans="1:42" s="909" customFormat="1" ht="12.75" customHeight="1">
      <c r="A18" s="912"/>
      <c r="B18" s="912"/>
      <c r="C18" s="912"/>
      <c r="D18" s="923"/>
      <c r="E18" s="2889"/>
      <c r="F18" s="2890"/>
      <c r="G18" s="2890"/>
      <c r="H18" s="2890"/>
      <c r="I18" s="2890"/>
      <c r="J18" s="2890"/>
      <c r="K18" s="2890"/>
      <c r="L18" s="2890"/>
      <c r="M18" s="2890"/>
      <c r="N18" s="2890"/>
      <c r="O18" s="2890"/>
      <c r="P18" s="2890"/>
      <c r="Q18" s="2890"/>
      <c r="R18" s="2890"/>
      <c r="S18" s="2890"/>
      <c r="T18" s="2890"/>
      <c r="U18" s="2890"/>
      <c r="V18" s="2890"/>
      <c r="W18" s="2890"/>
      <c r="X18" s="2890"/>
      <c r="Y18" s="2890"/>
      <c r="Z18" s="2890"/>
      <c r="AA18" s="2890"/>
      <c r="AB18" s="2890"/>
      <c r="AC18" s="2890"/>
      <c r="AD18" s="2890"/>
      <c r="AE18" s="2890"/>
      <c r="AF18" s="2890"/>
      <c r="AG18" s="2890"/>
      <c r="AH18" s="2890"/>
      <c r="AI18" s="2890"/>
      <c r="AJ18" s="2891"/>
      <c r="AK18" s="912"/>
      <c r="AL18" s="912"/>
      <c r="AM18" s="912"/>
      <c r="AN18" s="908"/>
    </row>
    <row r="19" spans="1:42" s="909" customFormat="1" ht="12.75" customHeight="1">
      <c r="A19" s="912"/>
      <c r="B19" s="912"/>
      <c r="C19" s="912"/>
      <c r="D19" s="923"/>
      <c r="E19" s="924" t="s">
        <v>1480</v>
      </c>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6"/>
      <c r="AK19" s="912"/>
      <c r="AL19" s="912"/>
      <c r="AM19" s="912"/>
      <c r="AN19" s="908"/>
    </row>
    <row r="20" spans="1:42" s="909" customFormat="1" ht="12.75" customHeight="1">
      <c r="A20" s="912"/>
      <c r="B20" s="912"/>
      <c r="C20" s="912"/>
      <c r="D20" s="923"/>
      <c r="E20" s="2898"/>
      <c r="F20" s="2899"/>
      <c r="G20" s="2899"/>
      <c r="H20" s="2899"/>
      <c r="I20" s="2899"/>
      <c r="J20" s="2899"/>
      <c r="K20" s="2899"/>
      <c r="L20" s="2899"/>
      <c r="M20" s="2899"/>
      <c r="N20" s="2899"/>
      <c r="O20" s="2899"/>
      <c r="P20" s="2899"/>
      <c r="Q20" s="2899"/>
      <c r="R20" s="2899"/>
      <c r="S20" s="2899"/>
      <c r="T20" s="2899"/>
      <c r="U20" s="2899"/>
      <c r="V20" s="2899"/>
      <c r="W20" s="2899"/>
      <c r="X20" s="2899"/>
      <c r="Y20" s="2899"/>
      <c r="Z20" s="2899"/>
      <c r="AA20" s="2899"/>
      <c r="AB20" s="2899"/>
      <c r="AC20" s="2899"/>
      <c r="AD20" s="2899"/>
      <c r="AE20" s="2899"/>
      <c r="AF20" s="2899"/>
      <c r="AG20" s="2899"/>
      <c r="AH20" s="2899"/>
      <c r="AI20" s="2899"/>
      <c r="AJ20" s="2900"/>
      <c r="AK20" s="912"/>
      <c r="AL20" s="912"/>
      <c r="AM20" s="912"/>
      <c r="AN20" s="908"/>
      <c r="AO20" s="922">
        <f>IF($B30="yes",14,0)</f>
        <v>0</v>
      </c>
    </row>
    <row r="21" spans="1:42" s="909" customFormat="1" ht="12.75" customHeight="1">
      <c r="A21" s="912"/>
      <c r="B21" s="912"/>
      <c r="C21" s="912"/>
      <c r="E21" s="912"/>
      <c r="F21" s="912"/>
      <c r="G21" s="912"/>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08"/>
      <c r="AO21" s="922">
        <f>IF($B33="yes",14,0)</f>
        <v>0</v>
      </c>
      <c r="AP21" s="51"/>
    </row>
    <row r="22" spans="1:42" s="909" customFormat="1" ht="12.75" customHeight="1">
      <c r="A22" s="912"/>
      <c r="B22" s="2876" t="s">
        <v>600</v>
      </c>
      <c r="C22" s="2876"/>
      <c r="D22" s="919"/>
      <c r="E22" s="2892" t="s">
        <v>1481</v>
      </c>
      <c r="F22" s="2893"/>
      <c r="G22" s="2893"/>
      <c r="H22" s="2893"/>
      <c r="I22" s="2893"/>
      <c r="J22" s="2893"/>
      <c r="K22" s="2893"/>
      <c r="L22" s="2893"/>
      <c r="M22" s="2893"/>
      <c r="N22" s="2893"/>
      <c r="O22" s="2893"/>
      <c r="P22" s="2893"/>
      <c r="Q22" s="2893"/>
      <c r="R22" s="2893"/>
      <c r="S22" s="2893"/>
      <c r="T22" s="2893"/>
      <c r="U22" s="2893"/>
      <c r="V22" s="2893"/>
      <c r="W22" s="2893"/>
      <c r="X22" s="2893"/>
      <c r="Y22" s="2893"/>
      <c r="Z22" s="2893"/>
      <c r="AA22" s="2893"/>
      <c r="AB22" s="2893"/>
      <c r="AC22" s="2893"/>
      <c r="AD22" s="2893"/>
      <c r="AE22" s="2893"/>
      <c r="AF22" s="2893"/>
      <c r="AG22" s="2893"/>
      <c r="AH22" s="2893"/>
      <c r="AI22" s="2893"/>
      <c r="AJ22" s="2894"/>
      <c r="AK22" s="912"/>
      <c r="AL22" s="912"/>
      <c r="AM22" s="912"/>
      <c r="AN22" s="908"/>
      <c r="AO22" s="909">
        <f>IF(SUM(AO20:AO21)&gt;14,14,SUM(AO20:AO21))</f>
        <v>0</v>
      </c>
      <c r="AP22" s="909" t="s">
        <v>1479</v>
      </c>
    </row>
    <row r="23" spans="1:42" s="909" customFormat="1" ht="12.75" customHeight="1">
      <c r="A23" s="912"/>
      <c r="B23" s="912"/>
      <c r="C23" s="912"/>
      <c r="D23" s="922"/>
      <c r="E23" s="2895"/>
      <c r="F23" s="2896"/>
      <c r="G23" s="2896"/>
      <c r="H23" s="2896"/>
      <c r="I23" s="2896"/>
      <c r="J23" s="2896"/>
      <c r="K23" s="2896"/>
      <c r="L23" s="2896"/>
      <c r="M23" s="2896"/>
      <c r="N23" s="2896"/>
      <c r="O23" s="2896"/>
      <c r="P23" s="2896"/>
      <c r="Q23" s="2896"/>
      <c r="R23" s="2896"/>
      <c r="S23" s="2896"/>
      <c r="T23" s="2896"/>
      <c r="U23" s="2896"/>
      <c r="V23" s="2896"/>
      <c r="W23" s="2896"/>
      <c r="X23" s="2896"/>
      <c r="Y23" s="2896"/>
      <c r="Z23" s="2896"/>
      <c r="AA23" s="2896"/>
      <c r="AB23" s="2896"/>
      <c r="AC23" s="2896"/>
      <c r="AD23" s="2896"/>
      <c r="AE23" s="2896"/>
      <c r="AF23" s="2896"/>
      <c r="AG23" s="2896"/>
      <c r="AH23" s="2896"/>
      <c r="AI23" s="2896"/>
      <c r="AJ23" s="2897"/>
      <c r="AK23" s="912"/>
      <c r="AL23" s="912"/>
      <c r="AM23" s="912"/>
      <c r="AN23" s="908"/>
    </row>
    <row r="24" spans="1:42" s="909" customFormat="1" ht="12.75" customHeight="1">
      <c r="A24" s="912"/>
      <c r="B24" s="912"/>
      <c r="C24" s="912"/>
      <c r="D24" s="923"/>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2"/>
      <c r="AN24" s="908"/>
      <c r="AO24" s="922">
        <f>IF($B39="yes",6,0)</f>
        <v>0</v>
      </c>
    </row>
    <row r="25" spans="1:42" s="909" customFormat="1" ht="12.75" customHeight="1">
      <c r="A25" s="912"/>
      <c r="B25" s="2876" t="s">
        <v>600</v>
      </c>
      <c r="C25" s="2876"/>
      <c r="D25" s="919"/>
      <c r="E25" s="2797" t="s">
        <v>2421</v>
      </c>
      <c r="F25" s="2798"/>
      <c r="G25" s="2798"/>
      <c r="H25" s="2798"/>
      <c r="I25" s="2798"/>
      <c r="J25" s="2798"/>
      <c r="K25" s="2798"/>
      <c r="L25" s="2798"/>
      <c r="M25" s="2798"/>
      <c r="N25" s="2798"/>
      <c r="O25" s="2798"/>
      <c r="P25" s="2798"/>
      <c r="Q25" s="2798"/>
      <c r="R25" s="2798"/>
      <c r="S25" s="2798"/>
      <c r="T25" s="2798"/>
      <c r="U25" s="2798"/>
      <c r="V25" s="2798"/>
      <c r="W25" s="2798"/>
      <c r="X25" s="2798"/>
      <c r="Y25" s="2798"/>
      <c r="Z25" s="2798"/>
      <c r="AA25" s="2798"/>
      <c r="AB25" s="2798"/>
      <c r="AC25" s="2798"/>
      <c r="AD25" s="2798"/>
      <c r="AE25" s="2798"/>
      <c r="AF25" s="2798"/>
      <c r="AG25" s="2798"/>
      <c r="AH25" s="2798"/>
      <c r="AI25" s="2798"/>
      <c r="AJ25" s="2799"/>
      <c r="AK25" s="912"/>
      <c r="AL25" s="912"/>
      <c r="AM25" s="912"/>
      <c r="AN25" s="908"/>
      <c r="AO25" s="909">
        <f>IF(AO24&gt;6,6,AO24)</f>
        <v>0</v>
      </c>
      <c r="AP25" s="909" t="s">
        <v>1479</v>
      </c>
    </row>
    <row r="26" spans="1:42" s="909" customFormat="1" ht="12.75" customHeight="1">
      <c r="A26" s="912"/>
      <c r="B26" s="912"/>
      <c r="C26" s="912"/>
      <c r="D26" s="922"/>
      <c r="E26" s="2826"/>
      <c r="F26" s="2827"/>
      <c r="G26" s="2827"/>
      <c r="H26" s="2827"/>
      <c r="I26" s="2827"/>
      <c r="J26" s="2827"/>
      <c r="K26" s="2827"/>
      <c r="L26" s="2827"/>
      <c r="M26" s="2827"/>
      <c r="N26" s="2827"/>
      <c r="O26" s="2827"/>
      <c r="P26" s="2827"/>
      <c r="Q26" s="2827"/>
      <c r="R26" s="2827"/>
      <c r="S26" s="2827"/>
      <c r="T26" s="2827"/>
      <c r="U26" s="2827"/>
      <c r="V26" s="2827"/>
      <c r="W26" s="2827"/>
      <c r="X26" s="2827"/>
      <c r="Y26" s="2827"/>
      <c r="Z26" s="2827"/>
      <c r="AA26" s="2827"/>
      <c r="AB26" s="2827"/>
      <c r="AC26" s="2827"/>
      <c r="AD26" s="2827"/>
      <c r="AE26" s="2827"/>
      <c r="AF26" s="2827"/>
      <c r="AG26" s="2827"/>
      <c r="AH26" s="2827"/>
      <c r="AI26" s="2827"/>
      <c r="AJ26" s="2828"/>
      <c r="AK26" s="912"/>
      <c r="AL26" s="912"/>
      <c r="AM26" s="912"/>
      <c r="AN26" s="908"/>
      <c r="AO26" s="922"/>
    </row>
    <row r="27" spans="1:42" s="909" customFormat="1" ht="12.75" customHeight="1">
      <c r="A27" s="912"/>
      <c r="B27" s="912"/>
      <c r="C27" s="912"/>
      <c r="D27" s="92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08"/>
      <c r="AO27" s="922"/>
    </row>
    <row r="28" spans="1:42" s="909" customFormat="1" ht="12.75" customHeight="1">
      <c r="A28" s="912"/>
      <c r="C28" s="916" t="s">
        <v>2392</v>
      </c>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08"/>
      <c r="AO28" s="922">
        <f>IF(AND(B46="Yes",B50="Yes",B52="Yes"),20,0)</f>
        <v>0</v>
      </c>
    </row>
    <row r="29" spans="1:42" s="909" customFormat="1" ht="12.75" customHeight="1">
      <c r="A29" s="912"/>
      <c r="B29" s="912"/>
      <c r="C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08"/>
      <c r="AO29" s="909">
        <f>IF(AO28&gt;20,20,AO28)</f>
        <v>0</v>
      </c>
      <c r="AP29" s="909" t="s">
        <v>1479</v>
      </c>
    </row>
    <row r="30" spans="1:42" s="909" customFormat="1" ht="12.75" customHeight="1">
      <c r="A30" s="912"/>
      <c r="B30" s="2876" t="s">
        <v>600</v>
      </c>
      <c r="C30" s="2876"/>
      <c r="D30" s="919"/>
      <c r="E30" s="2892" t="s">
        <v>2393</v>
      </c>
      <c r="F30" s="2893"/>
      <c r="G30" s="2893"/>
      <c r="H30" s="2893"/>
      <c r="I30" s="2893"/>
      <c r="J30" s="2893"/>
      <c r="K30" s="2893"/>
      <c r="L30" s="2893"/>
      <c r="M30" s="2893"/>
      <c r="N30" s="2893"/>
      <c r="O30" s="2893"/>
      <c r="P30" s="2893"/>
      <c r="Q30" s="2893"/>
      <c r="R30" s="2893"/>
      <c r="S30" s="2893"/>
      <c r="T30" s="2893"/>
      <c r="U30" s="2893"/>
      <c r="V30" s="2893"/>
      <c r="W30" s="2893"/>
      <c r="X30" s="2893"/>
      <c r="Y30" s="2893"/>
      <c r="Z30" s="2893"/>
      <c r="AA30" s="2893"/>
      <c r="AB30" s="2893"/>
      <c r="AC30" s="2893"/>
      <c r="AD30" s="2893"/>
      <c r="AE30" s="2893"/>
      <c r="AF30" s="2893"/>
      <c r="AG30" s="2893"/>
      <c r="AH30" s="2893"/>
      <c r="AI30" s="2893"/>
      <c r="AJ30" s="2894"/>
      <c r="AK30" s="912"/>
      <c r="AL30" s="912"/>
      <c r="AM30" s="912"/>
      <c r="AN30" s="908"/>
      <c r="AO30" s="922"/>
    </row>
    <row r="31" spans="1:42" s="909" customFormat="1" ht="12.75" customHeight="1">
      <c r="A31" s="912"/>
      <c r="B31" s="912"/>
      <c r="C31" s="912"/>
      <c r="E31" s="2895"/>
      <c r="F31" s="2896"/>
      <c r="G31" s="2896"/>
      <c r="H31" s="2896"/>
      <c r="I31" s="2896"/>
      <c r="J31" s="2896"/>
      <c r="K31" s="2896"/>
      <c r="L31" s="2896"/>
      <c r="M31" s="2896"/>
      <c r="N31" s="2896"/>
      <c r="O31" s="2896"/>
      <c r="P31" s="2896"/>
      <c r="Q31" s="2896"/>
      <c r="R31" s="2896"/>
      <c r="S31" s="2896"/>
      <c r="T31" s="2896"/>
      <c r="U31" s="2896"/>
      <c r="V31" s="2896"/>
      <c r="W31" s="2896"/>
      <c r="X31" s="2896"/>
      <c r="Y31" s="2896"/>
      <c r="Z31" s="2896"/>
      <c r="AA31" s="2896"/>
      <c r="AB31" s="2896"/>
      <c r="AC31" s="2896"/>
      <c r="AD31" s="2896"/>
      <c r="AE31" s="2896"/>
      <c r="AF31" s="2896"/>
      <c r="AG31" s="2896"/>
      <c r="AH31" s="2896"/>
      <c r="AI31" s="2896"/>
      <c r="AJ31" s="2897"/>
      <c r="AK31" s="912"/>
      <c r="AL31" s="912"/>
      <c r="AM31" s="912"/>
      <c r="AN31" s="908"/>
    </row>
    <row r="32" spans="1:42" s="909" customFormat="1" ht="12.75" customHeight="1">
      <c r="A32" s="912"/>
      <c r="B32" s="912"/>
      <c r="C32" s="912"/>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c r="AC32" s="1837"/>
      <c r="AD32" s="1837"/>
      <c r="AE32" s="1837"/>
      <c r="AF32" s="1837"/>
      <c r="AG32" s="1837"/>
      <c r="AH32" s="1837"/>
      <c r="AI32" s="1837"/>
      <c r="AJ32" s="1837"/>
      <c r="AK32" s="912"/>
      <c r="AL32" s="912"/>
      <c r="AM32" s="912"/>
      <c r="AN32" s="908"/>
    </row>
    <row r="33" spans="1:41" s="909" customFormat="1" ht="12.75" customHeight="1">
      <c r="A33" s="912"/>
      <c r="B33" s="2876" t="s">
        <v>600</v>
      </c>
      <c r="C33" s="2876"/>
      <c r="D33" s="919"/>
      <c r="E33" s="2797" t="s">
        <v>2394</v>
      </c>
      <c r="F33" s="2798"/>
      <c r="G33" s="2798"/>
      <c r="H33" s="2798"/>
      <c r="I33" s="2798"/>
      <c r="J33" s="2798"/>
      <c r="K33" s="2798"/>
      <c r="L33" s="2798"/>
      <c r="M33" s="2798"/>
      <c r="N33" s="2798"/>
      <c r="O33" s="2798"/>
      <c r="P33" s="2798"/>
      <c r="Q33" s="2798"/>
      <c r="R33" s="2798"/>
      <c r="S33" s="2798"/>
      <c r="T33" s="2798"/>
      <c r="U33" s="2798"/>
      <c r="V33" s="2798"/>
      <c r="W33" s="2798"/>
      <c r="X33" s="2798"/>
      <c r="Y33" s="2798"/>
      <c r="Z33" s="2798"/>
      <c r="AA33" s="2798"/>
      <c r="AB33" s="2798"/>
      <c r="AC33" s="2798"/>
      <c r="AD33" s="2798"/>
      <c r="AE33" s="2798"/>
      <c r="AF33" s="2798"/>
      <c r="AG33" s="2798"/>
      <c r="AH33" s="2798"/>
      <c r="AI33" s="2798"/>
      <c r="AJ33" s="2799"/>
      <c r="AK33" s="912"/>
      <c r="AL33" s="912"/>
      <c r="AM33" s="912"/>
      <c r="AN33" s="908"/>
    </row>
    <row r="34" spans="1:41" s="909" customFormat="1" ht="12.75" customHeight="1">
      <c r="A34" s="912"/>
      <c r="B34" s="912"/>
      <c r="C34" s="912"/>
      <c r="E34" s="2800"/>
      <c r="F34" s="2801"/>
      <c r="G34" s="2801"/>
      <c r="H34" s="2801"/>
      <c r="I34" s="2801"/>
      <c r="J34" s="2801"/>
      <c r="K34" s="2801"/>
      <c r="L34" s="2801"/>
      <c r="M34" s="2801"/>
      <c r="N34" s="2801"/>
      <c r="O34" s="2801"/>
      <c r="P34" s="2801"/>
      <c r="Q34" s="2801"/>
      <c r="R34" s="2801"/>
      <c r="S34" s="2801"/>
      <c r="T34" s="2801"/>
      <c r="U34" s="2801"/>
      <c r="V34" s="2801"/>
      <c r="W34" s="2801"/>
      <c r="X34" s="2801"/>
      <c r="Y34" s="2801"/>
      <c r="Z34" s="2801"/>
      <c r="AA34" s="2801"/>
      <c r="AB34" s="2801"/>
      <c r="AC34" s="2801"/>
      <c r="AD34" s="2801"/>
      <c r="AE34" s="2801"/>
      <c r="AF34" s="2801"/>
      <c r="AG34" s="2801"/>
      <c r="AH34" s="2801"/>
      <c r="AI34" s="2801"/>
      <c r="AJ34" s="2802"/>
      <c r="AK34" s="912"/>
      <c r="AL34" s="912"/>
      <c r="AM34" s="912"/>
      <c r="AN34" s="908"/>
    </row>
    <row r="35" spans="1:41" s="909" customFormat="1" ht="12.75" customHeight="1">
      <c r="A35" s="912"/>
      <c r="B35" s="912"/>
      <c r="C35" s="912"/>
      <c r="E35" s="2826"/>
      <c r="F35" s="2827"/>
      <c r="G35" s="2827"/>
      <c r="H35" s="2827"/>
      <c r="I35" s="2827"/>
      <c r="J35" s="2827"/>
      <c r="K35" s="2827"/>
      <c r="L35" s="2827"/>
      <c r="M35" s="2827"/>
      <c r="N35" s="2827"/>
      <c r="O35" s="2827"/>
      <c r="P35" s="2827"/>
      <c r="Q35" s="2827"/>
      <c r="R35" s="2827"/>
      <c r="S35" s="2827"/>
      <c r="T35" s="2827"/>
      <c r="U35" s="2827"/>
      <c r="V35" s="2827"/>
      <c r="W35" s="2827"/>
      <c r="X35" s="2827"/>
      <c r="Y35" s="2827"/>
      <c r="Z35" s="2827"/>
      <c r="AA35" s="2827"/>
      <c r="AB35" s="2827"/>
      <c r="AC35" s="2827"/>
      <c r="AD35" s="2827"/>
      <c r="AE35" s="2827"/>
      <c r="AF35" s="2827"/>
      <c r="AG35" s="2827"/>
      <c r="AH35" s="2827"/>
      <c r="AI35" s="2827"/>
      <c r="AJ35" s="2828"/>
      <c r="AK35" s="912"/>
      <c r="AL35" s="912"/>
      <c r="AM35" s="912"/>
      <c r="AN35" s="908"/>
    </row>
    <row r="36" spans="1:41" s="909" customFormat="1" ht="12.75" customHeight="1">
      <c r="A36" s="912"/>
      <c r="B36" s="912"/>
      <c r="C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08"/>
      <c r="AO36" s="909">
        <f>MAX(AO17,AO22,AO25,AO29)</f>
        <v>0</v>
      </c>
    </row>
    <row r="37" spans="1:41" s="909" customFormat="1" ht="12.75" customHeight="1">
      <c r="A37" s="912"/>
      <c r="C37" s="916" t="s">
        <v>2396</v>
      </c>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2"/>
      <c r="AL37" s="912"/>
      <c r="AM37" s="912"/>
      <c r="AN37" s="908"/>
    </row>
    <row r="38" spans="1:41" s="909" customFormat="1" ht="12.75" customHeight="1">
      <c r="A38" s="912"/>
      <c r="C38" s="1839"/>
      <c r="D38" s="1839"/>
      <c r="E38" s="1839"/>
      <c r="F38" s="1839"/>
      <c r="G38" s="1839"/>
      <c r="H38" s="1839"/>
      <c r="I38" s="1839"/>
      <c r="J38" s="1839"/>
      <c r="K38" s="1839"/>
      <c r="L38" s="1839"/>
      <c r="M38" s="1839"/>
      <c r="N38" s="1839"/>
      <c r="O38" s="1839"/>
      <c r="P38" s="1839"/>
      <c r="Q38" s="1839"/>
      <c r="R38" s="1839"/>
      <c r="S38" s="1839"/>
      <c r="T38" s="1839"/>
      <c r="U38" s="1839"/>
      <c r="V38" s="1839"/>
      <c r="W38" s="1839"/>
      <c r="X38" s="1839"/>
      <c r="Y38" s="1839"/>
      <c r="Z38" s="1839"/>
      <c r="AA38" s="1839"/>
      <c r="AB38" s="1839"/>
      <c r="AC38" s="1839"/>
      <c r="AD38" s="1839"/>
      <c r="AE38" s="1839"/>
      <c r="AF38" s="1839"/>
      <c r="AG38" s="1839"/>
      <c r="AH38" s="1839"/>
      <c r="AI38" s="1839"/>
      <c r="AJ38" s="1839"/>
      <c r="AK38" s="1839"/>
      <c r="AL38" s="912"/>
      <c r="AM38" s="912"/>
      <c r="AN38" s="908"/>
    </row>
    <row r="39" spans="1:41" s="909" customFormat="1" ht="12.75" customHeight="1">
      <c r="A39" s="912"/>
      <c r="B39" s="2876" t="s">
        <v>600</v>
      </c>
      <c r="C39" s="2876"/>
      <c r="D39" s="1839"/>
      <c r="E39" s="2797" t="s">
        <v>2395</v>
      </c>
      <c r="F39" s="2798"/>
      <c r="G39" s="2798"/>
      <c r="H39" s="2798"/>
      <c r="I39" s="2798"/>
      <c r="J39" s="2798"/>
      <c r="K39" s="2798"/>
      <c r="L39" s="2798"/>
      <c r="M39" s="2798"/>
      <c r="N39" s="2798"/>
      <c r="O39" s="2798"/>
      <c r="P39" s="2798"/>
      <c r="Q39" s="2798"/>
      <c r="R39" s="2798"/>
      <c r="S39" s="2798"/>
      <c r="T39" s="2798"/>
      <c r="U39" s="2798"/>
      <c r="V39" s="2798"/>
      <c r="W39" s="2798"/>
      <c r="X39" s="2798"/>
      <c r="Y39" s="2798"/>
      <c r="Z39" s="2798"/>
      <c r="AA39" s="2798"/>
      <c r="AB39" s="2798"/>
      <c r="AC39" s="2798"/>
      <c r="AD39" s="2798"/>
      <c r="AE39" s="2798"/>
      <c r="AF39" s="2798"/>
      <c r="AG39" s="2798"/>
      <c r="AH39" s="2798"/>
      <c r="AI39" s="2798"/>
      <c r="AJ39" s="2799"/>
      <c r="AK39" s="1839"/>
      <c r="AL39" s="912"/>
      <c r="AM39" s="912"/>
      <c r="AN39" s="908"/>
    </row>
    <row r="40" spans="1:41" s="909" customFormat="1" ht="12.75" customHeight="1">
      <c r="A40" s="912"/>
      <c r="B40" s="912"/>
      <c r="C40" s="912"/>
      <c r="E40" s="2800"/>
      <c r="F40" s="2801"/>
      <c r="G40" s="2801"/>
      <c r="H40" s="2801"/>
      <c r="I40" s="2801"/>
      <c r="J40" s="2801"/>
      <c r="K40" s="2801"/>
      <c r="L40" s="2801"/>
      <c r="M40" s="2801"/>
      <c r="N40" s="2801"/>
      <c r="O40" s="2801"/>
      <c r="P40" s="2801"/>
      <c r="Q40" s="2801"/>
      <c r="R40" s="2801"/>
      <c r="S40" s="2801"/>
      <c r="T40" s="2801"/>
      <c r="U40" s="2801"/>
      <c r="V40" s="2801"/>
      <c r="W40" s="2801"/>
      <c r="X40" s="2801"/>
      <c r="Y40" s="2801"/>
      <c r="Z40" s="2801"/>
      <c r="AA40" s="2801"/>
      <c r="AB40" s="2801"/>
      <c r="AC40" s="2801"/>
      <c r="AD40" s="2801"/>
      <c r="AE40" s="2801"/>
      <c r="AF40" s="2801"/>
      <c r="AG40" s="2801"/>
      <c r="AH40" s="2801"/>
      <c r="AI40" s="2801"/>
      <c r="AJ40" s="2802"/>
      <c r="AK40" s="912"/>
      <c r="AL40" s="912"/>
      <c r="AM40" s="912"/>
      <c r="AN40" s="908"/>
    </row>
    <row r="41" spans="1:41" s="909" customFormat="1" ht="12.75" customHeight="1">
      <c r="A41" s="912"/>
      <c r="D41" s="919"/>
      <c r="E41" s="2826"/>
      <c r="F41" s="2827"/>
      <c r="G41" s="2827"/>
      <c r="H41" s="2827"/>
      <c r="I41" s="2827"/>
      <c r="J41" s="2827"/>
      <c r="K41" s="2827"/>
      <c r="L41" s="2827"/>
      <c r="M41" s="2827"/>
      <c r="N41" s="2827"/>
      <c r="O41" s="2827"/>
      <c r="P41" s="2827"/>
      <c r="Q41" s="2827"/>
      <c r="R41" s="2827"/>
      <c r="S41" s="2827"/>
      <c r="T41" s="2827"/>
      <c r="U41" s="2827"/>
      <c r="V41" s="2827"/>
      <c r="W41" s="2827"/>
      <c r="X41" s="2827"/>
      <c r="Y41" s="2827"/>
      <c r="Z41" s="2827"/>
      <c r="AA41" s="2827"/>
      <c r="AB41" s="2827"/>
      <c r="AC41" s="2827"/>
      <c r="AD41" s="2827"/>
      <c r="AE41" s="2827"/>
      <c r="AF41" s="2827"/>
      <c r="AG41" s="2827"/>
      <c r="AH41" s="2827"/>
      <c r="AI41" s="2827"/>
      <c r="AJ41" s="2828"/>
      <c r="AK41" s="912"/>
      <c r="AL41" s="912"/>
      <c r="AM41" s="912"/>
      <c r="AN41" s="908"/>
      <c r="AO41" s="928"/>
    </row>
    <row r="42" spans="1:41" s="909" customFormat="1" ht="12.75" customHeight="1">
      <c r="A42" s="912"/>
      <c r="B42" s="912"/>
      <c r="C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08"/>
      <c r="AO42" s="928"/>
    </row>
    <row r="43" spans="1:41" s="909" customFormat="1" ht="12.75" customHeight="1">
      <c r="A43" s="911"/>
      <c r="B43" s="911" t="s">
        <v>2398</v>
      </c>
      <c r="C43" s="919"/>
      <c r="D43" s="919"/>
      <c r="E43" s="929"/>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08"/>
      <c r="AO43" s="928"/>
    </row>
    <row r="44" spans="1:41" s="909" customFormat="1" ht="12.75" customHeight="1">
      <c r="A44" s="912"/>
      <c r="B44" s="912"/>
      <c r="C44" s="1838" t="s">
        <v>2399</v>
      </c>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c r="AL44" s="912"/>
      <c r="AM44" s="912"/>
      <c r="AN44" s="908"/>
      <c r="AO44" s="928"/>
    </row>
    <row r="45" spans="1:41" s="909" customFormat="1" ht="12.75" customHeight="1">
      <c r="A45" s="919"/>
      <c r="B45" s="919"/>
      <c r="C45" s="919"/>
      <c r="D45" s="919"/>
      <c r="E45" s="930"/>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2"/>
      <c r="AK45" s="912"/>
      <c r="AL45" s="912"/>
      <c r="AM45" s="912"/>
      <c r="AN45" s="908"/>
      <c r="AO45" s="928"/>
    </row>
    <row r="46" spans="1:41" s="909" customFormat="1" ht="12.75" customHeight="1">
      <c r="A46" s="912"/>
      <c r="B46" s="2876" t="s">
        <v>600</v>
      </c>
      <c r="C46" s="2876"/>
      <c r="D46" s="912"/>
      <c r="E46" s="2797" t="s">
        <v>2400</v>
      </c>
      <c r="F46" s="2798"/>
      <c r="G46" s="2798"/>
      <c r="H46" s="2798"/>
      <c r="I46" s="2798"/>
      <c r="J46" s="2798"/>
      <c r="K46" s="2798"/>
      <c r="L46" s="2798"/>
      <c r="M46" s="2798"/>
      <c r="N46" s="2798"/>
      <c r="O46" s="2798"/>
      <c r="P46" s="2798"/>
      <c r="Q46" s="2798"/>
      <c r="R46" s="2798"/>
      <c r="S46" s="2798"/>
      <c r="T46" s="2798"/>
      <c r="U46" s="2798"/>
      <c r="V46" s="2798"/>
      <c r="W46" s="2798"/>
      <c r="X46" s="2798"/>
      <c r="Y46" s="2798"/>
      <c r="Z46" s="2798"/>
      <c r="AA46" s="2798"/>
      <c r="AB46" s="2798"/>
      <c r="AC46" s="2798"/>
      <c r="AD46" s="2798"/>
      <c r="AE46" s="2798"/>
      <c r="AF46" s="2798"/>
      <c r="AG46" s="2798"/>
      <c r="AH46" s="2798"/>
      <c r="AI46" s="2798"/>
      <c r="AJ46" s="2799"/>
      <c r="AK46" s="912"/>
      <c r="AL46" s="912"/>
      <c r="AM46" s="912"/>
      <c r="AN46" s="908"/>
      <c r="AO46" s="931"/>
    </row>
    <row r="47" spans="1:41" s="909" customFormat="1" ht="12.75" customHeight="1">
      <c r="A47" s="912"/>
      <c r="D47" s="919"/>
      <c r="E47" s="2800"/>
      <c r="F47" s="2801"/>
      <c r="G47" s="2801"/>
      <c r="H47" s="2801"/>
      <c r="I47" s="2801"/>
      <c r="J47" s="2801"/>
      <c r="K47" s="2801"/>
      <c r="L47" s="2801"/>
      <c r="M47" s="2801"/>
      <c r="N47" s="2801"/>
      <c r="O47" s="2801"/>
      <c r="P47" s="2801"/>
      <c r="Q47" s="2801"/>
      <c r="R47" s="2801"/>
      <c r="S47" s="2801"/>
      <c r="T47" s="2801"/>
      <c r="U47" s="2801"/>
      <c r="V47" s="2801"/>
      <c r="W47" s="2801"/>
      <c r="X47" s="2801"/>
      <c r="Y47" s="2801"/>
      <c r="Z47" s="2801"/>
      <c r="AA47" s="2801"/>
      <c r="AB47" s="2801"/>
      <c r="AC47" s="2801"/>
      <c r="AD47" s="2801"/>
      <c r="AE47" s="2801"/>
      <c r="AF47" s="2801"/>
      <c r="AG47" s="2801"/>
      <c r="AH47" s="2801"/>
      <c r="AI47" s="2801"/>
      <c r="AJ47" s="2802"/>
      <c r="AK47" s="912"/>
      <c r="AL47" s="912"/>
      <c r="AM47" s="912"/>
      <c r="AN47" s="908"/>
      <c r="AO47" s="931"/>
    </row>
    <row r="48" spans="1:41" s="909" customFormat="1" ht="12.75" customHeight="1">
      <c r="A48" s="912"/>
      <c r="D48" s="912"/>
      <c r="E48" s="2826"/>
      <c r="F48" s="2827"/>
      <c r="G48" s="2827"/>
      <c r="H48" s="2827"/>
      <c r="I48" s="2827"/>
      <c r="J48" s="2827"/>
      <c r="K48" s="2827"/>
      <c r="L48" s="2827"/>
      <c r="M48" s="2827"/>
      <c r="N48" s="2827"/>
      <c r="O48" s="2827"/>
      <c r="P48" s="2827"/>
      <c r="Q48" s="2827"/>
      <c r="R48" s="2827"/>
      <c r="S48" s="2827"/>
      <c r="T48" s="2827"/>
      <c r="U48" s="2827"/>
      <c r="V48" s="2827"/>
      <c r="W48" s="2827"/>
      <c r="X48" s="2827"/>
      <c r="Y48" s="2827"/>
      <c r="Z48" s="2827"/>
      <c r="AA48" s="2827"/>
      <c r="AB48" s="2827"/>
      <c r="AC48" s="2827"/>
      <c r="AD48" s="2827"/>
      <c r="AE48" s="2827"/>
      <c r="AF48" s="2827"/>
      <c r="AG48" s="2827"/>
      <c r="AH48" s="2827"/>
      <c r="AI48" s="2827"/>
      <c r="AJ48" s="2828"/>
      <c r="AK48" s="912"/>
      <c r="AL48" s="912"/>
      <c r="AM48" s="912"/>
      <c r="AN48" s="908"/>
    </row>
    <row r="49" spans="1:50" s="909" customFormat="1" ht="12.75" customHeight="1">
      <c r="A49" s="912"/>
      <c r="B49" s="912"/>
      <c r="C49" s="912"/>
      <c r="D49" s="919"/>
      <c r="E49" s="930"/>
      <c r="F49" s="928"/>
      <c r="G49" s="928"/>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08"/>
    </row>
    <row r="50" spans="1:50" s="909" customFormat="1" ht="12.75" customHeight="1">
      <c r="A50" s="912"/>
      <c r="B50" s="2876" t="s">
        <v>600</v>
      </c>
      <c r="C50" s="2876"/>
      <c r="D50" s="912"/>
      <c r="E50" s="2909" t="s">
        <v>2401</v>
      </c>
      <c r="F50" s="2910"/>
      <c r="G50" s="2910"/>
      <c r="H50" s="2910"/>
      <c r="I50" s="2910"/>
      <c r="J50" s="2910"/>
      <c r="K50" s="2910"/>
      <c r="L50" s="2910"/>
      <c r="M50" s="2910"/>
      <c r="N50" s="2910"/>
      <c r="O50" s="2910"/>
      <c r="P50" s="2910"/>
      <c r="Q50" s="2910"/>
      <c r="R50" s="2910"/>
      <c r="S50" s="2910"/>
      <c r="T50" s="2910"/>
      <c r="U50" s="2910"/>
      <c r="V50" s="2910"/>
      <c r="W50" s="2910"/>
      <c r="X50" s="2910"/>
      <c r="Y50" s="2910"/>
      <c r="Z50" s="2910"/>
      <c r="AA50" s="2910"/>
      <c r="AB50" s="2910"/>
      <c r="AC50" s="2910"/>
      <c r="AD50" s="2910"/>
      <c r="AE50" s="2910"/>
      <c r="AF50" s="2910"/>
      <c r="AG50" s="2910"/>
      <c r="AH50" s="2910"/>
      <c r="AI50" s="2910"/>
      <c r="AJ50" s="2911"/>
      <c r="AK50" s="912"/>
      <c r="AL50" s="912"/>
      <c r="AM50" s="912"/>
      <c r="AN50" s="908"/>
    </row>
    <row r="51" spans="1:50" s="909" customFormat="1" ht="12.75" customHeight="1">
      <c r="A51" s="912"/>
      <c r="B51" s="912"/>
      <c r="C51" s="912"/>
      <c r="D51" s="919"/>
      <c r="E51" s="932"/>
      <c r="F51" s="928"/>
      <c r="G51" s="928"/>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912"/>
      <c r="AM51" s="912"/>
      <c r="AN51" s="908"/>
    </row>
    <row r="52" spans="1:50" s="909" customFormat="1" ht="12.75" customHeight="1">
      <c r="A52" s="912"/>
      <c r="B52" s="2876" t="s">
        <v>600</v>
      </c>
      <c r="C52" s="2876"/>
      <c r="D52" s="912"/>
      <c r="E52" s="2797" t="s">
        <v>2402</v>
      </c>
      <c r="F52" s="2798"/>
      <c r="G52" s="2798"/>
      <c r="H52" s="2798"/>
      <c r="I52" s="2798"/>
      <c r="J52" s="2798"/>
      <c r="K52" s="2798"/>
      <c r="L52" s="2798"/>
      <c r="M52" s="2798"/>
      <c r="N52" s="2798"/>
      <c r="O52" s="2798"/>
      <c r="P52" s="2798"/>
      <c r="Q52" s="2798"/>
      <c r="R52" s="2798"/>
      <c r="S52" s="2798"/>
      <c r="T52" s="2798"/>
      <c r="U52" s="2798"/>
      <c r="V52" s="2798"/>
      <c r="W52" s="2798"/>
      <c r="X52" s="2798"/>
      <c r="Y52" s="2798"/>
      <c r="Z52" s="2798"/>
      <c r="AA52" s="2798"/>
      <c r="AB52" s="2798"/>
      <c r="AC52" s="2798"/>
      <c r="AD52" s="2798"/>
      <c r="AE52" s="2798"/>
      <c r="AF52" s="2798"/>
      <c r="AG52" s="2798"/>
      <c r="AH52" s="2798"/>
      <c r="AI52" s="2798"/>
      <c r="AJ52" s="2799"/>
      <c r="AK52" s="912"/>
      <c r="AL52" s="912"/>
      <c r="AM52" s="912"/>
      <c r="AN52" s="908"/>
    </row>
    <row r="53" spans="1:50" s="909" customFormat="1" ht="12.75" customHeight="1">
      <c r="A53" s="912"/>
      <c r="B53" s="919"/>
      <c r="C53" s="919"/>
      <c r="D53" s="919"/>
      <c r="E53" s="2826"/>
      <c r="F53" s="2827"/>
      <c r="G53" s="2827"/>
      <c r="H53" s="2827"/>
      <c r="I53" s="2827"/>
      <c r="J53" s="2827"/>
      <c r="K53" s="2827"/>
      <c r="L53" s="2827"/>
      <c r="M53" s="2827"/>
      <c r="N53" s="2827"/>
      <c r="O53" s="2827"/>
      <c r="P53" s="2827"/>
      <c r="Q53" s="2827"/>
      <c r="R53" s="2827"/>
      <c r="S53" s="2827"/>
      <c r="T53" s="2827"/>
      <c r="U53" s="2827"/>
      <c r="V53" s="2827"/>
      <c r="W53" s="2827"/>
      <c r="X53" s="2827"/>
      <c r="Y53" s="2827"/>
      <c r="Z53" s="2827"/>
      <c r="AA53" s="2827"/>
      <c r="AB53" s="2827"/>
      <c r="AC53" s="2827"/>
      <c r="AD53" s="2827"/>
      <c r="AE53" s="2827"/>
      <c r="AF53" s="2827"/>
      <c r="AG53" s="2827"/>
      <c r="AH53" s="2827"/>
      <c r="AI53" s="2827"/>
      <c r="AJ53" s="2828"/>
      <c r="AK53" s="912"/>
      <c r="AL53" s="912"/>
      <c r="AM53" s="912"/>
      <c r="AN53" s="908"/>
      <c r="AX53" s="933"/>
    </row>
    <row r="54" spans="1:50" s="909" customFormat="1" ht="12.75" customHeight="1">
      <c r="A54" s="912"/>
      <c r="B54" s="919"/>
      <c r="C54" s="919"/>
      <c r="D54" s="919"/>
      <c r="E54" s="93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912"/>
      <c r="AF54" s="912"/>
      <c r="AG54" s="912"/>
      <c r="AH54" s="912"/>
      <c r="AI54" s="912"/>
      <c r="AJ54" s="912"/>
      <c r="AK54" s="912"/>
      <c r="AL54" s="912"/>
      <c r="AM54" s="912"/>
      <c r="AN54" s="908"/>
      <c r="AX54" s="933"/>
    </row>
    <row r="55" spans="1:50" s="909" customFormat="1" ht="12.75" customHeight="1">
      <c r="A55" s="912"/>
      <c r="B55" s="912"/>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08"/>
    </row>
    <row r="56" spans="1:50" s="909" customFormat="1" ht="12.75" customHeight="1">
      <c r="A56" s="934"/>
      <c r="B56" s="935"/>
      <c r="C56" s="935"/>
      <c r="D56" s="935"/>
      <c r="E56" s="935"/>
      <c r="F56" s="935"/>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8"/>
      <c r="AJ56" s="938" t="s">
        <v>1482</v>
      </c>
      <c r="AK56" s="2847">
        <f>AO36</f>
        <v>0</v>
      </c>
      <c r="AL56" s="2848"/>
      <c r="AM56" s="2849"/>
      <c r="AN56" s="908"/>
    </row>
    <row r="57" spans="1:50" s="909" customFormat="1" ht="12.75" customHeight="1" thickBot="1">
      <c r="A57" s="939"/>
      <c r="B57" s="940"/>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2"/>
      <c r="AN57" s="908"/>
    </row>
    <row r="58" spans="1:50" s="909" customFormat="1" ht="12.75" customHeight="1" thickTop="1">
      <c r="A58" s="943"/>
      <c r="B58" s="944"/>
      <c r="C58" s="945"/>
      <c r="D58" s="945"/>
      <c r="E58" s="945"/>
      <c r="F58" s="945"/>
      <c r="G58" s="945"/>
      <c r="H58" s="945"/>
      <c r="I58" s="946"/>
      <c r="J58" s="946"/>
      <c r="K58" s="946"/>
      <c r="L58" s="946"/>
      <c r="M58" s="946"/>
      <c r="N58" s="946"/>
      <c r="O58" s="946"/>
      <c r="P58" s="946"/>
      <c r="Q58" s="946"/>
      <c r="R58" s="943"/>
      <c r="S58" s="911"/>
      <c r="T58" s="911"/>
      <c r="U58" s="911"/>
      <c r="V58" s="911"/>
      <c r="W58" s="911"/>
      <c r="X58" s="911"/>
      <c r="Y58" s="911"/>
      <c r="Z58" s="911"/>
      <c r="AA58" s="911"/>
      <c r="AB58" s="911"/>
      <c r="AC58" s="911"/>
      <c r="AD58" s="911"/>
      <c r="AE58" s="911"/>
      <c r="AF58" s="943"/>
      <c r="AG58" s="911"/>
      <c r="AH58" s="911"/>
      <c r="AI58" s="911"/>
      <c r="AJ58" s="911"/>
      <c r="AK58" s="922"/>
      <c r="AL58" s="922"/>
      <c r="AM58" s="922"/>
      <c r="AN58" s="908"/>
    </row>
    <row r="59" spans="1:50" s="909" customFormat="1" ht="12.75" customHeight="1">
      <c r="A59" s="910" t="s">
        <v>1483</v>
      </c>
      <c r="B59" s="911" t="s">
        <v>1484</v>
      </c>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2873" t="s">
        <v>1485</v>
      </c>
      <c r="AF59" s="2873"/>
      <c r="AG59" s="2873"/>
      <c r="AH59" s="2873"/>
      <c r="AI59" s="2873"/>
      <c r="AJ59" s="2873"/>
      <c r="AK59" s="2873"/>
      <c r="AL59" s="912"/>
      <c r="AM59" s="912"/>
      <c r="AN59" s="908"/>
    </row>
    <row r="60" spans="1:50" s="909" customFormat="1" ht="12.75" customHeight="1">
      <c r="A60" s="910"/>
      <c r="B60" s="911" t="s">
        <v>1982</v>
      </c>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5"/>
      <c r="AF60" s="915"/>
      <c r="AG60" s="915"/>
      <c r="AH60" s="915"/>
      <c r="AI60" s="915"/>
      <c r="AJ60" s="915"/>
      <c r="AK60" s="915"/>
      <c r="AL60" s="912"/>
      <c r="AM60" s="912"/>
      <c r="AN60" s="908"/>
    </row>
    <row r="61" spans="1:50" s="909" customFormat="1" ht="12.75" customHeight="1">
      <c r="A61" s="910"/>
      <c r="B61" s="911"/>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5"/>
      <c r="AF61" s="915"/>
      <c r="AG61" s="915"/>
      <c r="AH61" s="915"/>
      <c r="AI61" s="915"/>
      <c r="AJ61" s="915"/>
      <c r="AK61" s="915"/>
      <c r="AL61" s="912"/>
      <c r="AM61" s="912"/>
      <c r="AN61" s="908"/>
    </row>
    <row r="62" spans="1:50" s="909" customFormat="1" ht="12.75" customHeight="1">
      <c r="A62" s="910"/>
      <c r="B62" s="2876" t="s">
        <v>554</v>
      </c>
      <c r="C62" s="2876"/>
      <c r="D62" s="919" t="s">
        <v>1486</v>
      </c>
      <c r="E62" s="2886" t="s">
        <v>2403</v>
      </c>
      <c r="F62" s="2887"/>
      <c r="G62" s="2887"/>
      <c r="H62" s="2887"/>
      <c r="I62" s="2887"/>
      <c r="J62" s="2887"/>
      <c r="K62" s="2887"/>
      <c r="L62" s="2887"/>
      <c r="M62" s="2887"/>
      <c r="N62" s="2887"/>
      <c r="O62" s="2887"/>
      <c r="P62" s="2887"/>
      <c r="Q62" s="2887"/>
      <c r="R62" s="2887"/>
      <c r="S62" s="2887"/>
      <c r="T62" s="2887"/>
      <c r="U62" s="2887"/>
      <c r="V62" s="2887"/>
      <c r="W62" s="2887"/>
      <c r="X62" s="2887"/>
      <c r="Y62" s="2887"/>
      <c r="Z62" s="2887"/>
      <c r="AA62" s="2887"/>
      <c r="AB62" s="2887"/>
      <c r="AC62" s="2887"/>
      <c r="AD62" s="2887"/>
      <c r="AE62" s="2887"/>
      <c r="AF62" s="2887"/>
      <c r="AG62" s="2887"/>
      <c r="AH62" s="2887"/>
      <c r="AI62" s="2887"/>
      <c r="AJ62" s="2888"/>
      <c r="AK62" s="915"/>
      <c r="AL62" s="912"/>
      <c r="AM62" s="912"/>
      <c r="AN62" s="908"/>
      <c r="AO62" s="922">
        <f>IF($B62="yes",10,0)</f>
        <v>10</v>
      </c>
    </row>
    <row r="63" spans="1:50" s="909" customFormat="1" ht="12.75" customHeight="1">
      <c r="A63" s="910"/>
      <c r="B63" s="912"/>
      <c r="C63" s="912"/>
      <c r="D63" s="923"/>
      <c r="E63" s="2889"/>
      <c r="F63" s="2890"/>
      <c r="G63" s="2890"/>
      <c r="H63" s="2890"/>
      <c r="I63" s="2890"/>
      <c r="J63" s="2890"/>
      <c r="K63" s="2890"/>
      <c r="L63" s="2890"/>
      <c r="M63" s="2890"/>
      <c r="N63" s="2890"/>
      <c r="O63" s="2890"/>
      <c r="P63" s="2890"/>
      <c r="Q63" s="2890"/>
      <c r="R63" s="2890"/>
      <c r="S63" s="2890"/>
      <c r="T63" s="2890"/>
      <c r="U63" s="2890"/>
      <c r="V63" s="2890"/>
      <c r="W63" s="2890"/>
      <c r="X63" s="2890"/>
      <c r="Y63" s="2890"/>
      <c r="Z63" s="2890"/>
      <c r="AA63" s="2890"/>
      <c r="AB63" s="2890"/>
      <c r="AC63" s="2890"/>
      <c r="AD63" s="2890"/>
      <c r="AE63" s="2890"/>
      <c r="AF63" s="2890"/>
      <c r="AG63" s="2890"/>
      <c r="AH63" s="2890"/>
      <c r="AI63" s="2890"/>
      <c r="AJ63" s="2891"/>
      <c r="AK63" s="915"/>
      <c r="AL63" s="912"/>
      <c r="AM63" s="912"/>
      <c r="AN63" s="908"/>
      <c r="AO63" s="922">
        <f>IF($B68="yes",10,0)</f>
        <v>10</v>
      </c>
    </row>
    <row r="64" spans="1:50" s="909" customFormat="1" ht="12.75" customHeight="1">
      <c r="A64" s="910"/>
      <c r="B64" s="912"/>
      <c r="C64" s="912"/>
      <c r="D64" s="923"/>
      <c r="E64" s="2889"/>
      <c r="F64" s="2890"/>
      <c r="G64" s="2890"/>
      <c r="H64" s="2890"/>
      <c r="I64" s="2890"/>
      <c r="J64" s="2890"/>
      <c r="K64" s="2890"/>
      <c r="L64" s="2890"/>
      <c r="M64" s="2890"/>
      <c r="N64" s="2890"/>
      <c r="O64" s="2890"/>
      <c r="P64" s="2890"/>
      <c r="Q64" s="2890"/>
      <c r="R64" s="2890"/>
      <c r="S64" s="2890"/>
      <c r="T64" s="2890"/>
      <c r="U64" s="2890"/>
      <c r="V64" s="2890"/>
      <c r="W64" s="2890"/>
      <c r="X64" s="2890"/>
      <c r="Y64" s="2890"/>
      <c r="Z64" s="2890"/>
      <c r="AA64" s="2890"/>
      <c r="AB64" s="2890"/>
      <c r="AC64" s="2890"/>
      <c r="AD64" s="2890"/>
      <c r="AE64" s="2890"/>
      <c r="AF64" s="2890"/>
      <c r="AG64" s="2890"/>
      <c r="AH64" s="2890"/>
      <c r="AI64" s="2890"/>
      <c r="AJ64" s="2891"/>
      <c r="AK64" s="915"/>
      <c r="AL64" s="912"/>
      <c r="AM64" s="912"/>
      <c r="AN64" s="908"/>
      <c r="AO64" s="922">
        <f>IF($B75="yes",10,0)</f>
        <v>0</v>
      </c>
    </row>
    <row r="65" spans="1:42" s="909" customFormat="1" ht="12.75" customHeight="1">
      <c r="A65" s="910"/>
      <c r="B65" s="912"/>
      <c r="C65" s="912"/>
      <c r="D65" s="923"/>
      <c r="E65" s="2889"/>
      <c r="F65" s="2890"/>
      <c r="G65" s="2890"/>
      <c r="H65" s="2890"/>
      <c r="I65" s="2890"/>
      <c r="J65" s="2890"/>
      <c r="K65" s="2890"/>
      <c r="L65" s="2890"/>
      <c r="M65" s="2890"/>
      <c r="N65" s="2890"/>
      <c r="O65" s="2890"/>
      <c r="P65" s="2890"/>
      <c r="Q65" s="2890"/>
      <c r="R65" s="2890"/>
      <c r="S65" s="2890"/>
      <c r="T65" s="2890"/>
      <c r="U65" s="2890"/>
      <c r="V65" s="2890"/>
      <c r="W65" s="2890"/>
      <c r="X65" s="2890"/>
      <c r="Y65" s="2890"/>
      <c r="Z65" s="2890"/>
      <c r="AA65" s="2890"/>
      <c r="AB65" s="2890"/>
      <c r="AC65" s="2890"/>
      <c r="AD65" s="2890"/>
      <c r="AE65" s="2890"/>
      <c r="AF65" s="2890"/>
      <c r="AG65" s="2890"/>
      <c r="AH65" s="2890"/>
      <c r="AI65" s="2890"/>
      <c r="AJ65" s="2891"/>
      <c r="AK65" s="1836"/>
      <c r="AL65" s="912"/>
      <c r="AM65" s="912"/>
      <c r="AN65" s="908"/>
      <c r="AO65" s="909">
        <f>IF(SUM(AO62:AO64)&gt;10,10,(SUM(AO62:AO64)))</f>
        <v>10</v>
      </c>
      <c r="AP65" s="947" t="s">
        <v>1487</v>
      </c>
    </row>
    <row r="66" spans="1:42" s="909" customFormat="1" ht="12.75" customHeight="1">
      <c r="A66" s="910"/>
      <c r="B66" s="912"/>
      <c r="C66" s="912"/>
      <c r="D66" s="923"/>
      <c r="E66" s="2905"/>
      <c r="F66" s="2906"/>
      <c r="G66" s="2906"/>
      <c r="H66" s="2906"/>
      <c r="I66" s="2906"/>
      <c r="J66" s="2906"/>
      <c r="K66" s="2906"/>
      <c r="L66" s="2906"/>
      <c r="M66" s="2906"/>
      <c r="N66" s="2906"/>
      <c r="O66" s="2906"/>
      <c r="P66" s="2906"/>
      <c r="Q66" s="2906"/>
      <c r="R66" s="2906"/>
      <c r="S66" s="2906"/>
      <c r="T66" s="2906"/>
      <c r="U66" s="2906"/>
      <c r="V66" s="2906"/>
      <c r="W66" s="2906"/>
      <c r="X66" s="2906"/>
      <c r="Y66" s="2906"/>
      <c r="Z66" s="2906"/>
      <c r="AA66" s="2906"/>
      <c r="AB66" s="2906"/>
      <c r="AC66" s="2906"/>
      <c r="AD66" s="2906"/>
      <c r="AE66" s="2906"/>
      <c r="AF66" s="2906"/>
      <c r="AG66" s="2906"/>
      <c r="AH66" s="2906"/>
      <c r="AI66" s="2906"/>
      <c r="AJ66" s="2907"/>
      <c r="AK66" s="915"/>
      <c r="AL66" s="912"/>
      <c r="AM66" s="912"/>
      <c r="AN66" s="908"/>
    </row>
    <row r="67" spans="1:42" s="909" customFormat="1" ht="12.75" customHeight="1">
      <c r="A67" s="910"/>
      <c r="B67" s="912"/>
      <c r="C67" s="912"/>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5"/>
      <c r="AL67" s="912"/>
      <c r="AM67" s="912"/>
      <c r="AN67" s="908"/>
    </row>
    <row r="68" spans="1:42" s="909" customFormat="1" ht="12.75" customHeight="1">
      <c r="A68" s="910"/>
      <c r="B68" s="2876" t="s">
        <v>554</v>
      </c>
      <c r="C68" s="2876"/>
      <c r="D68" s="919" t="s">
        <v>1488</v>
      </c>
      <c r="E68" s="1526" t="s">
        <v>1978</v>
      </c>
      <c r="F68" s="1527"/>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8"/>
      <c r="AK68" s="915"/>
      <c r="AL68" s="912"/>
      <c r="AM68" s="912"/>
      <c r="AN68" s="908"/>
    </row>
    <row r="69" spans="1:42" s="909" customFormat="1" ht="12.75" customHeight="1">
      <c r="A69" s="910"/>
      <c r="B69" s="912"/>
      <c r="C69" s="912"/>
      <c r="D69" s="922"/>
      <c r="E69" s="2908" t="s">
        <v>600</v>
      </c>
      <c r="F69" s="2876"/>
      <c r="G69" s="948"/>
      <c r="H69" s="1525" t="s">
        <v>1489</v>
      </c>
      <c r="I69" s="1433"/>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1529"/>
      <c r="AK69" s="915"/>
      <c r="AL69" s="912"/>
      <c r="AM69" s="912"/>
      <c r="AN69" s="908"/>
    </row>
    <row r="70" spans="1:42" s="909" customFormat="1" ht="12.75" customHeight="1">
      <c r="A70" s="910"/>
      <c r="B70" s="912"/>
      <c r="C70" s="912"/>
      <c r="D70" s="922"/>
      <c r="E70" s="2903" t="s">
        <v>600</v>
      </c>
      <c r="F70" s="2904"/>
      <c r="G70" s="948"/>
      <c r="H70" s="1525" t="s">
        <v>1490</v>
      </c>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1529"/>
      <c r="AK70" s="915"/>
      <c r="AL70" s="912"/>
      <c r="AM70" s="912"/>
      <c r="AN70" s="908"/>
    </row>
    <row r="71" spans="1:42" s="909" customFormat="1" ht="12.75" customHeight="1">
      <c r="A71" s="910"/>
      <c r="B71" s="912"/>
      <c r="C71" s="912"/>
      <c r="D71" s="922"/>
      <c r="E71" s="2903" t="s">
        <v>554</v>
      </c>
      <c r="F71" s="2904"/>
      <c r="G71" s="948"/>
      <c r="H71" s="1525" t="s">
        <v>1993</v>
      </c>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1529"/>
      <c r="AK71" s="915"/>
      <c r="AL71" s="912"/>
      <c r="AM71" s="912"/>
      <c r="AN71" s="908"/>
    </row>
    <row r="72" spans="1:42" s="909" customFormat="1" ht="12.75" customHeight="1">
      <c r="A72" s="910"/>
      <c r="B72" s="912"/>
      <c r="C72" s="912"/>
      <c r="D72" s="922"/>
      <c r="E72" s="1077"/>
      <c r="F72" s="948"/>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1529"/>
      <c r="AK72" s="1434"/>
      <c r="AL72" s="912"/>
      <c r="AM72" s="912"/>
      <c r="AN72" s="908"/>
    </row>
    <row r="73" spans="1:42" s="909" customFormat="1" ht="12.75" customHeight="1">
      <c r="A73" s="910"/>
      <c r="B73" s="912"/>
      <c r="C73" s="912"/>
      <c r="D73" s="922"/>
      <c r="E73" s="2908" t="s">
        <v>554</v>
      </c>
      <c r="F73" s="2876"/>
      <c r="G73" s="1431"/>
      <c r="H73" s="1534" t="s">
        <v>1992</v>
      </c>
      <c r="I73" s="1431"/>
      <c r="J73" s="1431"/>
      <c r="K73" s="1431"/>
      <c r="L73" s="1431"/>
      <c r="M73" s="1431"/>
      <c r="N73" s="1431"/>
      <c r="O73" s="1431"/>
      <c r="P73" s="1431"/>
      <c r="Q73" s="1431"/>
      <c r="R73" s="1431"/>
      <c r="S73" s="1431"/>
      <c r="T73" s="1431"/>
      <c r="U73" s="1431"/>
      <c r="V73" s="1431"/>
      <c r="W73" s="1431"/>
      <c r="X73" s="1431"/>
      <c r="Y73" s="1431"/>
      <c r="Z73" s="1431"/>
      <c r="AA73" s="1431"/>
      <c r="AB73" s="1431"/>
      <c r="AC73" s="1431"/>
      <c r="AD73" s="1431"/>
      <c r="AE73" s="1431"/>
      <c r="AF73" s="1431"/>
      <c r="AG73" s="1431"/>
      <c r="AH73" s="1431"/>
      <c r="AI73" s="1431"/>
      <c r="AJ73" s="1432"/>
      <c r="AK73" s="1434"/>
      <c r="AL73" s="912"/>
      <c r="AM73" s="912"/>
      <c r="AN73" s="908"/>
    </row>
    <row r="74" spans="1:42" s="909" customFormat="1" ht="12.75" customHeight="1">
      <c r="A74" s="910"/>
      <c r="B74" s="912"/>
      <c r="C74" s="912"/>
      <c r="D74" s="923"/>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5"/>
      <c r="AL74" s="912"/>
      <c r="AM74" s="912"/>
      <c r="AN74" s="908"/>
    </row>
    <row r="75" spans="1:42" s="909" customFormat="1" ht="12.75" customHeight="1">
      <c r="A75" s="910"/>
      <c r="B75" s="2876" t="s">
        <v>600</v>
      </c>
      <c r="C75" s="2876"/>
      <c r="D75" s="919" t="s">
        <v>1491</v>
      </c>
      <c r="E75" s="2797" t="s">
        <v>1994</v>
      </c>
      <c r="F75" s="2798"/>
      <c r="G75" s="2798"/>
      <c r="H75" s="2798"/>
      <c r="I75" s="2798"/>
      <c r="J75" s="2798"/>
      <c r="K75" s="2798"/>
      <c r="L75" s="2798"/>
      <c r="M75" s="2798"/>
      <c r="N75" s="2798"/>
      <c r="O75" s="2798"/>
      <c r="P75" s="2798"/>
      <c r="Q75" s="2798"/>
      <c r="R75" s="2798"/>
      <c r="S75" s="2798"/>
      <c r="T75" s="2798"/>
      <c r="U75" s="2798"/>
      <c r="V75" s="2798"/>
      <c r="W75" s="2798"/>
      <c r="X75" s="2798"/>
      <c r="Y75" s="2798"/>
      <c r="Z75" s="2798"/>
      <c r="AA75" s="2798"/>
      <c r="AB75" s="2798"/>
      <c r="AC75" s="2798"/>
      <c r="AD75" s="2798"/>
      <c r="AE75" s="2798"/>
      <c r="AF75" s="2798"/>
      <c r="AG75" s="2798"/>
      <c r="AH75" s="2798"/>
      <c r="AI75" s="2798"/>
      <c r="AJ75" s="2799"/>
      <c r="AK75" s="915"/>
      <c r="AL75" s="912"/>
      <c r="AM75" s="912"/>
      <c r="AN75" s="908"/>
    </row>
    <row r="76" spans="1:42" s="909" customFormat="1" ht="12.75" customHeight="1">
      <c r="A76" s="910"/>
      <c r="B76" s="912"/>
      <c r="C76" s="912"/>
      <c r="D76" s="922"/>
      <c r="E76" s="2826"/>
      <c r="F76" s="2827"/>
      <c r="G76" s="2827"/>
      <c r="H76" s="2827"/>
      <c r="I76" s="2827"/>
      <c r="J76" s="2827"/>
      <c r="K76" s="2827"/>
      <c r="L76" s="2827"/>
      <c r="M76" s="2827"/>
      <c r="N76" s="2827"/>
      <c r="O76" s="2827"/>
      <c r="P76" s="2827"/>
      <c r="Q76" s="2827"/>
      <c r="R76" s="2827"/>
      <c r="S76" s="2827"/>
      <c r="T76" s="2827"/>
      <c r="U76" s="2827"/>
      <c r="V76" s="2827"/>
      <c r="W76" s="2827"/>
      <c r="X76" s="2827"/>
      <c r="Y76" s="2827"/>
      <c r="Z76" s="2827"/>
      <c r="AA76" s="2827"/>
      <c r="AB76" s="2827"/>
      <c r="AC76" s="2827"/>
      <c r="AD76" s="2827"/>
      <c r="AE76" s="2827"/>
      <c r="AF76" s="2827"/>
      <c r="AG76" s="2827"/>
      <c r="AH76" s="2827"/>
      <c r="AI76" s="2827"/>
      <c r="AJ76" s="2828"/>
      <c r="AK76" s="915"/>
      <c r="AL76" s="912"/>
      <c r="AM76" s="912"/>
      <c r="AN76" s="908"/>
    </row>
    <row r="77" spans="1:42" s="909" customFormat="1" ht="12.75" customHeight="1">
      <c r="A77" s="910"/>
      <c r="B77" s="912"/>
      <c r="C77" s="912"/>
      <c r="D77" s="92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5"/>
      <c r="AL77" s="912"/>
      <c r="AM77" s="912"/>
      <c r="AN77" s="908"/>
    </row>
    <row r="78" spans="1:42" s="909" customFormat="1" ht="12.75" customHeight="1">
      <c r="A78" s="934"/>
      <c r="B78" s="935"/>
      <c r="C78" s="935"/>
      <c r="D78" s="935"/>
      <c r="E78" s="935"/>
      <c r="F78" s="935"/>
      <c r="G78" s="936"/>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8"/>
      <c r="AJ78" s="938" t="s">
        <v>1492</v>
      </c>
      <c r="AK78" s="2847">
        <f>IF(AK56&gt;0,0,AO65)</f>
        <v>10</v>
      </c>
      <c r="AL78" s="2848"/>
      <c r="AM78" s="2849"/>
      <c r="AN78" s="908"/>
    </row>
    <row r="79" spans="1:42" s="909" customFormat="1" ht="12.75" customHeight="1" thickBot="1">
      <c r="A79" s="939"/>
      <c r="B79" s="940"/>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941"/>
      <c r="AM79" s="942"/>
      <c r="AN79" s="908"/>
    </row>
    <row r="80" spans="1:42" s="909" customFormat="1" ht="12.75" customHeight="1" thickTop="1">
      <c r="A80" s="943"/>
      <c r="B80" s="944"/>
      <c r="C80" s="945"/>
      <c r="D80" s="945"/>
      <c r="E80" s="945"/>
      <c r="F80" s="945"/>
      <c r="G80" s="945"/>
      <c r="H80" s="945"/>
      <c r="I80" s="946"/>
      <c r="J80" s="946"/>
      <c r="K80" s="946"/>
      <c r="L80" s="946"/>
      <c r="M80" s="946"/>
      <c r="N80" s="946"/>
      <c r="O80" s="946"/>
      <c r="P80" s="946"/>
      <c r="Q80" s="946"/>
      <c r="R80" s="943"/>
      <c r="S80" s="911"/>
      <c r="T80" s="911"/>
      <c r="U80" s="911"/>
      <c r="V80" s="911"/>
      <c r="W80" s="911"/>
      <c r="X80" s="911"/>
      <c r="Y80" s="911"/>
      <c r="Z80" s="911"/>
      <c r="AA80" s="911"/>
      <c r="AB80" s="911"/>
      <c r="AC80" s="911"/>
      <c r="AD80" s="911"/>
      <c r="AE80" s="911"/>
      <c r="AF80" s="943"/>
      <c r="AG80" s="911"/>
      <c r="AH80" s="911"/>
      <c r="AI80" s="911"/>
      <c r="AJ80" s="911"/>
      <c r="AK80" s="922"/>
      <c r="AL80" s="922"/>
      <c r="AM80" s="922"/>
      <c r="AN80" s="908"/>
    </row>
    <row r="81" spans="1:43" s="909" customFormat="1" ht="12.75" customHeight="1">
      <c r="A81" s="910" t="s">
        <v>1493</v>
      </c>
      <c r="B81" s="911" t="s">
        <v>1494</v>
      </c>
      <c r="C81" s="911"/>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2873" t="s">
        <v>1476</v>
      </c>
      <c r="AF81" s="2873"/>
      <c r="AG81" s="2873"/>
      <c r="AH81" s="2873"/>
      <c r="AI81" s="2873"/>
      <c r="AJ81" s="2873"/>
      <c r="AK81" s="2873"/>
      <c r="AL81" s="912"/>
      <c r="AM81" s="912"/>
      <c r="AN81" s="908"/>
    </row>
    <row r="82" spans="1:43" s="909" customFormat="1" ht="12.75" customHeight="1">
      <c r="A82" s="910"/>
      <c r="B82" s="911" t="s">
        <v>1495</v>
      </c>
      <c r="C82" s="911"/>
      <c r="D82" s="911"/>
      <c r="E82" s="911"/>
      <c r="F82" s="911"/>
      <c r="G82" s="911"/>
      <c r="H82" s="911"/>
      <c r="I82" s="911"/>
      <c r="J82" s="911"/>
      <c r="K82" s="911"/>
      <c r="L82" s="911"/>
      <c r="M82" s="911"/>
      <c r="N82" s="911"/>
      <c r="O82" s="911"/>
      <c r="P82" s="911"/>
      <c r="Q82" s="911"/>
      <c r="R82" s="911"/>
      <c r="S82" s="911"/>
      <c r="T82" s="911"/>
      <c r="U82" s="911"/>
      <c r="V82" s="911"/>
      <c r="W82" s="911"/>
      <c r="X82" s="911"/>
      <c r="Y82" s="911"/>
      <c r="Z82" s="911"/>
      <c r="AA82" s="911"/>
      <c r="AB82" s="911"/>
      <c r="AC82" s="911"/>
      <c r="AD82" s="911"/>
      <c r="AE82" s="915"/>
      <c r="AF82" s="915"/>
      <c r="AG82" s="915"/>
      <c r="AH82" s="915"/>
      <c r="AI82" s="915"/>
      <c r="AJ82" s="915"/>
      <c r="AK82" s="915"/>
      <c r="AL82" s="912"/>
      <c r="AM82" s="912"/>
      <c r="AN82" s="908"/>
    </row>
    <row r="83" spans="1:43" s="909" customFormat="1" ht="12.75" customHeight="1">
      <c r="A83" s="910"/>
      <c r="B83" s="911"/>
      <c r="C83" s="911"/>
      <c r="D83" s="911"/>
      <c r="E83" s="911"/>
      <c r="F83" s="911"/>
      <c r="G83" s="911"/>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5"/>
      <c r="AF83" s="915"/>
      <c r="AG83" s="915"/>
      <c r="AH83" s="915"/>
      <c r="AI83" s="915"/>
      <c r="AJ83" s="915"/>
      <c r="AK83" s="915"/>
      <c r="AL83" s="912"/>
      <c r="AM83" s="912"/>
      <c r="AN83" s="908"/>
    </row>
    <row r="84" spans="1:43" s="909" customFormat="1" ht="12.75" customHeight="1">
      <c r="A84" s="910"/>
      <c r="B84" s="2876" t="s">
        <v>554</v>
      </c>
      <c r="C84" s="2876"/>
      <c r="D84" s="919" t="s">
        <v>1486</v>
      </c>
      <c r="E84" s="2867" t="s">
        <v>1496</v>
      </c>
      <c r="F84" s="2868"/>
      <c r="G84" s="2868"/>
      <c r="H84" s="2868"/>
      <c r="I84" s="2868"/>
      <c r="J84" s="2868"/>
      <c r="K84" s="2868"/>
      <c r="L84" s="2868"/>
      <c r="M84" s="2868"/>
      <c r="N84" s="2868"/>
      <c r="O84" s="2868"/>
      <c r="P84" s="2868"/>
      <c r="Q84" s="2868"/>
      <c r="R84" s="2868"/>
      <c r="S84" s="2868"/>
      <c r="T84" s="2868"/>
      <c r="U84" s="2868"/>
      <c r="V84" s="2868"/>
      <c r="W84" s="2868"/>
      <c r="X84" s="2868"/>
      <c r="Y84" s="2868"/>
      <c r="Z84" s="2868"/>
      <c r="AA84" s="2868"/>
      <c r="AB84" s="2868"/>
      <c r="AC84" s="2868"/>
      <c r="AD84" s="2868"/>
      <c r="AE84" s="2868"/>
      <c r="AF84" s="2868"/>
      <c r="AG84" s="2868"/>
      <c r="AH84" s="2868"/>
      <c r="AI84" s="2868"/>
      <c r="AJ84" s="2869"/>
      <c r="AK84" s="915"/>
      <c r="AL84" s="912"/>
      <c r="AM84" s="912"/>
      <c r="AN84" s="908"/>
    </row>
    <row r="85" spans="1:43" s="909" customFormat="1" ht="12.75" customHeight="1">
      <c r="A85" s="910"/>
      <c r="B85" s="911"/>
      <c r="C85" s="911"/>
      <c r="D85" s="911"/>
      <c r="E85" s="2870"/>
      <c r="F85" s="2871"/>
      <c r="G85" s="2871"/>
      <c r="H85" s="2871"/>
      <c r="I85" s="2871"/>
      <c r="J85" s="2871"/>
      <c r="K85" s="2871"/>
      <c r="L85" s="2871"/>
      <c r="M85" s="2871"/>
      <c r="N85" s="2871"/>
      <c r="O85" s="2871"/>
      <c r="P85" s="2871"/>
      <c r="Q85" s="2871"/>
      <c r="R85" s="2871"/>
      <c r="S85" s="2871"/>
      <c r="T85" s="2871"/>
      <c r="U85" s="2871"/>
      <c r="V85" s="2871"/>
      <c r="W85" s="2871"/>
      <c r="X85" s="2871"/>
      <c r="Y85" s="2871"/>
      <c r="Z85" s="2871"/>
      <c r="AA85" s="2871"/>
      <c r="AB85" s="2871"/>
      <c r="AC85" s="2871"/>
      <c r="AD85" s="2871"/>
      <c r="AE85" s="2871"/>
      <c r="AF85" s="2871"/>
      <c r="AG85" s="2871"/>
      <c r="AH85" s="2871"/>
      <c r="AI85" s="2871"/>
      <c r="AJ85" s="2872"/>
      <c r="AK85" s="915"/>
      <c r="AL85" s="912"/>
      <c r="AM85" s="912"/>
      <c r="AN85" s="908"/>
    </row>
    <row r="86" spans="1:43" s="909" customFormat="1" ht="12.75" customHeight="1">
      <c r="A86" s="910"/>
      <c r="B86" s="911"/>
      <c r="C86" s="911"/>
      <c r="D86" s="911"/>
      <c r="E86" s="949"/>
      <c r="F86" s="950"/>
      <c r="G86" s="950"/>
      <c r="H86" s="950"/>
      <c r="I86" s="950"/>
      <c r="J86" s="950"/>
      <c r="K86" s="950"/>
      <c r="L86" s="950"/>
      <c r="M86" s="950"/>
      <c r="N86" s="950"/>
      <c r="O86" s="950"/>
      <c r="P86" s="950"/>
      <c r="Q86" s="950"/>
      <c r="R86" s="950"/>
      <c r="S86" s="950"/>
      <c r="T86" s="950"/>
      <c r="U86" s="950"/>
      <c r="V86" s="950"/>
      <c r="W86" s="950"/>
      <c r="X86" s="950"/>
      <c r="Y86" s="950"/>
      <c r="Z86" s="951"/>
      <c r="AA86" s="951"/>
      <c r="AB86" s="951"/>
      <c r="AC86" s="950"/>
      <c r="AD86" s="950"/>
      <c r="AE86" s="950"/>
      <c r="AF86" s="950"/>
      <c r="AG86" s="950"/>
      <c r="AH86" s="950"/>
      <c r="AI86" s="950"/>
      <c r="AJ86" s="952"/>
      <c r="AK86" s="915"/>
      <c r="AL86" s="912"/>
      <c r="AM86" s="912"/>
      <c r="AN86" s="908"/>
    </row>
    <row r="87" spans="1:43" s="909" customFormat="1" ht="12.75" customHeight="1">
      <c r="A87" s="910"/>
      <c r="B87" s="911"/>
      <c r="C87" s="911"/>
      <c r="D87" s="911"/>
      <c r="E87" s="2863">
        <f>Application!AC739</f>
        <v>0.48405797101449277</v>
      </c>
      <c r="F87" s="2864"/>
      <c r="G87" s="2864"/>
      <c r="H87" s="2864"/>
      <c r="I87" s="950"/>
      <c r="J87" s="953" t="s">
        <v>1497</v>
      </c>
      <c r="K87" s="950"/>
      <c r="L87" s="950"/>
      <c r="M87" s="950"/>
      <c r="N87" s="950"/>
      <c r="O87" s="950"/>
      <c r="P87" s="950"/>
      <c r="Q87" s="950"/>
      <c r="R87" s="950"/>
      <c r="S87" s="950"/>
      <c r="T87" s="950"/>
      <c r="U87" s="950"/>
      <c r="V87" s="950"/>
      <c r="W87" s="950"/>
      <c r="X87" s="950"/>
      <c r="Y87" s="950"/>
      <c r="Z87" s="954"/>
      <c r="AA87" s="954"/>
      <c r="AB87" s="954"/>
      <c r="AC87" s="950"/>
      <c r="AD87" s="950"/>
      <c r="AE87" s="950"/>
      <c r="AF87" s="950"/>
      <c r="AG87" s="950"/>
      <c r="AH87" s="950"/>
      <c r="AI87" s="950"/>
      <c r="AJ87" s="952"/>
      <c r="AK87" s="915"/>
      <c r="AL87" s="912"/>
      <c r="AM87" s="912"/>
      <c r="AN87" s="908"/>
    </row>
    <row r="88" spans="1:43" s="909" customFormat="1" ht="12.75" customHeight="1">
      <c r="A88" s="910"/>
      <c r="B88" s="911"/>
      <c r="C88" s="911"/>
      <c r="D88" s="911"/>
      <c r="E88" s="2901">
        <f>0.6-ROUNDUP(E87,2)</f>
        <v>0.10999999999999999</v>
      </c>
      <c r="F88" s="2902"/>
      <c r="G88" s="2902"/>
      <c r="H88" s="2902"/>
      <c r="I88" s="950"/>
      <c r="J88" s="953" t="s">
        <v>1498</v>
      </c>
      <c r="K88" s="950"/>
      <c r="L88" s="950"/>
      <c r="M88" s="950"/>
      <c r="N88" s="950"/>
      <c r="O88" s="950"/>
      <c r="P88" s="950"/>
      <c r="Q88" s="950"/>
      <c r="R88" s="950"/>
      <c r="S88" s="950"/>
      <c r="T88" s="950"/>
      <c r="U88" s="950"/>
      <c r="V88" s="950"/>
      <c r="W88" s="950"/>
      <c r="X88" s="950"/>
      <c r="Y88" s="950"/>
      <c r="Z88" s="950"/>
      <c r="AA88" s="950"/>
      <c r="AB88" s="950"/>
      <c r="AC88" s="950"/>
      <c r="AD88" s="950"/>
      <c r="AE88" s="950"/>
      <c r="AF88" s="950"/>
      <c r="AG88" s="950"/>
      <c r="AH88" s="950"/>
      <c r="AI88" s="950"/>
      <c r="AJ88" s="952"/>
      <c r="AK88" s="915"/>
      <c r="AL88" s="912"/>
      <c r="AM88" s="912"/>
      <c r="AN88" s="908"/>
    </row>
    <row r="89" spans="1:43" s="909" customFormat="1" ht="12.75" customHeight="1">
      <c r="A89" s="910"/>
      <c r="B89" s="911"/>
      <c r="C89" s="911"/>
      <c r="D89" s="911"/>
      <c r="E89" s="2880">
        <f>IF(E88*200&gt;20,20,E88*200)</f>
        <v>20</v>
      </c>
      <c r="F89" s="2881"/>
      <c r="G89" s="2881"/>
      <c r="H89" s="2881"/>
      <c r="I89" s="950"/>
      <c r="J89" s="953" t="s">
        <v>1499</v>
      </c>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2"/>
      <c r="AK89" s="915"/>
      <c r="AL89" s="912"/>
      <c r="AM89" s="912"/>
      <c r="AN89" s="908"/>
      <c r="AP89" s="909">
        <f>IF(B84="yes",E89,0)</f>
        <v>20</v>
      </c>
      <c r="AQ89" s="909" t="s">
        <v>1479</v>
      </c>
    </row>
    <row r="90" spans="1:43" s="909" customFormat="1" ht="12.75" customHeight="1">
      <c r="A90" s="910"/>
      <c r="B90" s="911"/>
      <c r="C90" s="911"/>
      <c r="D90" s="911"/>
      <c r="E90" s="955"/>
      <c r="F90" s="956"/>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7"/>
      <c r="AF90" s="957"/>
      <c r="AG90" s="957"/>
      <c r="AH90" s="957"/>
      <c r="AI90" s="957"/>
      <c r="AJ90" s="958"/>
      <c r="AK90" s="915"/>
      <c r="AL90" s="912"/>
      <c r="AM90" s="912"/>
      <c r="AN90" s="908"/>
    </row>
    <row r="91" spans="1:43" s="909" customFormat="1" ht="12.75" customHeight="1">
      <c r="A91" s="910"/>
      <c r="B91" s="911"/>
      <c r="C91" s="911"/>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5"/>
      <c r="AF91" s="915"/>
      <c r="AG91" s="915"/>
      <c r="AH91" s="915"/>
      <c r="AI91" s="915"/>
      <c r="AJ91" s="915"/>
      <c r="AK91" s="915"/>
      <c r="AL91" s="912"/>
      <c r="AM91" s="912"/>
      <c r="AN91" s="908"/>
    </row>
    <row r="92" spans="1:43" s="909" customFormat="1" ht="12.75" customHeight="1">
      <c r="A92" s="910"/>
      <c r="B92" s="2876" t="s">
        <v>554</v>
      </c>
      <c r="C92" s="2876"/>
      <c r="D92" s="919" t="s">
        <v>1488</v>
      </c>
      <c r="E92" s="2867" t="s">
        <v>1979</v>
      </c>
      <c r="F92" s="2868"/>
      <c r="G92" s="2868"/>
      <c r="H92" s="2868"/>
      <c r="I92" s="2868"/>
      <c r="J92" s="2868"/>
      <c r="K92" s="2868"/>
      <c r="L92" s="2868"/>
      <c r="M92" s="2868"/>
      <c r="N92" s="2868"/>
      <c r="O92" s="2868"/>
      <c r="P92" s="2868"/>
      <c r="Q92" s="2868"/>
      <c r="R92" s="2868"/>
      <c r="S92" s="2868"/>
      <c r="T92" s="2868"/>
      <c r="U92" s="2868"/>
      <c r="V92" s="2868"/>
      <c r="W92" s="2868"/>
      <c r="X92" s="2868"/>
      <c r="Y92" s="2868"/>
      <c r="Z92" s="2868"/>
      <c r="AA92" s="2868"/>
      <c r="AB92" s="2868"/>
      <c r="AC92" s="2868"/>
      <c r="AD92" s="2868"/>
      <c r="AE92" s="2868"/>
      <c r="AF92" s="2868"/>
      <c r="AG92" s="2868"/>
      <c r="AH92" s="2868"/>
      <c r="AI92" s="2868"/>
      <c r="AJ92" s="2869"/>
      <c r="AK92" s="915"/>
      <c r="AL92" s="912"/>
      <c r="AM92" s="912"/>
      <c r="AN92" s="908"/>
    </row>
    <row r="93" spans="1:43" s="909" customFormat="1" ht="12.75" customHeight="1">
      <c r="A93" s="910"/>
      <c r="B93" s="911"/>
      <c r="C93" s="911"/>
      <c r="D93" s="911"/>
      <c r="E93" s="2870"/>
      <c r="F93" s="2871"/>
      <c r="G93" s="2871"/>
      <c r="H93" s="2871"/>
      <c r="I93" s="2871"/>
      <c r="J93" s="2871"/>
      <c r="K93" s="2871"/>
      <c r="L93" s="2871"/>
      <c r="M93" s="2871"/>
      <c r="N93" s="2871"/>
      <c r="O93" s="2871"/>
      <c r="P93" s="2871"/>
      <c r="Q93" s="2871"/>
      <c r="R93" s="2871"/>
      <c r="S93" s="2871"/>
      <c r="T93" s="2871"/>
      <c r="U93" s="2871"/>
      <c r="V93" s="2871"/>
      <c r="W93" s="2871"/>
      <c r="X93" s="2871"/>
      <c r="Y93" s="2871"/>
      <c r="Z93" s="2871"/>
      <c r="AA93" s="2871"/>
      <c r="AB93" s="2871"/>
      <c r="AC93" s="2871"/>
      <c r="AD93" s="2871"/>
      <c r="AE93" s="2871"/>
      <c r="AF93" s="2871"/>
      <c r="AG93" s="2871"/>
      <c r="AH93" s="2871"/>
      <c r="AI93" s="2871"/>
      <c r="AJ93" s="2872"/>
      <c r="AK93" s="915"/>
      <c r="AL93" s="912"/>
      <c r="AM93" s="912"/>
      <c r="AN93" s="908"/>
    </row>
    <row r="94" spans="1:43" s="909" customFormat="1" ht="12.75" customHeight="1">
      <c r="A94" s="910"/>
      <c r="B94" s="911"/>
      <c r="C94" s="911"/>
      <c r="D94" s="911"/>
      <c r="E94" s="2870"/>
      <c r="F94" s="2871"/>
      <c r="G94" s="2871"/>
      <c r="H94" s="2871"/>
      <c r="I94" s="2871"/>
      <c r="J94" s="2871"/>
      <c r="K94" s="2871"/>
      <c r="L94" s="2871"/>
      <c r="M94" s="2871"/>
      <c r="N94" s="2871"/>
      <c r="O94" s="2871"/>
      <c r="P94" s="2871"/>
      <c r="Q94" s="2871"/>
      <c r="R94" s="2871"/>
      <c r="S94" s="2871"/>
      <c r="T94" s="2871"/>
      <c r="U94" s="2871"/>
      <c r="V94" s="2871"/>
      <c r="W94" s="2871"/>
      <c r="X94" s="2871"/>
      <c r="Y94" s="2871"/>
      <c r="Z94" s="2871"/>
      <c r="AA94" s="2871"/>
      <c r="AB94" s="2871"/>
      <c r="AC94" s="2871"/>
      <c r="AD94" s="2871"/>
      <c r="AE94" s="2871"/>
      <c r="AF94" s="2871"/>
      <c r="AG94" s="2871"/>
      <c r="AH94" s="2871"/>
      <c r="AI94" s="2871"/>
      <c r="AJ94" s="2872"/>
      <c r="AK94" s="915"/>
      <c r="AL94" s="912"/>
      <c r="AM94" s="912"/>
      <c r="AN94" s="908"/>
    </row>
    <row r="95" spans="1:43" s="909" customFormat="1" ht="12.75" customHeight="1">
      <c r="A95" s="910"/>
      <c r="B95" s="911"/>
      <c r="C95" s="911"/>
      <c r="D95" s="911"/>
      <c r="E95" s="2870"/>
      <c r="F95" s="2871"/>
      <c r="G95" s="2871"/>
      <c r="H95" s="2871"/>
      <c r="I95" s="2871"/>
      <c r="J95" s="2871"/>
      <c r="K95" s="2871"/>
      <c r="L95" s="2871"/>
      <c r="M95" s="2871"/>
      <c r="N95" s="2871"/>
      <c r="O95" s="2871"/>
      <c r="P95" s="2871"/>
      <c r="Q95" s="2871"/>
      <c r="R95" s="2871"/>
      <c r="S95" s="2871"/>
      <c r="T95" s="2871"/>
      <c r="U95" s="2871"/>
      <c r="V95" s="2871"/>
      <c r="W95" s="2871"/>
      <c r="X95" s="2871"/>
      <c r="Y95" s="2871"/>
      <c r="Z95" s="2871"/>
      <c r="AA95" s="2871"/>
      <c r="AB95" s="2871"/>
      <c r="AC95" s="2871"/>
      <c r="AD95" s="2871"/>
      <c r="AE95" s="2871"/>
      <c r="AF95" s="2871"/>
      <c r="AG95" s="2871"/>
      <c r="AH95" s="2871"/>
      <c r="AI95" s="2871"/>
      <c r="AJ95" s="2872"/>
      <c r="AK95" s="915"/>
      <c r="AL95" s="912"/>
      <c r="AM95" s="912"/>
      <c r="AN95" s="908"/>
    </row>
    <row r="96" spans="1:43" s="909" customFormat="1" ht="12.75" customHeight="1">
      <c r="A96" s="910"/>
      <c r="B96" s="911"/>
      <c r="C96" s="911"/>
      <c r="D96" s="911"/>
      <c r="E96" s="959"/>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6"/>
      <c r="AK96" s="915"/>
      <c r="AL96" s="912"/>
      <c r="AM96" s="912"/>
      <c r="AN96" s="908"/>
    </row>
    <row r="97" spans="1:49" s="909" customFormat="1" ht="12.75" customHeight="1">
      <c r="A97" s="910"/>
      <c r="B97" s="911"/>
      <c r="C97" s="911"/>
      <c r="D97" s="911"/>
      <c r="E97" s="2863">
        <f>Application!AC739</f>
        <v>0.48405797101449277</v>
      </c>
      <c r="F97" s="2864"/>
      <c r="G97" s="2864"/>
      <c r="H97" s="2864"/>
      <c r="I97" s="950"/>
      <c r="J97" s="1368" t="s">
        <v>1497</v>
      </c>
      <c r="K97" s="1361"/>
      <c r="L97" s="1361"/>
      <c r="M97" s="1361"/>
      <c r="N97" s="1361"/>
      <c r="O97" s="1361"/>
      <c r="P97" s="1361"/>
      <c r="Q97" s="1361"/>
      <c r="R97" s="1370"/>
      <c r="S97" s="1370"/>
      <c r="T97" s="1370"/>
      <c r="U97" s="1370"/>
      <c r="V97" s="1370"/>
      <c r="W97" s="1370"/>
      <c r="X97" s="925"/>
      <c r="Y97" s="925"/>
      <c r="Z97" s="925"/>
      <c r="AA97" s="925"/>
      <c r="AB97" s="925"/>
      <c r="AC97" s="925"/>
      <c r="AD97" s="925"/>
      <c r="AE97" s="925"/>
      <c r="AF97" s="925"/>
      <c r="AG97" s="925"/>
      <c r="AH97" s="925"/>
      <c r="AI97" s="925"/>
      <c r="AJ97" s="926"/>
      <c r="AK97" s="915"/>
      <c r="AL97" s="912"/>
      <c r="AM97" s="912"/>
      <c r="AN97" s="908"/>
    </row>
    <row r="98" spans="1:49" s="909" customFormat="1" ht="12.75" customHeight="1">
      <c r="A98" s="910"/>
      <c r="B98" s="911"/>
      <c r="C98" s="911"/>
      <c r="D98" s="911"/>
      <c r="E98" s="2863">
        <f ca="1">SUMIF(Application!AC714:AG738,0.2,Application!G714:J738)/Application!G739+SUMIF(Application!AC714:AG738,0.25,Application!G714:J738)/Application!G739+SUMIF(Application!AC714:AG738,0.3,Application!G714:J738)/Application!G739</f>
        <v>0.46376811594202899</v>
      </c>
      <c r="F98" s="2864"/>
      <c r="G98" s="2864"/>
      <c r="H98" s="2864"/>
      <c r="I98" s="950"/>
      <c r="J98" s="953" t="s">
        <v>1500</v>
      </c>
      <c r="K98" s="950"/>
      <c r="L98" s="950"/>
      <c r="M98" s="950"/>
      <c r="N98" s="950"/>
      <c r="O98" s="950"/>
      <c r="P98" s="950"/>
      <c r="Q98" s="950"/>
      <c r="R98" s="925"/>
      <c r="S98" s="925"/>
      <c r="T98" s="925"/>
      <c r="U98" s="925"/>
      <c r="V98" s="925"/>
      <c r="W98" s="925"/>
      <c r="X98" s="925"/>
      <c r="Y98" s="925"/>
      <c r="Z98" s="925"/>
      <c r="AA98" s="925"/>
      <c r="AB98" s="925"/>
      <c r="AC98" s="925"/>
      <c r="AD98" s="925"/>
      <c r="AE98" s="925"/>
      <c r="AF98" s="925"/>
      <c r="AG98" s="925"/>
      <c r="AH98" s="925"/>
      <c r="AI98" s="925"/>
      <c r="AJ98" s="926"/>
      <c r="AK98" s="915"/>
      <c r="AL98" s="912"/>
      <c r="AM98" s="912"/>
      <c r="AN98" s="908"/>
      <c r="AU98" s="1359"/>
    </row>
    <row r="99" spans="1:49" s="909" customFormat="1" ht="12.75" customHeight="1">
      <c r="A99" s="910"/>
      <c r="B99" s="911"/>
      <c r="C99" s="911"/>
      <c r="D99" s="911"/>
      <c r="E99" s="2863">
        <f ca="1">SUMIF(Application!AC714:AG738,0.35,Application!G714:J738)/Application!G739+SUMIF(Application!AC714:AG738,0.4,Application!G714:J738)/Application!G739+SUMIF(Application!AC714:AG738,0.45,Application!G714:J738)/Application!G739+SUMIF(Application!AC714:AG738,0.5,Application!G714:J738)/Application!G739</f>
        <v>4.3478260869565216E-2</v>
      </c>
      <c r="F99" s="2864"/>
      <c r="G99" s="2864"/>
      <c r="H99" s="2864"/>
      <c r="I99" s="950"/>
      <c r="J99" s="953" t="s">
        <v>1501</v>
      </c>
      <c r="K99" s="950"/>
      <c r="L99" s="950"/>
      <c r="M99" s="950"/>
      <c r="N99" s="950"/>
      <c r="O99" s="950"/>
      <c r="P99" s="950"/>
      <c r="Q99" s="950"/>
      <c r="R99" s="925"/>
      <c r="S99" s="925"/>
      <c r="T99" s="925"/>
      <c r="U99" s="925"/>
      <c r="V99" s="925"/>
      <c r="W99" s="925"/>
      <c r="X99" s="925"/>
      <c r="Y99" s="925"/>
      <c r="Z99" s="925"/>
      <c r="AA99" s="925"/>
      <c r="AB99" s="925"/>
      <c r="AC99" s="925"/>
      <c r="AD99" s="925"/>
      <c r="AE99" s="925"/>
      <c r="AF99" s="925"/>
      <c r="AG99" s="925"/>
      <c r="AH99" s="925"/>
      <c r="AI99" s="925"/>
      <c r="AJ99" s="926"/>
      <c r="AK99" s="915"/>
      <c r="AL99" s="912"/>
      <c r="AM99" s="912"/>
      <c r="AN99" s="908"/>
      <c r="AU99" s="1359"/>
    </row>
    <row r="100" spans="1:49" s="909" customFormat="1" ht="12.75" customHeight="1">
      <c r="A100" s="910"/>
      <c r="B100" s="911"/>
      <c r="C100" s="911"/>
      <c r="D100" s="911"/>
      <c r="E100" s="2861">
        <f ca="1">IF(AND(E97&lt;=0.6,E98&gt;=0.1,OR(E99&gt;=0.1,E98&gt;=0.2)),20,0)</f>
        <v>20</v>
      </c>
      <c r="F100" s="2862"/>
      <c r="G100" s="2862"/>
      <c r="H100" s="2862"/>
      <c r="I100" s="925"/>
      <c r="J100" s="960" t="s">
        <v>1499</v>
      </c>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6"/>
      <c r="AK100" s="915"/>
      <c r="AL100" s="912"/>
      <c r="AM100" s="912"/>
      <c r="AN100" s="908"/>
      <c r="AP100" s="909">
        <f ca="1">IF(B92="yes",E100,0)</f>
        <v>20</v>
      </c>
      <c r="AQ100" s="909" t="s">
        <v>1479</v>
      </c>
    </row>
    <row r="101" spans="1:49" s="909" customFormat="1" ht="12.75" customHeight="1">
      <c r="A101" s="910"/>
      <c r="B101" s="911"/>
      <c r="C101" s="911"/>
      <c r="D101" s="911"/>
      <c r="E101" s="955"/>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7"/>
      <c r="AF101" s="957"/>
      <c r="AG101" s="957"/>
      <c r="AH101" s="957"/>
      <c r="AI101" s="957"/>
      <c r="AJ101" s="958"/>
      <c r="AK101" s="915"/>
      <c r="AL101" s="912"/>
      <c r="AM101" s="912"/>
      <c r="AN101" s="908"/>
    </row>
    <row r="102" spans="1:49" s="909" customFormat="1" ht="12.75" customHeight="1">
      <c r="A102" s="910"/>
      <c r="B102" s="911"/>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5"/>
      <c r="AF102" s="915"/>
      <c r="AG102" s="915"/>
      <c r="AH102" s="915"/>
      <c r="AI102" s="915"/>
      <c r="AJ102" s="915"/>
      <c r="AK102" s="915"/>
      <c r="AL102" s="912"/>
      <c r="AM102" s="912"/>
      <c r="AN102" s="908"/>
    </row>
    <row r="103" spans="1:49" s="909" customFormat="1" ht="12.75" customHeight="1">
      <c r="A103" s="934"/>
      <c r="B103" s="935"/>
      <c r="C103" s="935"/>
      <c r="D103" s="935"/>
      <c r="E103" s="935"/>
      <c r="F103" s="935"/>
      <c r="G103" s="936"/>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8"/>
      <c r="AJ103" s="938" t="s">
        <v>1502</v>
      </c>
      <c r="AK103" s="2847">
        <f ca="1">MAX(AP89,AP100)</f>
        <v>20</v>
      </c>
      <c r="AL103" s="2848"/>
      <c r="AM103" s="2849"/>
      <c r="AN103" s="908"/>
    </row>
    <row r="104" spans="1:49" s="909" customFormat="1" ht="12.75" customHeight="1" thickBot="1">
      <c r="A104" s="939"/>
      <c r="B104" s="940"/>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c r="AB104" s="941"/>
      <c r="AC104" s="941"/>
      <c r="AD104" s="941"/>
      <c r="AE104" s="941"/>
      <c r="AF104" s="941"/>
      <c r="AG104" s="941"/>
      <c r="AH104" s="941"/>
      <c r="AI104" s="941"/>
      <c r="AJ104" s="941"/>
      <c r="AK104" s="941"/>
      <c r="AL104" s="941"/>
      <c r="AM104" s="942"/>
      <c r="AN104" s="908"/>
    </row>
    <row r="105" spans="1:49" s="909" customFormat="1" ht="12.75" customHeight="1" thickTop="1">
      <c r="A105" s="943"/>
      <c r="B105" s="944"/>
      <c r="C105" s="945"/>
      <c r="D105" s="945"/>
      <c r="E105" s="945"/>
      <c r="F105" s="945"/>
      <c r="G105" s="945"/>
      <c r="H105" s="945"/>
      <c r="I105" s="946"/>
      <c r="J105" s="946"/>
      <c r="K105" s="946"/>
      <c r="L105" s="946"/>
      <c r="M105" s="946"/>
      <c r="N105" s="946"/>
      <c r="O105" s="946"/>
      <c r="P105" s="946"/>
      <c r="Q105" s="946"/>
      <c r="R105" s="943"/>
      <c r="S105" s="911"/>
      <c r="T105" s="911"/>
      <c r="U105" s="911"/>
      <c r="V105" s="911"/>
      <c r="W105" s="911"/>
      <c r="X105" s="911"/>
      <c r="Y105" s="911"/>
      <c r="Z105" s="911"/>
      <c r="AA105" s="911"/>
      <c r="AB105" s="911"/>
      <c r="AC105" s="911"/>
      <c r="AD105" s="911"/>
      <c r="AE105" s="911"/>
      <c r="AF105" s="943"/>
      <c r="AG105" s="911"/>
      <c r="AH105" s="911"/>
      <c r="AI105" s="911"/>
      <c r="AJ105" s="911"/>
      <c r="AK105" s="922"/>
      <c r="AL105" s="922"/>
      <c r="AM105" s="922"/>
      <c r="AN105" s="908"/>
    </row>
    <row r="106" spans="1:49" s="909" customFormat="1" ht="12.75" customHeight="1">
      <c r="A106" s="910" t="s">
        <v>1503</v>
      </c>
      <c r="B106" s="911" t="s">
        <v>1504</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2873" t="s">
        <v>1485</v>
      </c>
      <c r="AF106" s="2873"/>
      <c r="AG106" s="2873"/>
      <c r="AH106" s="2873"/>
      <c r="AI106" s="2873"/>
      <c r="AJ106" s="2873"/>
      <c r="AK106" s="2873"/>
      <c r="AL106" s="912"/>
      <c r="AM106" s="912"/>
      <c r="AN106" s="908"/>
      <c r="AO106" s="909" t="str">
        <f>Application!B714</f>
        <v>1 Bedroom</v>
      </c>
      <c r="AQ106" s="909">
        <f>Application!O714</f>
        <v>271</v>
      </c>
    </row>
    <row r="107" spans="1:49" s="909" customFormat="1" ht="12.75" customHeight="1">
      <c r="A107" s="912"/>
      <c r="B107" s="911" t="s">
        <v>1495</v>
      </c>
      <c r="C107" s="911"/>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1616"/>
      <c r="AF107" s="1616"/>
      <c r="AG107" s="1616"/>
      <c r="AH107" s="1616"/>
      <c r="AI107" s="1616"/>
      <c r="AJ107" s="1616"/>
      <c r="AK107" s="912"/>
      <c r="AL107" s="912"/>
      <c r="AM107" s="912"/>
      <c r="AN107" s="908"/>
      <c r="AO107" s="909" t="str">
        <f>Application!B715</f>
        <v>1 Bedroom</v>
      </c>
      <c r="AQ107" s="909">
        <f>Application!O715</f>
        <v>436</v>
      </c>
    </row>
    <row r="108" spans="1:49" s="909" customFormat="1" ht="12.75" customHeight="1">
      <c r="A108" s="912"/>
      <c r="B108" s="911"/>
      <c r="C108" s="911"/>
      <c r="D108" s="911"/>
      <c r="E108" s="1361"/>
      <c r="F108" s="1361"/>
      <c r="G108" s="1361"/>
      <c r="H108" s="1361"/>
      <c r="I108" s="1361"/>
      <c r="J108" s="1361"/>
      <c r="K108" s="1361"/>
      <c r="L108" s="1361"/>
      <c r="M108" s="1361"/>
      <c r="N108" s="1361"/>
      <c r="O108" s="1361"/>
      <c r="P108" s="1361"/>
      <c r="Q108" s="1361"/>
      <c r="R108" s="1361"/>
      <c r="S108" s="1361"/>
      <c r="T108" s="1361"/>
      <c r="U108" s="1361"/>
      <c r="V108" s="1361"/>
      <c r="W108" s="1361"/>
      <c r="X108" s="1361"/>
      <c r="Y108" s="1361"/>
      <c r="Z108" s="1361"/>
      <c r="AA108" s="1361"/>
      <c r="AB108" s="1361"/>
      <c r="AC108" s="1361"/>
      <c r="AD108" s="1361"/>
      <c r="AE108" s="1361"/>
      <c r="AF108" s="1361"/>
      <c r="AG108" s="1361"/>
      <c r="AH108" s="1361"/>
      <c r="AI108" s="1361"/>
      <c r="AJ108" s="1361"/>
      <c r="AK108" s="912"/>
      <c r="AL108" s="912"/>
      <c r="AM108" s="912"/>
      <c r="AN108" s="908"/>
      <c r="AO108" s="909" t="str">
        <f>Application!B716</f>
        <v>1 Bedroom</v>
      </c>
      <c r="AQ108" s="909">
        <f>Application!O716</f>
        <v>766</v>
      </c>
    </row>
    <row r="109" spans="1:49" s="909" customFormat="1" ht="12.75" customHeight="1">
      <c r="A109" s="912"/>
      <c r="B109" s="2876" t="s">
        <v>554</v>
      </c>
      <c r="C109" s="2876"/>
      <c r="D109" s="919" t="s">
        <v>1486</v>
      </c>
      <c r="E109" s="2867" t="s">
        <v>2114</v>
      </c>
      <c r="F109" s="2868"/>
      <c r="G109" s="2868"/>
      <c r="H109" s="2868"/>
      <c r="I109" s="2868"/>
      <c r="J109" s="2868"/>
      <c r="K109" s="2868"/>
      <c r="L109" s="2868"/>
      <c r="M109" s="2868"/>
      <c r="N109" s="2868"/>
      <c r="O109" s="2868"/>
      <c r="P109" s="2868"/>
      <c r="Q109" s="2868"/>
      <c r="R109" s="2868"/>
      <c r="S109" s="2868"/>
      <c r="T109" s="2868"/>
      <c r="U109" s="2868"/>
      <c r="V109" s="2868"/>
      <c r="W109" s="2868"/>
      <c r="X109" s="2868"/>
      <c r="Y109" s="2868"/>
      <c r="Z109" s="2868"/>
      <c r="AA109" s="2868"/>
      <c r="AB109" s="2868"/>
      <c r="AC109" s="2868"/>
      <c r="AD109" s="2868"/>
      <c r="AE109" s="2868"/>
      <c r="AF109" s="2868"/>
      <c r="AG109" s="2868"/>
      <c r="AH109" s="2868"/>
      <c r="AI109" s="2868"/>
      <c r="AJ109" s="2869"/>
      <c r="AK109" s="912"/>
      <c r="AL109" s="912"/>
      <c r="AM109" s="912"/>
      <c r="AN109" s="908"/>
      <c r="AO109" s="909" t="str">
        <f>Application!B717</f>
        <v>1 Bedroom</v>
      </c>
      <c r="AQ109" s="909">
        <f>Application!O717</f>
        <v>931</v>
      </c>
      <c r="AU109" s="909" t="s">
        <v>2096</v>
      </c>
      <c r="AV109" s="1598" t="s">
        <v>2097</v>
      </c>
      <c r="AW109" s="909" t="s">
        <v>2098</v>
      </c>
    </row>
    <row r="110" spans="1:49" s="909" customFormat="1" ht="12.75" customHeight="1">
      <c r="A110" s="912"/>
      <c r="B110" s="911"/>
      <c r="C110" s="911"/>
      <c r="D110" s="911"/>
      <c r="E110" s="2870"/>
      <c r="F110" s="2871"/>
      <c r="G110" s="2871"/>
      <c r="H110" s="2871"/>
      <c r="I110" s="2871"/>
      <c r="J110" s="2871"/>
      <c r="K110" s="2871"/>
      <c r="L110" s="2871"/>
      <c r="M110" s="2871"/>
      <c r="N110" s="2871"/>
      <c r="O110" s="2871"/>
      <c r="P110" s="2871"/>
      <c r="Q110" s="2871"/>
      <c r="R110" s="2871"/>
      <c r="S110" s="2871"/>
      <c r="T110" s="2871"/>
      <c r="U110" s="2871"/>
      <c r="V110" s="2871"/>
      <c r="W110" s="2871"/>
      <c r="X110" s="2871"/>
      <c r="Y110" s="2871"/>
      <c r="Z110" s="2871"/>
      <c r="AA110" s="2871"/>
      <c r="AB110" s="2871"/>
      <c r="AC110" s="2871"/>
      <c r="AD110" s="2871"/>
      <c r="AE110" s="2871"/>
      <c r="AF110" s="2871"/>
      <c r="AG110" s="2871"/>
      <c r="AH110" s="2871"/>
      <c r="AI110" s="2871"/>
      <c r="AJ110" s="2872"/>
      <c r="AK110" s="912"/>
      <c r="AL110" s="912"/>
      <c r="AM110" s="912"/>
      <c r="AN110" s="908"/>
      <c r="AO110" s="909" t="str">
        <f>Application!B718</f>
        <v>1 Bedroom</v>
      </c>
      <c r="AQ110" s="909">
        <f>Application!O718</f>
        <v>1261</v>
      </c>
      <c r="AU110" s="1601" t="str">
        <f>E118</f>
        <v>Studio/SRO</v>
      </c>
      <c r="AV110" s="909">
        <f t="array" ref="AV110">SUM(IF(Application!B714:F738="SRO/Studio",Application!G714:J738))</f>
        <v>0</v>
      </c>
      <c r="AW110" s="1636">
        <f>AV110/AV116</f>
        <v>0</v>
      </c>
    </row>
    <row r="111" spans="1:49" s="909" customFormat="1" ht="12.75" customHeight="1">
      <c r="A111" s="912"/>
      <c r="B111" s="911"/>
      <c r="C111" s="911"/>
      <c r="D111" s="911"/>
      <c r="E111" s="2870"/>
      <c r="F111" s="2871"/>
      <c r="G111" s="2871"/>
      <c r="H111" s="2871"/>
      <c r="I111" s="2871"/>
      <c r="J111" s="2871"/>
      <c r="K111" s="2871"/>
      <c r="L111" s="2871"/>
      <c r="M111" s="2871"/>
      <c r="N111" s="2871"/>
      <c r="O111" s="2871"/>
      <c r="P111" s="2871"/>
      <c r="Q111" s="2871"/>
      <c r="R111" s="2871"/>
      <c r="S111" s="2871"/>
      <c r="T111" s="2871"/>
      <c r="U111" s="2871"/>
      <c r="V111" s="2871"/>
      <c r="W111" s="2871"/>
      <c r="X111" s="2871"/>
      <c r="Y111" s="2871"/>
      <c r="Z111" s="2871"/>
      <c r="AA111" s="2871"/>
      <c r="AB111" s="2871"/>
      <c r="AC111" s="2871"/>
      <c r="AD111" s="2871"/>
      <c r="AE111" s="2871"/>
      <c r="AF111" s="2871"/>
      <c r="AG111" s="2871"/>
      <c r="AH111" s="2871"/>
      <c r="AI111" s="2871"/>
      <c r="AJ111" s="2872"/>
      <c r="AK111" s="912"/>
      <c r="AL111" s="912"/>
      <c r="AM111" s="912"/>
      <c r="AN111" s="908"/>
      <c r="AO111" s="909">
        <f>Application!B719</f>
        <v>0</v>
      </c>
      <c r="AQ111" s="909">
        <f>Application!O719</f>
        <v>0</v>
      </c>
      <c r="AU111" s="1601" t="str">
        <f>J118</f>
        <v>1-bedroom</v>
      </c>
      <c r="AV111" s="909">
        <f t="array" ref="AV111">SUM(IF(Application!B714:F738="1 Bedroom",Application!G714:J738))</f>
        <v>69</v>
      </c>
      <c r="AW111" s="1636">
        <f>AV111/AV116</f>
        <v>1</v>
      </c>
    </row>
    <row r="112" spans="1:49" s="909" customFormat="1" ht="12.75" customHeight="1">
      <c r="A112" s="912"/>
      <c r="B112" s="911"/>
      <c r="C112" s="911"/>
      <c r="D112" s="911"/>
      <c r="E112" s="2870"/>
      <c r="F112" s="2871"/>
      <c r="G112" s="2871"/>
      <c r="H112" s="2871"/>
      <c r="I112" s="2871"/>
      <c r="J112" s="2871"/>
      <c r="K112" s="2871"/>
      <c r="L112" s="2871"/>
      <c r="M112" s="2871"/>
      <c r="N112" s="2871"/>
      <c r="O112" s="2871"/>
      <c r="P112" s="2871"/>
      <c r="Q112" s="2871"/>
      <c r="R112" s="2871"/>
      <c r="S112" s="2871"/>
      <c r="T112" s="2871"/>
      <c r="U112" s="2871"/>
      <c r="V112" s="2871"/>
      <c r="W112" s="2871"/>
      <c r="X112" s="2871"/>
      <c r="Y112" s="2871"/>
      <c r="Z112" s="2871"/>
      <c r="AA112" s="2871"/>
      <c r="AB112" s="2871"/>
      <c r="AC112" s="2871"/>
      <c r="AD112" s="2871"/>
      <c r="AE112" s="2871"/>
      <c r="AF112" s="2871"/>
      <c r="AG112" s="2871"/>
      <c r="AH112" s="2871"/>
      <c r="AI112" s="2871"/>
      <c r="AJ112" s="2872"/>
      <c r="AK112" s="912"/>
      <c r="AL112" s="912"/>
      <c r="AM112" s="912"/>
      <c r="AN112" s="908"/>
      <c r="AO112" s="909">
        <f>Application!B720</f>
        <v>0</v>
      </c>
      <c r="AQ112" s="909">
        <f>Application!O720</f>
        <v>0</v>
      </c>
      <c r="AU112" s="1601" t="str">
        <f>O118</f>
        <v>2-bedroom</v>
      </c>
      <c r="AV112" s="909">
        <f t="array" ref="AV112">SUM(IF(Application!B714:F738="2 Bedrooms",Application!G714:J738))</f>
        <v>0</v>
      </c>
      <c r="AW112" s="1636">
        <f>AV112/AV116</f>
        <v>0</v>
      </c>
    </row>
    <row r="113" spans="1:52" s="909" customFormat="1" ht="12.75" customHeight="1">
      <c r="A113" s="912"/>
      <c r="B113" s="911"/>
      <c r="C113" s="911"/>
      <c r="D113" s="911"/>
      <c r="E113" s="2870"/>
      <c r="F113" s="2871"/>
      <c r="G113" s="2871"/>
      <c r="H113" s="2871"/>
      <c r="I113" s="2871"/>
      <c r="J113" s="2871"/>
      <c r="K113" s="2871"/>
      <c r="L113" s="2871"/>
      <c r="M113" s="2871"/>
      <c r="N113" s="2871"/>
      <c r="O113" s="2871"/>
      <c r="P113" s="2871"/>
      <c r="Q113" s="2871"/>
      <c r="R113" s="2871"/>
      <c r="S113" s="2871"/>
      <c r="T113" s="2871"/>
      <c r="U113" s="2871"/>
      <c r="V113" s="2871"/>
      <c r="W113" s="2871"/>
      <c r="X113" s="2871"/>
      <c r="Y113" s="2871"/>
      <c r="Z113" s="2871"/>
      <c r="AA113" s="2871"/>
      <c r="AB113" s="2871"/>
      <c r="AC113" s="2871"/>
      <c r="AD113" s="2871"/>
      <c r="AE113" s="2871"/>
      <c r="AF113" s="2871"/>
      <c r="AG113" s="2871"/>
      <c r="AH113" s="2871"/>
      <c r="AI113" s="2871"/>
      <c r="AJ113" s="2872"/>
      <c r="AK113" s="912"/>
      <c r="AL113" s="912"/>
      <c r="AM113" s="912"/>
      <c r="AN113" s="908"/>
      <c r="AO113" s="909">
        <f>Application!B721</f>
        <v>0</v>
      </c>
      <c r="AQ113" s="909">
        <f>Application!O721</f>
        <v>0</v>
      </c>
      <c r="AU113" s="1601" t="str">
        <f>T118</f>
        <v>3-bedroom</v>
      </c>
      <c r="AV113" s="909">
        <f t="array" ref="AV113">SUM(IF(Application!B714:F738="3 Bedrooms",Application!G714:J738))</f>
        <v>0</v>
      </c>
      <c r="AW113" s="1636">
        <f>AV113/AV116</f>
        <v>0</v>
      </c>
    </row>
    <row r="114" spans="1:52" s="909" customFormat="1" ht="12.75" customHeight="1">
      <c r="A114" s="912"/>
      <c r="B114" s="911"/>
      <c r="C114" s="911"/>
      <c r="D114" s="911"/>
      <c r="E114" s="2870"/>
      <c r="F114" s="2871"/>
      <c r="G114" s="2871"/>
      <c r="H114" s="2871"/>
      <c r="I114" s="2871"/>
      <c r="J114" s="2871"/>
      <c r="K114" s="2871"/>
      <c r="L114" s="2871"/>
      <c r="M114" s="2871"/>
      <c r="N114" s="2871"/>
      <c r="O114" s="2871"/>
      <c r="P114" s="2871"/>
      <c r="Q114" s="2871"/>
      <c r="R114" s="2871"/>
      <c r="S114" s="2871"/>
      <c r="T114" s="2871"/>
      <c r="U114" s="2871"/>
      <c r="V114" s="2871"/>
      <c r="W114" s="2871"/>
      <c r="X114" s="2871"/>
      <c r="Y114" s="2871"/>
      <c r="Z114" s="2871"/>
      <c r="AA114" s="2871"/>
      <c r="AB114" s="2871"/>
      <c r="AC114" s="2871"/>
      <c r="AD114" s="2871"/>
      <c r="AE114" s="2871"/>
      <c r="AF114" s="2871"/>
      <c r="AG114" s="2871"/>
      <c r="AH114" s="2871"/>
      <c r="AI114" s="2871"/>
      <c r="AJ114" s="2872"/>
      <c r="AK114" s="912"/>
      <c r="AL114" s="912"/>
      <c r="AM114" s="912"/>
      <c r="AN114" s="908"/>
      <c r="AO114" s="909">
        <f>Application!B722</f>
        <v>0</v>
      </c>
      <c r="AQ114" s="909">
        <f>Application!O722</f>
        <v>0</v>
      </c>
      <c r="AU114" s="1601" t="str">
        <f>Y118</f>
        <v>4-bedroom</v>
      </c>
      <c r="AV114" s="909">
        <f t="array" ref="AV114">SUM(IF(Application!B714:F738="4 Bedrooms",Application!G714:J738))</f>
        <v>0</v>
      </c>
      <c r="AW114" s="1636">
        <f>AV114/AV116</f>
        <v>0</v>
      </c>
    </row>
    <row r="115" spans="1:52" s="909" customFormat="1" ht="12.75" customHeight="1">
      <c r="A115" s="912"/>
      <c r="B115" s="911"/>
      <c r="C115" s="911"/>
      <c r="D115" s="911"/>
      <c r="E115" s="2870"/>
      <c r="F115" s="2871"/>
      <c r="G115" s="2871"/>
      <c r="H115" s="2871"/>
      <c r="I115" s="2871"/>
      <c r="J115" s="2871"/>
      <c r="K115" s="2871"/>
      <c r="L115" s="2871"/>
      <c r="M115" s="2871"/>
      <c r="N115" s="2871"/>
      <c r="O115" s="2871"/>
      <c r="P115" s="2871"/>
      <c r="Q115" s="2871"/>
      <c r="R115" s="2871"/>
      <c r="S115" s="2871"/>
      <c r="T115" s="2871"/>
      <c r="U115" s="2871"/>
      <c r="V115" s="2871"/>
      <c r="W115" s="2871"/>
      <c r="X115" s="2871"/>
      <c r="Y115" s="2871"/>
      <c r="Z115" s="2871"/>
      <c r="AA115" s="2871"/>
      <c r="AB115" s="2871"/>
      <c r="AC115" s="2871"/>
      <c r="AD115" s="2871"/>
      <c r="AE115" s="2871"/>
      <c r="AF115" s="2871"/>
      <c r="AG115" s="2871"/>
      <c r="AH115" s="2871"/>
      <c r="AI115" s="2871"/>
      <c r="AJ115" s="2872"/>
      <c r="AK115" s="912"/>
      <c r="AL115" s="912"/>
      <c r="AM115" s="912"/>
      <c r="AN115" s="908"/>
      <c r="AO115" s="909">
        <f>Application!B723</f>
        <v>0</v>
      </c>
      <c r="AQ115" s="909">
        <f>Application!O723</f>
        <v>0</v>
      </c>
      <c r="AU115" s="1601" t="str">
        <f>AD118</f>
        <v>5-bedroom</v>
      </c>
      <c r="AV115" s="909">
        <f t="array" ref="AV115">SUM(IF(Application!B714:F738="5 Bedrooms",Application!G714:J738))</f>
        <v>0</v>
      </c>
      <c r="AW115" s="1636">
        <f>AV115/AV116</f>
        <v>0</v>
      </c>
    </row>
    <row r="116" spans="1:52" s="909" customFormat="1" ht="12.75" customHeight="1">
      <c r="A116" s="912"/>
      <c r="B116" s="911"/>
      <c r="C116" s="911"/>
      <c r="D116" s="911"/>
      <c r="E116" s="2870"/>
      <c r="F116" s="2871"/>
      <c r="G116" s="2871"/>
      <c r="H116" s="2871"/>
      <c r="I116" s="2871"/>
      <c r="J116" s="2871"/>
      <c r="K116" s="2871"/>
      <c r="L116" s="2871"/>
      <c r="M116" s="2871"/>
      <c r="N116" s="2871"/>
      <c r="O116" s="2871"/>
      <c r="P116" s="2871"/>
      <c r="Q116" s="2871"/>
      <c r="R116" s="2871"/>
      <c r="S116" s="2871"/>
      <c r="T116" s="2871"/>
      <c r="U116" s="2871"/>
      <c r="V116" s="2871"/>
      <c r="W116" s="2871"/>
      <c r="X116" s="2871"/>
      <c r="Y116" s="2871"/>
      <c r="Z116" s="2871"/>
      <c r="AA116" s="2871"/>
      <c r="AB116" s="2871"/>
      <c r="AC116" s="2871"/>
      <c r="AD116" s="2871"/>
      <c r="AE116" s="2871"/>
      <c r="AF116" s="2871"/>
      <c r="AG116" s="2871"/>
      <c r="AH116" s="2871"/>
      <c r="AI116" s="2871"/>
      <c r="AJ116" s="2872"/>
      <c r="AK116" s="912"/>
      <c r="AL116" s="912"/>
      <c r="AM116" s="912"/>
      <c r="AN116" s="908"/>
      <c r="AO116" s="909">
        <f>Application!B724</f>
        <v>0</v>
      </c>
      <c r="AQ116" s="909">
        <f>Application!O724</f>
        <v>0</v>
      </c>
      <c r="AV116" s="909">
        <f>SUM(AV110:AV115)</f>
        <v>69</v>
      </c>
      <c r="AW116" s="1636">
        <f>SUM(AW110:AW115)</f>
        <v>1</v>
      </c>
    </row>
    <row r="117" spans="1:52" s="909" customFormat="1" ht="12.75" customHeight="1">
      <c r="A117" s="912"/>
      <c r="B117" s="911"/>
      <c r="C117" s="911"/>
      <c r="D117" s="911"/>
      <c r="E117" s="959"/>
      <c r="F117" s="925"/>
      <c r="G117" s="925"/>
      <c r="H117" s="925"/>
      <c r="I117" s="925"/>
      <c r="J117" s="925"/>
      <c r="K117" s="925"/>
      <c r="L117" s="925"/>
      <c r="M117" s="925"/>
      <c r="N117" s="925"/>
      <c r="O117" s="925"/>
      <c r="P117" s="925"/>
      <c r="Q117" s="925"/>
      <c r="R117" s="925"/>
      <c r="S117" s="925"/>
      <c r="T117" s="925"/>
      <c r="U117" s="925"/>
      <c r="V117" s="925"/>
      <c r="W117" s="925"/>
      <c r="X117" s="925"/>
      <c r="Y117" s="925"/>
      <c r="Z117" s="925"/>
      <c r="AA117" s="925"/>
      <c r="AB117" s="925"/>
      <c r="AC117" s="925"/>
      <c r="AD117" s="925"/>
      <c r="AE117" s="925"/>
      <c r="AF117" s="925"/>
      <c r="AG117" s="925"/>
      <c r="AH117" s="925"/>
      <c r="AI117" s="925"/>
      <c r="AJ117" s="926"/>
      <c r="AK117" s="912"/>
      <c r="AL117" s="912"/>
      <c r="AM117" s="912"/>
      <c r="AN117" s="908"/>
      <c r="AO117" s="909">
        <f>Application!B725</f>
        <v>0</v>
      </c>
      <c r="AQ117" s="909">
        <f>Application!O725</f>
        <v>0</v>
      </c>
    </row>
    <row r="118" spans="1:52" s="909" customFormat="1" ht="12.75" customHeight="1">
      <c r="A118" s="912"/>
      <c r="B118" s="911"/>
      <c r="C118" s="912"/>
      <c r="D118" s="912"/>
      <c r="E118" s="2863" t="s">
        <v>1764</v>
      </c>
      <c r="F118" s="2864"/>
      <c r="G118" s="2864"/>
      <c r="H118" s="2864"/>
      <c r="I118" s="1361"/>
      <c r="J118" s="2864" t="s">
        <v>1809</v>
      </c>
      <c r="K118" s="2864"/>
      <c r="L118" s="2864"/>
      <c r="M118" s="2864"/>
      <c r="N118" s="1361"/>
      <c r="O118" s="2864" t="s">
        <v>1810</v>
      </c>
      <c r="P118" s="2864"/>
      <c r="Q118" s="2864"/>
      <c r="R118" s="2864"/>
      <c r="S118" s="1361"/>
      <c r="T118" s="2864" t="s">
        <v>1505</v>
      </c>
      <c r="U118" s="2864"/>
      <c r="V118" s="2864"/>
      <c r="W118" s="2864"/>
      <c r="X118" s="1361"/>
      <c r="Y118" s="2864" t="s">
        <v>1811</v>
      </c>
      <c r="Z118" s="2864"/>
      <c r="AA118" s="2864"/>
      <c r="AB118" s="2864"/>
      <c r="AC118" s="1361"/>
      <c r="AD118" s="2864" t="s">
        <v>1812</v>
      </c>
      <c r="AE118" s="2864"/>
      <c r="AF118" s="2864"/>
      <c r="AG118" s="2864"/>
      <c r="AH118" s="950"/>
      <c r="AI118" s="950"/>
      <c r="AJ118" s="952"/>
      <c r="AK118" s="912"/>
      <c r="AL118" s="912"/>
      <c r="AM118" s="912"/>
      <c r="AN118" s="908"/>
      <c r="AO118" s="909">
        <f>Application!B726</f>
        <v>0</v>
      </c>
      <c r="AQ118" s="909">
        <f>Application!O726</f>
        <v>0</v>
      </c>
    </row>
    <row r="119" spans="1:52" s="909" customFormat="1" ht="12.75" customHeight="1">
      <c r="A119" s="912"/>
      <c r="B119" s="933"/>
      <c r="C119" s="912"/>
      <c r="D119" s="912"/>
      <c r="E119" s="1364"/>
      <c r="F119" s="1360"/>
      <c r="G119" s="1360"/>
      <c r="H119" s="1360"/>
      <c r="I119" s="1361"/>
      <c r="J119" s="1360"/>
      <c r="K119" s="1360"/>
      <c r="L119" s="1360"/>
      <c r="M119" s="1360"/>
      <c r="N119" s="1361"/>
      <c r="O119" s="1360"/>
      <c r="P119" s="1360"/>
      <c r="Q119" s="1360"/>
      <c r="R119" s="1360"/>
      <c r="S119" s="1361"/>
      <c r="T119" s="1360"/>
      <c r="U119" s="1360"/>
      <c r="V119" s="1360"/>
      <c r="W119" s="1360"/>
      <c r="X119" s="1361"/>
      <c r="Y119" s="1360"/>
      <c r="Z119" s="1360"/>
      <c r="AA119" s="1360"/>
      <c r="AB119" s="1360"/>
      <c r="AC119" s="1361"/>
      <c r="AD119" s="1360"/>
      <c r="AE119" s="1360"/>
      <c r="AF119" s="1360"/>
      <c r="AG119" s="1360"/>
      <c r="AH119" s="1361"/>
      <c r="AI119" s="1361"/>
      <c r="AJ119" s="1362"/>
      <c r="AK119" s="912"/>
      <c r="AL119" s="912"/>
      <c r="AM119" s="912"/>
      <c r="AN119" s="908"/>
      <c r="AO119" s="909">
        <f>Application!B727</f>
        <v>0</v>
      </c>
      <c r="AQ119" s="909">
        <f>Application!O727</f>
        <v>0</v>
      </c>
    </row>
    <row r="120" spans="1:52" s="909" customFormat="1" ht="12.75" customHeight="1">
      <c r="A120" s="912"/>
      <c r="B120" s="933"/>
      <c r="C120" s="912"/>
      <c r="D120" s="912"/>
      <c r="E120" s="1365" t="s">
        <v>1813</v>
      </c>
      <c r="F120" s="1360"/>
      <c r="G120" s="1360"/>
      <c r="H120" s="1360"/>
      <c r="I120" s="1361"/>
      <c r="J120" s="1360"/>
      <c r="K120" s="1360"/>
      <c r="L120" s="1360"/>
      <c r="M120" s="1360"/>
      <c r="N120" s="1361"/>
      <c r="O120" s="1360"/>
      <c r="P120" s="1360"/>
      <c r="Q120" s="1360"/>
      <c r="R120" s="1360"/>
      <c r="S120" s="1361"/>
      <c r="T120" s="1360"/>
      <c r="U120" s="1360"/>
      <c r="V120" s="1360"/>
      <c r="W120" s="1360"/>
      <c r="X120" s="1361"/>
      <c r="Y120" s="1360"/>
      <c r="Z120" s="1360"/>
      <c r="AA120" s="1360"/>
      <c r="AB120" s="1360"/>
      <c r="AC120" s="1361"/>
      <c r="AD120" s="1360"/>
      <c r="AE120" s="1360"/>
      <c r="AF120" s="1360"/>
      <c r="AG120" s="1360"/>
      <c r="AH120" s="1361"/>
      <c r="AI120" s="1361"/>
      <c r="AJ120" s="1362"/>
      <c r="AK120" s="912"/>
      <c r="AL120" s="912"/>
      <c r="AM120" s="912"/>
      <c r="AN120" s="908"/>
      <c r="AO120" s="909">
        <f>Application!B728</f>
        <v>0</v>
      </c>
      <c r="AQ120" s="909">
        <f>Application!O728</f>
        <v>0</v>
      </c>
    </row>
    <row r="121" spans="1:52" s="909" customFormat="1" ht="12.75" customHeight="1">
      <c r="A121" s="912"/>
      <c r="B121" s="933"/>
      <c r="C121" s="912"/>
      <c r="D121" s="912"/>
      <c r="E121" s="2865"/>
      <c r="F121" s="2866"/>
      <c r="G121" s="2866"/>
      <c r="H121" s="2866"/>
      <c r="I121" s="1363"/>
      <c r="J121" s="2866">
        <v>1782</v>
      </c>
      <c r="K121" s="2866"/>
      <c r="L121" s="2866"/>
      <c r="M121" s="2866"/>
      <c r="N121" s="1363"/>
      <c r="O121" s="2866"/>
      <c r="P121" s="2866"/>
      <c r="Q121" s="2866"/>
      <c r="R121" s="2866"/>
      <c r="S121" s="1363"/>
      <c r="T121" s="2866"/>
      <c r="U121" s="2866"/>
      <c r="V121" s="2866"/>
      <c r="W121" s="2866"/>
      <c r="X121" s="1363"/>
      <c r="Y121" s="2866"/>
      <c r="Z121" s="2866"/>
      <c r="AA121" s="2866"/>
      <c r="AB121" s="2866"/>
      <c r="AC121" s="1363"/>
      <c r="AD121" s="2866"/>
      <c r="AE121" s="2866"/>
      <c r="AF121" s="2866"/>
      <c r="AG121" s="2866"/>
      <c r="AH121" s="1361"/>
      <c r="AI121" s="1361"/>
      <c r="AJ121" s="1362"/>
      <c r="AK121" s="912"/>
      <c r="AL121" s="912"/>
      <c r="AM121" s="912"/>
      <c r="AN121" s="908"/>
      <c r="AO121" s="909">
        <f>Application!B729</f>
        <v>0</v>
      </c>
      <c r="AQ121" s="909">
        <f>Application!O729</f>
        <v>0</v>
      </c>
    </row>
    <row r="122" spans="1:52" s="909" customFormat="1" ht="12.75" customHeight="1">
      <c r="A122" s="912"/>
      <c r="B122" s="933"/>
      <c r="C122" s="912"/>
      <c r="D122" s="912"/>
      <c r="E122" s="1364"/>
      <c r="F122" s="1360"/>
      <c r="G122" s="1360"/>
      <c r="H122" s="1360"/>
      <c r="I122" s="1361"/>
      <c r="J122" s="1360"/>
      <c r="K122" s="1360"/>
      <c r="L122" s="1360"/>
      <c r="M122" s="1360"/>
      <c r="N122" s="1361"/>
      <c r="O122" s="1360"/>
      <c r="P122" s="1360"/>
      <c r="Q122" s="1360"/>
      <c r="R122" s="1360"/>
      <c r="S122" s="1361"/>
      <c r="T122" s="1360"/>
      <c r="U122" s="1360"/>
      <c r="V122" s="1360"/>
      <c r="W122" s="1360"/>
      <c r="X122" s="1361"/>
      <c r="Y122" s="1360"/>
      <c r="Z122" s="1360"/>
      <c r="AA122" s="1360"/>
      <c r="AB122" s="1360"/>
      <c r="AC122" s="1361"/>
      <c r="AD122" s="1360"/>
      <c r="AE122" s="1360"/>
      <c r="AF122" s="1360"/>
      <c r="AG122" s="1360"/>
      <c r="AH122" s="1361"/>
      <c r="AI122" s="1361"/>
      <c r="AJ122" s="1362"/>
      <c r="AK122" s="912"/>
      <c r="AL122" s="912"/>
      <c r="AM122" s="912"/>
      <c r="AN122" s="908"/>
      <c r="AO122" s="909">
        <f>Application!B730</f>
        <v>0</v>
      </c>
      <c r="AQ122" s="909">
        <f>Application!O730</f>
        <v>0</v>
      </c>
      <c r="AU122" s="1634"/>
      <c r="AV122" s="1634"/>
      <c r="AW122" s="1634"/>
      <c r="AX122" s="1634"/>
      <c r="AY122" s="1634"/>
      <c r="AZ122" s="1634"/>
    </row>
    <row r="123" spans="1:52" s="909" customFormat="1" ht="12.75" customHeight="1">
      <c r="A123" s="912"/>
      <c r="B123" s="933"/>
      <c r="C123" s="912"/>
      <c r="D123" s="912"/>
      <c r="E123" s="1365" t="s">
        <v>2100</v>
      </c>
      <c r="F123" s="1360"/>
      <c r="G123" s="1360"/>
      <c r="H123" s="1360"/>
      <c r="I123" s="1361"/>
      <c r="J123" s="1360"/>
      <c r="K123" s="1360"/>
      <c r="L123" s="1360"/>
      <c r="M123" s="1360"/>
      <c r="N123" s="1361"/>
      <c r="O123" s="1360"/>
      <c r="P123" s="1360"/>
      <c r="Q123" s="1360"/>
      <c r="R123" s="1360"/>
      <c r="S123" s="1361"/>
      <c r="T123" s="1360"/>
      <c r="U123" s="1360"/>
      <c r="V123" s="1360"/>
      <c r="W123" s="1360"/>
      <c r="X123" s="1361"/>
      <c r="Y123" s="1360"/>
      <c r="Z123" s="1360"/>
      <c r="AA123" s="1360"/>
      <c r="AB123" s="1360"/>
      <c r="AC123" s="1361"/>
      <c r="AD123" s="1360"/>
      <c r="AE123" s="1360"/>
      <c r="AF123" s="1360"/>
      <c r="AG123" s="1360"/>
      <c r="AH123" s="1361"/>
      <c r="AI123" s="1361"/>
      <c r="AJ123" s="1362"/>
      <c r="AK123" s="912"/>
      <c r="AL123" s="912"/>
      <c r="AM123" s="912"/>
      <c r="AN123" s="908"/>
      <c r="AO123" s="909">
        <f>Application!B731</f>
        <v>0</v>
      </c>
      <c r="AQ123" s="909">
        <f>Application!O731</f>
        <v>0</v>
      </c>
      <c r="AU123" s="1634"/>
      <c r="AV123" s="1634"/>
      <c r="AW123" s="1634"/>
      <c r="AX123" s="1634"/>
      <c r="AY123" s="1634"/>
      <c r="AZ123" s="1634"/>
    </row>
    <row r="124" spans="1:52" s="909" customFormat="1" ht="12.75" customHeight="1">
      <c r="A124" s="912"/>
      <c r="B124" s="911"/>
      <c r="C124" s="912"/>
      <c r="D124" s="912"/>
      <c r="E124" s="2874">
        <f>Application!DX649</f>
        <v>0</v>
      </c>
      <c r="F124" s="2875"/>
      <c r="G124" s="2875"/>
      <c r="H124" s="2875"/>
      <c r="I124" s="1363"/>
      <c r="J124" s="2875">
        <f>Application!EC649</f>
        <v>739.695652173913</v>
      </c>
      <c r="K124" s="2875"/>
      <c r="L124" s="2875"/>
      <c r="M124" s="2875"/>
      <c r="N124" s="1363"/>
      <c r="O124" s="2875">
        <f>Application!EH649</f>
        <v>0</v>
      </c>
      <c r="P124" s="2875"/>
      <c r="Q124" s="2875"/>
      <c r="R124" s="2875"/>
      <c r="S124" s="1367"/>
      <c r="T124" s="2875">
        <f>Application!EM649</f>
        <v>0</v>
      </c>
      <c r="U124" s="2875"/>
      <c r="V124" s="2875"/>
      <c r="W124" s="2875"/>
      <c r="X124" s="1367"/>
      <c r="Y124" s="2875">
        <f>Application!ER649</f>
        <v>0</v>
      </c>
      <c r="Z124" s="2875"/>
      <c r="AA124" s="2875"/>
      <c r="AB124" s="2875"/>
      <c r="AC124" s="1367"/>
      <c r="AD124" s="2875">
        <f>Application!EW649</f>
        <v>0</v>
      </c>
      <c r="AE124" s="2875"/>
      <c r="AF124" s="2875"/>
      <c r="AG124" s="2875"/>
      <c r="AH124" s="950"/>
      <c r="AI124" s="950"/>
      <c r="AJ124" s="952"/>
      <c r="AK124" s="912"/>
      <c r="AL124" s="912"/>
      <c r="AM124" s="912"/>
      <c r="AN124" s="908"/>
      <c r="AO124" s="909">
        <f>Application!B732</f>
        <v>0</v>
      </c>
      <c r="AQ124" s="909">
        <f>Application!O732</f>
        <v>0</v>
      </c>
      <c r="AU124" s="1634"/>
      <c r="AV124" s="1634"/>
      <c r="AW124" s="1635"/>
      <c r="AX124" s="1635"/>
      <c r="AY124" s="1634"/>
      <c r="AZ124" s="1634"/>
    </row>
    <row r="125" spans="1:52" s="909" customFormat="1" ht="12.75" customHeight="1">
      <c r="A125" s="912"/>
      <c r="B125" s="911"/>
      <c r="C125" s="912"/>
      <c r="D125" s="912"/>
      <c r="E125" s="1366"/>
      <c r="F125" s="1360"/>
      <c r="G125" s="1360"/>
      <c r="H125" s="1360"/>
      <c r="I125" s="950"/>
      <c r="J125" s="953"/>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952"/>
      <c r="AK125" s="912"/>
      <c r="AL125" s="912"/>
      <c r="AM125" s="912"/>
      <c r="AN125" s="908"/>
      <c r="AO125" s="909">
        <f>Application!B733</f>
        <v>0</v>
      </c>
      <c r="AQ125" s="909">
        <f>Application!O733</f>
        <v>0</v>
      </c>
      <c r="AU125" s="1634"/>
      <c r="AV125" s="1634"/>
      <c r="AW125" s="1635"/>
      <c r="AX125" s="1635"/>
      <c r="AY125" s="1634"/>
      <c r="AZ125" s="1634"/>
    </row>
    <row r="126" spans="1:52" s="909" customFormat="1" ht="12.75" customHeight="1">
      <c r="A126" s="912"/>
      <c r="B126" s="911"/>
      <c r="C126" s="912"/>
      <c r="D126" s="912"/>
      <c r="E126" s="1365" t="s">
        <v>2101</v>
      </c>
      <c r="F126" s="1360"/>
      <c r="G126" s="1360"/>
      <c r="H126" s="1360"/>
      <c r="I126" s="950"/>
      <c r="J126" s="953"/>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2"/>
      <c r="AK126" s="912"/>
      <c r="AL126" s="912"/>
      <c r="AM126" s="912"/>
      <c r="AN126" s="908"/>
      <c r="AO126" s="909">
        <f>Application!B734</f>
        <v>0</v>
      </c>
      <c r="AQ126" s="909">
        <f>Application!O734</f>
        <v>0</v>
      </c>
      <c r="AU126" s="1634"/>
      <c r="AV126" s="1634"/>
      <c r="AW126" s="1635"/>
      <c r="AX126" s="1635"/>
      <c r="AY126" s="1634"/>
      <c r="AZ126" s="1634"/>
    </row>
    <row r="127" spans="1:52" s="909" customFormat="1" ht="12.75" customHeight="1">
      <c r="A127" s="912"/>
      <c r="B127" s="911"/>
      <c r="C127" s="912"/>
      <c r="D127" s="912"/>
      <c r="E127" s="2652" t="e">
        <f>(E121-E124)/E121</f>
        <v>#DIV/0!</v>
      </c>
      <c r="F127" s="2653"/>
      <c r="G127" s="2653"/>
      <c r="H127" s="2654"/>
      <c r="I127" s="950"/>
      <c r="J127" s="2652">
        <f>(J121-J124)/J121</f>
        <v>0.58490704142878058</v>
      </c>
      <c r="K127" s="2653"/>
      <c r="L127" s="2653"/>
      <c r="M127" s="2654"/>
      <c r="N127" s="950"/>
      <c r="O127" s="2652" t="e">
        <f>(O121-O124)/O121</f>
        <v>#DIV/0!</v>
      </c>
      <c r="P127" s="2653"/>
      <c r="Q127" s="2653"/>
      <c r="R127" s="2654"/>
      <c r="S127" s="950"/>
      <c r="T127" s="2652" t="e">
        <f>(T121-T124)/T121</f>
        <v>#DIV/0!</v>
      </c>
      <c r="U127" s="2653"/>
      <c r="V127" s="2653"/>
      <c r="W127" s="2654"/>
      <c r="X127" s="950"/>
      <c r="Y127" s="2652" t="e">
        <f>(Y121-Y124)/Y121</f>
        <v>#DIV/0!</v>
      </c>
      <c r="Z127" s="2653"/>
      <c r="AA127" s="2653"/>
      <c r="AB127" s="2654"/>
      <c r="AC127" s="950"/>
      <c r="AD127" s="2652" t="e">
        <f>(AD121-AD124)/AD121</f>
        <v>#DIV/0!</v>
      </c>
      <c r="AE127" s="2653"/>
      <c r="AF127" s="2653"/>
      <c r="AG127" s="2654"/>
      <c r="AH127" s="950"/>
      <c r="AI127" s="950"/>
      <c r="AJ127" s="952"/>
      <c r="AK127" s="912"/>
      <c r="AL127" s="912"/>
      <c r="AM127" s="912"/>
      <c r="AN127" s="908"/>
      <c r="AO127" s="909">
        <f>Application!B735</f>
        <v>0</v>
      </c>
      <c r="AQ127" s="909">
        <f>Application!O735</f>
        <v>0</v>
      </c>
      <c r="AU127" s="1634"/>
      <c r="AV127" s="1634"/>
      <c r="AW127" s="1635"/>
      <c r="AX127" s="1635"/>
      <c r="AY127" s="1634"/>
      <c r="AZ127" s="1634"/>
    </row>
    <row r="128" spans="1:52" s="909" customFormat="1" ht="12.75" customHeight="1">
      <c r="A128" s="912"/>
      <c r="B128" s="911"/>
      <c r="C128" s="912"/>
      <c r="D128" s="912"/>
      <c r="E128" s="1614"/>
      <c r="F128" s="1613"/>
      <c r="G128" s="1613"/>
      <c r="H128" s="1613"/>
      <c r="I128" s="950"/>
      <c r="J128" s="1613"/>
      <c r="K128" s="1613"/>
      <c r="L128" s="1613"/>
      <c r="M128" s="1613"/>
      <c r="N128" s="950"/>
      <c r="O128" s="1613"/>
      <c r="P128" s="1613"/>
      <c r="Q128" s="1613"/>
      <c r="R128" s="1613"/>
      <c r="S128" s="950"/>
      <c r="T128" s="1613"/>
      <c r="U128" s="1613"/>
      <c r="V128" s="1613"/>
      <c r="W128" s="1613"/>
      <c r="X128" s="950"/>
      <c r="Y128" s="1613"/>
      <c r="Z128" s="1613"/>
      <c r="AA128" s="1613"/>
      <c r="AB128" s="1613"/>
      <c r="AC128" s="950"/>
      <c r="AD128" s="1613"/>
      <c r="AE128" s="1613"/>
      <c r="AF128" s="1613"/>
      <c r="AG128" s="1613"/>
      <c r="AH128" s="950"/>
      <c r="AI128" s="950"/>
      <c r="AJ128" s="952"/>
      <c r="AK128" s="912"/>
      <c r="AL128" s="912"/>
      <c r="AM128" s="912"/>
      <c r="AN128" s="908"/>
      <c r="AO128" s="909">
        <f>Application!B736</f>
        <v>0</v>
      </c>
      <c r="AQ128" s="909">
        <f>Application!O736</f>
        <v>0</v>
      </c>
      <c r="AU128" s="1634"/>
      <c r="AV128" s="1634"/>
      <c r="AW128" s="1635"/>
      <c r="AX128" s="1635"/>
      <c r="AY128" s="1634"/>
      <c r="AZ128" s="1634"/>
    </row>
    <row r="129" spans="1:52" s="909" customFormat="1" ht="12.75" customHeight="1">
      <c r="A129" s="912"/>
      <c r="B129" s="911"/>
      <c r="C129" s="912"/>
      <c r="D129" s="912"/>
      <c r="E129" s="1615" t="s">
        <v>2102</v>
      </c>
      <c r="F129" s="1613"/>
      <c r="G129" s="1613"/>
      <c r="H129" s="1613"/>
      <c r="I129" s="950"/>
      <c r="J129" s="1613"/>
      <c r="K129" s="1613"/>
      <c r="L129" s="1613"/>
      <c r="M129" s="1613"/>
      <c r="N129" s="950"/>
      <c r="O129" s="1613"/>
      <c r="P129" s="1613"/>
      <c r="Q129" s="1613"/>
      <c r="R129" s="1613"/>
      <c r="S129" s="950"/>
      <c r="T129" s="1613"/>
      <c r="U129" s="1613"/>
      <c r="V129" s="1613"/>
      <c r="W129" s="1613"/>
      <c r="X129" s="950"/>
      <c r="Y129" s="1613"/>
      <c r="Z129" s="1613"/>
      <c r="AA129" s="1613"/>
      <c r="AB129" s="1613"/>
      <c r="AC129" s="950"/>
      <c r="AD129" s="1613"/>
      <c r="AE129" s="1613"/>
      <c r="AF129" s="1613"/>
      <c r="AG129" s="1613"/>
      <c r="AH129" s="950"/>
      <c r="AI129" s="950"/>
      <c r="AJ129" s="952"/>
      <c r="AK129" s="912"/>
      <c r="AL129" s="912"/>
      <c r="AM129" s="912"/>
      <c r="AN129" s="908"/>
      <c r="AO129" s="909">
        <f>Application!B737</f>
        <v>0</v>
      </c>
      <c r="AQ129" s="909">
        <f>Application!O737</f>
        <v>0</v>
      </c>
      <c r="AU129" s="1635"/>
      <c r="AV129" s="1634"/>
      <c r="AW129" s="1635"/>
      <c r="AX129" s="1635"/>
      <c r="AY129" s="1634"/>
      <c r="AZ129" s="1634"/>
    </row>
    <row r="130" spans="1:52" s="909" customFormat="1" ht="12.75" customHeight="1">
      <c r="A130" s="912"/>
      <c r="B130" s="911"/>
      <c r="C130" s="912"/>
      <c r="D130" s="912"/>
      <c r="E130" s="2877" t="e">
        <f>IF(((E127-0.1)*AW110)&gt;0,((E127-0.1)*AW110),0)</f>
        <v>#DIV/0!</v>
      </c>
      <c r="F130" s="2878"/>
      <c r="G130" s="2878"/>
      <c r="H130" s="2879"/>
      <c r="I130" s="950"/>
      <c r="J130" s="2877">
        <f>IF(((J127-0.1)*AW111)&gt;0,((J127-0.1)*AW111),0)</f>
        <v>0.48490704142878061</v>
      </c>
      <c r="K130" s="2878"/>
      <c r="L130" s="2878"/>
      <c r="M130" s="2879"/>
      <c r="N130" s="950"/>
      <c r="O130" s="2877" t="e">
        <f>IF(((O127-0.1)*AW112)&gt;0,((O127-0.1)*AW112),0)</f>
        <v>#DIV/0!</v>
      </c>
      <c r="P130" s="2878"/>
      <c r="Q130" s="2878"/>
      <c r="R130" s="2879"/>
      <c r="S130" s="950"/>
      <c r="T130" s="2877" t="e">
        <f>IF(((T127-0.1)*AW113)&gt;0,((T127-0.1)*AW113),0)</f>
        <v>#DIV/0!</v>
      </c>
      <c r="U130" s="2878"/>
      <c r="V130" s="2878"/>
      <c r="W130" s="2879"/>
      <c r="X130" s="950"/>
      <c r="Y130" s="2877" t="e">
        <f>IF(((Y127-0.1)*AW114)&gt;0,((Y127-0.1)*AW114),0)</f>
        <v>#DIV/0!</v>
      </c>
      <c r="Z130" s="2878"/>
      <c r="AA130" s="2878"/>
      <c r="AB130" s="2879"/>
      <c r="AC130" s="950"/>
      <c r="AD130" s="2877" t="e">
        <f>IF(((AD127-0.1)*AW115)&gt;0,((AD127-0.1)*AW115),0)</f>
        <v>#DIV/0!</v>
      </c>
      <c r="AE130" s="2878"/>
      <c r="AF130" s="2878"/>
      <c r="AG130" s="2879"/>
      <c r="AH130" s="950"/>
      <c r="AI130" s="950"/>
      <c r="AJ130" s="952"/>
      <c r="AK130" s="912"/>
      <c r="AL130" s="912"/>
      <c r="AM130" s="912"/>
      <c r="AN130" s="908"/>
      <c r="AO130" s="909">
        <f>Application!B738</f>
        <v>0</v>
      </c>
      <c r="AQ130" s="909">
        <f>Application!O738</f>
        <v>0</v>
      </c>
      <c r="AU130" s="1634"/>
      <c r="AV130" s="1634"/>
      <c r="AW130" s="1634"/>
      <c r="AX130" s="1635"/>
      <c r="AY130" s="1634"/>
      <c r="AZ130" s="1634"/>
    </row>
    <row r="131" spans="1:52" s="909" customFormat="1" ht="12.75" customHeight="1">
      <c r="A131" s="912"/>
      <c r="B131" s="911"/>
      <c r="C131" s="912"/>
      <c r="D131" s="912"/>
      <c r="E131" s="1366"/>
      <c r="F131" s="1360"/>
      <c r="G131" s="1360"/>
      <c r="H131" s="1360"/>
      <c r="I131" s="950"/>
      <c r="J131" s="953"/>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950"/>
      <c r="AG131" s="950"/>
      <c r="AH131" s="950"/>
      <c r="AI131" s="950"/>
      <c r="AJ131" s="952"/>
      <c r="AK131" s="912"/>
      <c r="AL131" s="912"/>
      <c r="AM131" s="912"/>
      <c r="AN131" s="908"/>
      <c r="AU131" s="1634"/>
      <c r="AV131" s="1634"/>
      <c r="AW131" s="1634"/>
      <c r="AX131" s="1634"/>
      <c r="AY131" s="1634"/>
      <c r="AZ131" s="1634"/>
    </row>
    <row r="132" spans="1:52" s="909" customFormat="1" ht="12.75" customHeight="1">
      <c r="A132" s="912"/>
      <c r="B132" s="911"/>
      <c r="C132" s="912"/>
      <c r="D132" s="912"/>
      <c r="E132" s="2652">
        <f>ROUNDDOWN(SUMIF(E130:AG130,"&gt;0"),2)</f>
        <v>0.48</v>
      </c>
      <c r="F132" s="2653"/>
      <c r="G132" s="2653"/>
      <c r="H132" s="2654"/>
      <c r="I132" s="1361"/>
      <c r="J132" s="1368" t="s">
        <v>2103</v>
      </c>
      <c r="K132" s="1361"/>
      <c r="L132" s="1361"/>
      <c r="M132" s="1361"/>
      <c r="N132" s="1361"/>
      <c r="O132" s="1361"/>
      <c r="P132" s="950"/>
      <c r="Q132" s="950"/>
      <c r="R132" s="950"/>
      <c r="S132" s="950"/>
      <c r="T132" s="950"/>
      <c r="U132" s="950"/>
      <c r="V132" s="950"/>
      <c r="W132" s="950"/>
      <c r="X132" s="950"/>
      <c r="Y132" s="950"/>
      <c r="Z132" s="950"/>
      <c r="AA132" s="950"/>
      <c r="AB132" s="950"/>
      <c r="AC132" s="950"/>
      <c r="AD132" s="1369"/>
      <c r="AE132" s="1369"/>
      <c r="AF132" s="1369"/>
      <c r="AG132" s="1369"/>
      <c r="AH132" s="950"/>
      <c r="AI132" s="950"/>
      <c r="AJ132" s="952"/>
      <c r="AK132" s="912"/>
      <c r="AL132" s="912"/>
      <c r="AM132" s="912"/>
      <c r="AN132" s="908"/>
      <c r="AU132" s="1634"/>
      <c r="AV132" s="1634"/>
      <c r="AW132" s="1634"/>
      <c r="AX132" s="1635"/>
      <c r="AY132" s="1634"/>
      <c r="AZ132" s="1634"/>
    </row>
    <row r="133" spans="1:52" s="909" customFormat="1" ht="12.75" customHeight="1">
      <c r="A133" s="912"/>
      <c r="B133" s="911"/>
      <c r="C133" s="912"/>
      <c r="D133" s="912"/>
      <c r="E133" s="2847">
        <f>IF((E132*100)&gt;10,10,E132*100)</f>
        <v>10</v>
      </c>
      <c r="F133" s="2848"/>
      <c r="G133" s="2848"/>
      <c r="H133" s="2849"/>
      <c r="I133" s="950"/>
      <c r="J133" s="953" t="s">
        <v>1499</v>
      </c>
      <c r="K133" s="950"/>
      <c r="L133" s="950"/>
      <c r="M133" s="950"/>
      <c r="N133" s="950"/>
      <c r="O133" s="950"/>
      <c r="P133" s="950"/>
      <c r="Q133" s="950"/>
      <c r="R133" s="950"/>
      <c r="S133" s="950"/>
      <c r="T133" s="950"/>
      <c r="U133" s="950"/>
      <c r="V133" s="950"/>
      <c r="W133" s="950"/>
      <c r="X133" s="950"/>
      <c r="Y133" s="950"/>
      <c r="Z133" s="950"/>
      <c r="AA133" s="950"/>
      <c r="AB133" s="950"/>
      <c r="AC133" s="950"/>
      <c r="AD133" s="950"/>
      <c r="AE133" s="950"/>
      <c r="AF133" s="950"/>
      <c r="AG133" s="950"/>
      <c r="AH133" s="950"/>
      <c r="AI133" s="950"/>
      <c r="AJ133" s="952"/>
      <c r="AK133" s="912"/>
      <c r="AL133" s="912"/>
      <c r="AM133" s="912"/>
      <c r="AN133" s="908"/>
      <c r="AU133" s="1634"/>
      <c r="AV133" s="1634"/>
      <c r="AW133" s="1634"/>
      <c r="AX133" s="1634"/>
      <c r="AY133" s="1634"/>
      <c r="AZ133" s="1634"/>
    </row>
    <row r="134" spans="1:52" s="909" customFormat="1" ht="12.75" customHeight="1">
      <c r="A134" s="912"/>
      <c r="B134" s="912"/>
      <c r="C134" s="912"/>
      <c r="D134" s="912"/>
      <c r="E134" s="961"/>
      <c r="F134" s="962"/>
      <c r="G134" s="962"/>
      <c r="H134" s="962"/>
      <c r="I134" s="962"/>
      <c r="J134" s="962"/>
      <c r="K134" s="962"/>
      <c r="L134" s="962"/>
      <c r="M134" s="962"/>
      <c r="N134" s="96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3"/>
      <c r="AK134" s="912"/>
      <c r="AL134" s="912"/>
      <c r="AM134" s="912"/>
      <c r="AN134" s="908"/>
      <c r="AT134" s="1597"/>
      <c r="AU134" s="1634"/>
      <c r="AV134" s="1634"/>
      <c r="AW134" s="1635"/>
      <c r="AX134" s="1634"/>
      <c r="AY134" s="1634"/>
      <c r="AZ134" s="1634"/>
    </row>
    <row r="135" spans="1:52" s="909" customFormat="1" ht="12.75" customHeight="1">
      <c r="A135" s="912"/>
      <c r="B135" s="912"/>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912"/>
      <c r="AM135" s="912"/>
      <c r="AN135" s="908"/>
      <c r="AU135" s="1634"/>
      <c r="AV135" s="1634"/>
      <c r="AW135" s="1634"/>
      <c r="AX135" s="1634"/>
      <c r="AY135" s="1634"/>
      <c r="AZ135" s="1634"/>
    </row>
    <row r="136" spans="1:52" s="909" customFormat="1" ht="12.75" customHeight="1">
      <c r="A136" s="912"/>
      <c r="B136" s="912"/>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912"/>
      <c r="Z136" s="912"/>
      <c r="AA136" s="912"/>
      <c r="AB136" s="912"/>
      <c r="AC136" s="912"/>
      <c r="AD136" s="912"/>
      <c r="AE136" s="912"/>
      <c r="AF136" s="912"/>
      <c r="AG136" s="912"/>
      <c r="AH136" s="912"/>
      <c r="AI136" s="912"/>
      <c r="AJ136" s="912"/>
      <c r="AK136" s="912"/>
      <c r="AL136" s="912"/>
      <c r="AM136" s="912"/>
      <c r="AN136" s="908"/>
    </row>
    <row r="137" spans="1:52" s="909" customFormat="1" ht="12.75" customHeight="1">
      <c r="A137" s="934"/>
      <c r="B137" s="935"/>
      <c r="C137" s="935"/>
      <c r="D137" s="935"/>
      <c r="E137" s="935"/>
      <c r="F137" s="935"/>
      <c r="G137" s="936"/>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8"/>
      <c r="AJ137" s="938" t="s">
        <v>1506</v>
      </c>
      <c r="AK137" s="2847">
        <f>E133</f>
        <v>10</v>
      </c>
      <c r="AL137" s="2848"/>
      <c r="AM137" s="2849"/>
      <c r="AN137" s="908"/>
    </row>
    <row r="138" spans="1:52" s="909" customFormat="1" ht="12.75" customHeight="1" thickBot="1">
      <c r="A138" s="939"/>
      <c r="B138" s="940"/>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2"/>
      <c r="AN138" s="908"/>
    </row>
    <row r="139" spans="1:52" s="906" customFormat="1" ht="12.75" customHeight="1" thickTop="1">
      <c r="A139" s="943"/>
      <c r="B139" s="944"/>
      <c r="C139" s="945"/>
      <c r="D139" s="945"/>
      <c r="E139" s="945"/>
      <c r="F139" s="945"/>
      <c r="G139" s="945"/>
      <c r="H139" s="945"/>
      <c r="I139" s="946"/>
      <c r="J139" s="946"/>
      <c r="K139" s="946"/>
      <c r="L139" s="946"/>
      <c r="M139" s="946"/>
      <c r="N139" s="946"/>
      <c r="O139" s="946"/>
      <c r="P139" s="946"/>
      <c r="Q139" s="946"/>
      <c r="R139" s="943"/>
      <c r="S139" s="911"/>
      <c r="T139" s="911"/>
      <c r="U139" s="911"/>
      <c r="V139" s="911"/>
      <c r="W139" s="911"/>
      <c r="X139" s="911"/>
      <c r="Y139" s="911"/>
      <c r="Z139" s="911"/>
      <c r="AA139" s="911"/>
      <c r="AB139" s="911"/>
      <c r="AC139" s="911"/>
      <c r="AD139" s="911"/>
      <c r="AE139" s="911"/>
      <c r="AF139" s="943"/>
      <c r="AG139" s="911"/>
      <c r="AH139" s="911"/>
      <c r="AI139" s="911"/>
      <c r="AJ139" s="911"/>
      <c r="AK139" s="922"/>
      <c r="AL139" s="922"/>
      <c r="AM139" s="922"/>
      <c r="AN139" s="905"/>
      <c r="AO139" s="909"/>
    </row>
    <row r="140" spans="1:52" s="911" customFormat="1" ht="12.75" customHeight="1">
      <c r="A140" s="910" t="s">
        <v>1507</v>
      </c>
      <c r="AE140" s="2873" t="s">
        <v>1485</v>
      </c>
      <c r="AF140" s="2873"/>
      <c r="AG140" s="2873"/>
      <c r="AH140" s="2873"/>
      <c r="AI140" s="2873"/>
      <c r="AJ140" s="2873"/>
      <c r="AK140" s="2873"/>
      <c r="AL140" s="964"/>
      <c r="AM140" s="965"/>
      <c r="AN140" s="966"/>
      <c r="AO140" s="909"/>
    </row>
    <row r="141" spans="1:52" s="911" customFormat="1" ht="12.95" customHeight="1">
      <c r="A141" s="910"/>
      <c r="AE141" s="964"/>
      <c r="AF141" s="964"/>
      <c r="AG141" s="964"/>
      <c r="AH141" s="964"/>
      <c r="AI141" s="964"/>
      <c r="AJ141" s="964"/>
      <c r="AK141" s="964"/>
      <c r="AL141" s="964"/>
      <c r="AM141" s="965"/>
      <c r="AN141" s="966"/>
    </row>
    <row r="142" spans="1:52" s="906" customFormat="1" ht="12.75" customHeight="1">
      <c r="A142" s="910"/>
      <c r="B142" s="910" t="s">
        <v>1508</v>
      </c>
      <c r="C142" s="911"/>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1"/>
      <c r="AA142" s="911"/>
      <c r="AB142" s="911"/>
      <c r="AC142" s="911"/>
      <c r="AD142" s="911"/>
      <c r="AF142" s="2751" t="s">
        <v>1509</v>
      </c>
      <c r="AG142" s="2751"/>
      <c r="AH142" s="2751"/>
      <c r="AI142" s="2751"/>
      <c r="AJ142" s="2751"/>
      <c r="AK142" s="2751"/>
      <c r="AL142" s="2751"/>
      <c r="AM142" s="965"/>
      <c r="AN142" s="905"/>
    </row>
    <row r="143" spans="1:52" s="906" customFormat="1" ht="12.75" customHeight="1">
      <c r="A143" s="910"/>
      <c r="B143" s="967" t="s">
        <v>541</v>
      </c>
      <c r="C143" s="995"/>
      <c r="D143" s="995"/>
      <c r="E143" s="995"/>
      <c r="F143" s="995"/>
      <c r="G143" s="995"/>
      <c r="H143" s="995"/>
      <c r="I143" s="995"/>
      <c r="J143" s="995"/>
      <c r="K143" s="995"/>
      <c r="L143" s="995"/>
      <c r="M143" s="995"/>
      <c r="N143" s="995"/>
      <c r="O143" s="995"/>
      <c r="P143" s="995"/>
      <c r="Q143" s="995"/>
      <c r="R143" s="995"/>
      <c r="S143" s="995"/>
      <c r="T143" s="995"/>
      <c r="U143" s="995"/>
      <c r="V143" s="995"/>
      <c r="W143" s="995"/>
      <c r="X143" s="995"/>
      <c r="Y143" s="995"/>
      <c r="Z143" s="995"/>
      <c r="AA143" s="995"/>
      <c r="AB143" s="995"/>
      <c r="AC143" s="995"/>
      <c r="AD143" s="911"/>
      <c r="AL143" s="1436"/>
      <c r="AM143" s="965"/>
      <c r="AN143" s="905"/>
    </row>
    <row r="144" spans="1:52" s="906" customFormat="1" ht="15" customHeight="1">
      <c r="A144" s="910"/>
      <c r="B144" s="2852" t="s">
        <v>2767</v>
      </c>
      <c r="C144" s="2852"/>
      <c r="D144" s="2852"/>
      <c r="E144" s="2852"/>
      <c r="F144" s="2852"/>
      <c r="G144" s="2852"/>
      <c r="H144" s="2852"/>
      <c r="I144" s="2852"/>
      <c r="J144" s="2852"/>
      <c r="K144" s="2852"/>
      <c r="L144" s="2852"/>
      <c r="M144" s="2852"/>
      <c r="N144" s="2852"/>
      <c r="O144" s="2852"/>
      <c r="P144" s="2852"/>
      <c r="Q144" s="2852"/>
      <c r="R144" s="2852"/>
      <c r="S144" s="2852"/>
      <c r="T144" s="2852"/>
      <c r="U144" s="2852"/>
      <c r="V144" s="2852"/>
      <c r="W144" s="2852"/>
      <c r="X144" s="2852"/>
      <c r="Y144" s="2852"/>
      <c r="Z144" s="2852"/>
      <c r="AA144" s="2852"/>
      <c r="AB144" s="2852"/>
      <c r="AC144" s="2852"/>
      <c r="AD144" s="911"/>
      <c r="AE144" s="1436"/>
      <c r="AF144" s="1436"/>
      <c r="AG144" s="1436"/>
      <c r="AH144" s="1436"/>
      <c r="AI144" s="1436"/>
      <c r="AJ144" s="1436"/>
      <c r="AK144" s="1436"/>
      <c r="AL144" s="1436"/>
      <c r="AM144" s="965"/>
      <c r="AN144" s="905"/>
      <c r="AO144" s="970"/>
      <c r="AP144" s="971"/>
    </row>
    <row r="145" spans="1:42" s="909" customFormat="1" ht="12.75" customHeight="1">
      <c r="A145" s="910"/>
      <c r="B145" s="910"/>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1436"/>
      <c r="AF145" s="1436"/>
      <c r="AG145" s="1436"/>
      <c r="AH145" s="1436"/>
      <c r="AI145" s="1436"/>
      <c r="AJ145" s="1436"/>
      <c r="AK145" s="1436"/>
      <c r="AL145" s="1436"/>
      <c r="AM145" s="965"/>
      <c r="AN145" s="908"/>
      <c r="AO145" s="903" t="s">
        <v>308</v>
      </c>
      <c r="AP145" s="917"/>
    </row>
    <row r="146" spans="1:42" s="906" customFormat="1" ht="12.75" customHeight="1">
      <c r="A146" s="910"/>
      <c r="B146" s="911" t="s">
        <v>1510</v>
      </c>
      <c r="C146" s="911"/>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65"/>
      <c r="AN146" s="905"/>
      <c r="AO146" s="973" t="s">
        <v>1511</v>
      </c>
      <c r="AP146" s="974">
        <v>5</v>
      </c>
    </row>
    <row r="147" spans="1:42" s="906" customFormat="1" ht="12.75" customHeight="1">
      <c r="A147" s="910"/>
      <c r="B147" s="2853" t="s">
        <v>1512</v>
      </c>
      <c r="C147" s="2853"/>
      <c r="D147" s="2853"/>
      <c r="E147" s="2853"/>
      <c r="F147" s="2853"/>
      <c r="G147" s="2853"/>
      <c r="H147" s="2853"/>
      <c r="I147" s="2853"/>
      <c r="J147" s="2853"/>
      <c r="K147" s="2853"/>
      <c r="L147" s="2853"/>
      <c r="M147" s="2853"/>
      <c r="N147" s="2853"/>
      <c r="O147" s="2853"/>
      <c r="P147" s="2853"/>
      <c r="Q147" s="2853"/>
      <c r="R147" s="2853"/>
      <c r="S147" s="2853"/>
      <c r="T147" s="2853"/>
      <c r="U147" s="2853"/>
      <c r="V147" s="2853"/>
      <c r="W147" s="2853"/>
      <c r="X147" s="2853"/>
      <c r="Y147" s="2853"/>
      <c r="Z147" s="2853"/>
      <c r="AA147" s="2853"/>
      <c r="AB147" s="2853"/>
      <c r="AC147" s="2853"/>
      <c r="AD147" s="2853"/>
      <c r="AE147" s="2853"/>
      <c r="AF147" s="2853"/>
      <c r="AG147" s="2853"/>
      <c r="AH147" s="2853"/>
      <c r="AI147" s="2853"/>
      <c r="AM147" s="965"/>
      <c r="AN147" s="905"/>
      <c r="AO147" s="973" t="s">
        <v>1512</v>
      </c>
      <c r="AP147" s="974">
        <v>7</v>
      </c>
    </row>
    <row r="148" spans="1:42" s="906" customFormat="1" ht="12.95" customHeight="1">
      <c r="A148" s="975"/>
      <c r="B148" s="995"/>
      <c r="C148" s="995"/>
      <c r="D148" s="995"/>
      <c r="E148" s="995"/>
      <c r="F148" s="995"/>
      <c r="G148" s="995"/>
      <c r="H148" s="995"/>
      <c r="I148" s="995"/>
      <c r="J148" s="995"/>
      <c r="K148" s="995"/>
      <c r="L148" s="995"/>
      <c r="M148" s="995"/>
      <c r="N148" s="995"/>
      <c r="O148" s="995"/>
      <c r="P148" s="995"/>
      <c r="Q148" s="995"/>
      <c r="R148" s="995"/>
      <c r="S148" s="995"/>
      <c r="T148" s="995"/>
      <c r="U148" s="995"/>
      <c r="V148" s="995"/>
      <c r="W148" s="995"/>
      <c r="X148" s="995"/>
      <c r="Y148" s="995"/>
      <c r="Z148" s="995"/>
      <c r="AA148" s="995"/>
      <c r="AB148" s="995"/>
      <c r="AC148" s="995"/>
      <c r="AD148" s="976"/>
      <c r="AE148" s="909"/>
      <c r="AF148" s="909"/>
      <c r="AG148" s="909"/>
      <c r="AH148" s="909"/>
      <c r="AI148" s="909"/>
      <c r="AJ148" s="909"/>
      <c r="AK148" s="909"/>
      <c r="AL148" s="909"/>
      <c r="AM148" s="965"/>
      <c r="AN148" s="905"/>
      <c r="AO148" s="973" t="s">
        <v>2404</v>
      </c>
      <c r="AP148" s="974">
        <v>7</v>
      </c>
    </row>
    <row r="149" spans="1:42" s="906" customFormat="1" ht="12.75" customHeight="1">
      <c r="A149" s="975"/>
      <c r="B149" s="911" t="s">
        <v>1513</v>
      </c>
      <c r="AB149" s="2792" t="s">
        <v>600</v>
      </c>
      <c r="AC149" s="2792"/>
      <c r="AD149" s="976"/>
      <c r="AE149" s="909"/>
      <c r="AF149" s="909"/>
      <c r="AG149" s="909"/>
      <c r="AH149" s="909"/>
      <c r="AI149" s="909"/>
      <c r="AJ149" s="909"/>
      <c r="AK149" s="909"/>
      <c r="AL149" s="909"/>
      <c r="AM149" s="965"/>
      <c r="AN149" s="905"/>
      <c r="AO149" s="977"/>
      <c r="AP149" s="977"/>
    </row>
    <row r="150" spans="1:42" s="906" customFormat="1" ht="9" customHeight="1">
      <c r="A150" s="975"/>
      <c r="B150" s="995"/>
      <c r="C150" s="995"/>
      <c r="D150" s="995"/>
      <c r="E150" s="995"/>
      <c r="F150" s="995"/>
      <c r="G150" s="995"/>
      <c r="H150" s="995"/>
      <c r="I150" s="995"/>
      <c r="J150" s="995"/>
      <c r="K150" s="995"/>
      <c r="L150" s="995"/>
      <c r="M150" s="995"/>
      <c r="N150" s="995"/>
      <c r="O150" s="995"/>
      <c r="P150" s="995"/>
      <c r="Q150" s="995"/>
      <c r="R150" s="995"/>
      <c r="S150" s="995"/>
      <c r="T150" s="995"/>
      <c r="U150" s="995"/>
      <c r="V150" s="995"/>
      <c r="W150" s="995"/>
      <c r="X150" s="995"/>
      <c r="Y150" s="995"/>
      <c r="Z150" s="995"/>
      <c r="AA150" s="995"/>
      <c r="AB150" s="995"/>
      <c r="AC150" s="995"/>
      <c r="AD150" s="976"/>
      <c r="AE150" s="909"/>
      <c r="AF150" s="909"/>
      <c r="AG150" s="909"/>
      <c r="AH150" s="909"/>
      <c r="AI150" s="909"/>
      <c r="AJ150" s="909"/>
      <c r="AK150" s="909"/>
      <c r="AL150" s="909"/>
      <c r="AM150" s="965"/>
      <c r="AN150" s="905"/>
      <c r="AO150" s="903" t="s">
        <v>1514</v>
      </c>
      <c r="AP150" s="974"/>
    </row>
    <row r="151" spans="1:42" s="906" customFormat="1" ht="12.75" customHeight="1">
      <c r="A151" s="910"/>
      <c r="B151" s="967" t="s">
        <v>1515</v>
      </c>
      <c r="C151" s="995"/>
      <c r="D151" s="995"/>
      <c r="E151" s="995"/>
      <c r="F151" s="995"/>
      <c r="G151" s="995"/>
      <c r="H151" s="995"/>
      <c r="I151" s="995"/>
      <c r="J151" s="995"/>
      <c r="K151" s="995"/>
      <c r="L151" s="995"/>
      <c r="M151" s="995"/>
      <c r="N151" s="995"/>
      <c r="O151" s="995"/>
      <c r="P151" s="995"/>
      <c r="Q151" s="995"/>
      <c r="R151" s="995"/>
      <c r="S151" s="995"/>
      <c r="T151" s="995"/>
      <c r="U151" s="995"/>
      <c r="V151" s="995"/>
      <c r="W151" s="995"/>
      <c r="X151" s="995"/>
      <c r="Y151" s="995"/>
      <c r="Z151" s="995"/>
      <c r="AA151" s="995"/>
      <c r="AB151" s="995"/>
      <c r="AC151" s="995"/>
      <c r="AD151" s="964"/>
      <c r="AM151" s="965"/>
      <c r="AN151" s="905"/>
      <c r="AO151" s="973" t="s">
        <v>1516</v>
      </c>
      <c r="AP151" s="974">
        <v>5</v>
      </c>
    </row>
    <row r="152" spans="1:42" s="906" customFormat="1" ht="12.75" customHeight="1">
      <c r="A152" s="910"/>
      <c r="B152" s="2853" t="s">
        <v>1514</v>
      </c>
      <c r="C152" s="2853"/>
      <c r="D152" s="2853"/>
      <c r="E152" s="2853"/>
      <c r="F152" s="2853"/>
      <c r="G152" s="2853"/>
      <c r="H152" s="2853"/>
      <c r="I152" s="2853"/>
      <c r="J152" s="2853"/>
      <c r="K152" s="2853"/>
      <c r="L152" s="2853"/>
      <c r="M152" s="2853"/>
      <c r="N152" s="2853"/>
      <c r="O152" s="2853"/>
      <c r="P152" s="2853"/>
      <c r="Q152" s="2853"/>
      <c r="R152" s="2853"/>
      <c r="S152" s="2853"/>
      <c r="T152" s="2853"/>
      <c r="U152" s="2853"/>
      <c r="V152" s="2853"/>
      <c r="W152" s="2853"/>
      <c r="X152" s="2853"/>
      <c r="Y152" s="2853"/>
      <c r="Z152" s="2853"/>
      <c r="AA152" s="2853"/>
      <c r="AB152" s="2853"/>
      <c r="AC152" s="2853"/>
      <c r="AD152" s="2853"/>
      <c r="AE152" s="2853"/>
      <c r="AF152" s="2853"/>
      <c r="AG152" s="2853"/>
      <c r="AH152" s="2853"/>
      <c r="AI152" s="2853"/>
      <c r="AJ152" s="2853"/>
      <c r="AK152" s="1002"/>
      <c r="AL152" s="1002"/>
      <c r="AM152" s="1002"/>
      <c r="AN152" s="905"/>
      <c r="AO152" s="973" t="s">
        <v>1517</v>
      </c>
      <c r="AP152" s="974">
        <v>7</v>
      </c>
    </row>
    <row r="153" spans="1:42" s="906" customFormat="1" ht="12.75" customHeight="1">
      <c r="B153" s="991" t="s">
        <v>1518</v>
      </c>
      <c r="C153" s="995"/>
      <c r="D153" s="995"/>
      <c r="E153" s="995"/>
      <c r="F153" s="995"/>
      <c r="G153" s="995"/>
      <c r="H153" s="995"/>
      <c r="I153" s="995"/>
      <c r="J153" s="995"/>
      <c r="K153" s="995"/>
      <c r="L153" s="995"/>
      <c r="M153" s="995"/>
      <c r="N153" s="995"/>
      <c r="O153" s="995"/>
      <c r="P153" s="995"/>
      <c r="Q153" s="995"/>
      <c r="R153" s="995"/>
      <c r="S153" s="995"/>
      <c r="T153" s="995"/>
      <c r="U153" s="995"/>
      <c r="AM153" s="965"/>
      <c r="AN153" s="905"/>
      <c r="AO153" s="973"/>
      <c r="AP153" s="974"/>
    </row>
    <row r="154" spans="1:42" s="906" customFormat="1" ht="12.75" customHeight="1">
      <c r="AM154" s="965"/>
      <c r="AN154" s="905"/>
    </row>
    <row r="155" spans="1:42" s="922" customFormat="1" ht="12.75" customHeight="1">
      <c r="A155" s="987"/>
      <c r="B155" s="988"/>
      <c r="C155" s="988"/>
      <c r="D155" s="988"/>
      <c r="E155" s="988"/>
      <c r="F155" s="988"/>
      <c r="G155" s="988"/>
      <c r="H155" s="988"/>
      <c r="I155" s="988"/>
      <c r="J155" s="988"/>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8"/>
      <c r="AG155" s="988"/>
      <c r="AH155" s="988"/>
      <c r="AI155" s="938" t="s">
        <v>1520</v>
      </c>
      <c r="AJ155" s="2854">
        <f>IF($AB$149="N/A",VLOOKUP($B$147,$AO$145:$AP$148,2,FALSE),VLOOKUP($B$152,$AO$150:$AP$153,2,FALSE))</f>
        <v>7</v>
      </c>
      <c r="AK155" s="2854"/>
      <c r="AL155" s="989"/>
      <c r="AM155" s="909"/>
      <c r="AN155" s="982"/>
    </row>
    <row r="156" spans="1:42" s="922" customFormat="1" ht="12.75" customHeight="1">
      <c r="A156" s="984"/>
      <c r="B156" s="984"/>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c r="AB156" s="906"/>
      <c r="AC156" s="906"/>
      <c r="AD156" s="906"/>
      <c r="AE156" s="906"/>
      <c r="AF156" s="906"/>
      <c r="AG156" s="906"/>
      <c r="AH156" s="906"/>
      <c r="AI156" s="906"/>
      <c r="AJ156" s="906"/>
      <c r="AK156" s="985"/>
      <c r="AL156" s="985"/>
      <c r="AM156" s="985"/>
      <c r="AN156" s="982"/>
    </row>
    <row r="157" spans="1:42" s="922" customFormat="1" ht="12.75" customHeight="1">
      <c r="A157" s="906"/>
      <c r="B157" s="967" t="s">
        <v>1522</v>
      </c>
      <c r="C157" s="991"/>
      <c r="D157" s="906"/>
      <c r="E157" s="1472"/>
      <c r="F157" s="1472"/>
      <c r="G157" s="1472"/>
      <c r="H157" s="1472"/>
      <c r="I157" s="1472"/>
      <c r="J157" s="1472"/>
      <c r="K157" s="1472"/>
      <c r="L157" s="1472"/>
      <c r="M157" s="1472"/>
      <c r="N157" s="1472"/>
      <c r="O157" s="1472"/>
      <c r="P157" s="1472"/>
      <c r="Q157" s="1472"/>
      <c r="R157" s="1472"/>
      <c r="S157" s="1472"/>
      <c r="T157" s="1472"/>
      <c r="U157" s="1472"/>
      <c r="V157" s="1472"/>
      <c r="W157" s="1472"/>
      <c r="X157" s="1472"/>
      <c r="Y157" s="1472"/>
      <c r="Z157" s="1472"/>
      <c r="AA157" s="1472"/>
      <c r="AB157" s="1472"/>
      <c r="AC157" s="1472"/>
      <c r="AD157" s="1472"/>
      <c r="AE157" s="906"/>
      <c r="AF157" s="2751" t="s">
        <v>1523</v>
      </c>
      <c r="AG157" s="2751"/>
      <c r="AH157" s="2751"/>
      <c r="AI157" s="2751"/>
      <c r="AJ157" s="2751"/>
      <c r="AK157" s="2751"/>
      <c r="AL157" s="2751"/>
      <c r="AM157" s="992"/>
      <c r="AN157" s="982"/>
    </row>
    <row r="158" spans="1:42" s="922" customFormat="1" ht="12.75" customHeight="1">
      <c r="A158" s="906"/>
      <c r="B158" s="911" t="s">
        <v>1524</v>
      </c>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11"/>
      <c r="AB158" s="911"/>
      <c r="AC158" s="911"/>
      <c r="AD158" s="911"/>
      <c r="AE158" s="906"/>
      <c r="AF158" s="906"/>
      <c r="AG158" s="906"/>
      <c r="AH158" s="906"/>
      <c r="AI158" s="906"/>
      <c r="AJ158" s="906"/>
      <c r="AK158" s="906"/>
      <c r="AL158" s="906"/>
      <c r="AM158" s="992"/>
      <c r="AN158" s="982"/>
    </row>
    <row r="159" spans="1:42" s="922" customFormat="1" ht="12.75" customHeight="1">
      <c r="A159" s="906"/>
      <c r="B159" s="906"/>
      <c r="C159" s="2853" t="s">
        <v>1521</v>
      </c>
      <c r="D159" s="2853"/>
      <c r="E159" s="2853"/>
      <c r="F159" s="2853"/>
      <c r="G159" s="2853"/>
      <c r="H159" s="2853"/>
      <c r="I159" s="2853"/>
      <c r="J159" s="2853"/>
      <c r="K159" s="2853"/>
      <c r="L159" s="2853"/>
      <c r="M159" s="2853"/>
      <c r="N159" s="2853"/>
      <c r="O159" s="2853"/>
      <c r="P159" s="2853"/>
      <c r="Q159" s="2853"/>
      <c r="R159" s="2853"/>
      <c r="S159" s="2853"/>
      <c r="T159" s="2853"/>
      <c r="U159" s="2853"/>
      <c r="V159" s="2853"/>
      <c r="W159" s="2853"/>
      <c r="X159" s="2853"/>
      <c r="Y159" s="2853"/>
      <c r="Z159" s="2853"/>
      <c r="AA159" s="2853"/>
      <c r="AB159" s="2853"/>
      <c r="AC159" s="2853"/>
      <c r="AD159" s="2853"/>
      <c r="AE159" s="2853"/>
      <c r="AF159" s="2853"/>
      <c r="AG159" s="2853"/>
      <c r="AH159" s="2853"/>
      <c r="AI159" s="2853"/>
      <c r="AJ159" s="909"/>
      <c r="AK159" s="909"/>
      <c r="AL159" s="909"/>
      <c r="AM159" s="992"/>
      <c r="AN159" s="979"/>
      <c r="AO159" s="983" t="s">
        <v>308</v>
      </c>
      <c r="AP159" s="977"/>
    </row>
    <row r="160" spans="1:42" s="922" customFormat="1" ht="12.95" customHeight="1">
      <c r="A160" s="909"/>
      <c r="B160" s="909"/>
      <c r="C160" s="995"/>
      <c r="D160" s="995"/>
      <c r="E160" s="995"/>
      <c r="F160" s="995"/>
      <c r="G160" s="995"/>
      <c r="H160" s="995"/>
      <c r="I160" s="995"/>
      <c r="J160" s="995"/>
      <c r="K160" s="995"/>
      <c r="L160" s="995"/>
      <c r="M160" s="995"/>
      <c r="N160" s="995"/>
      <c r="O160" s="995"/>
      <c r="P160" s="995"/>
      <c r="Q160" s="995"/>
      <c r="R160" s="995"/>
      <c r="S160" s="995"/>
      <c r="T160" s="995"/>
      <c r="U160" s="995"/>
      <c r="V160" s="995"/>
      <c r="W160" s="995"/>
      <c r="X160" s="995"/>
      <c r="Y160" s="995"/>
      <c r="Z160" s="995"/>
      <c r="AA160" s="995"/>
      <c r="AB160" s="995"/>
      <c r="AC160" s="995"/>
      <c r="AD160" s="995"/>
      <c r="AE160" s="909"/>
      <c r="AF160" s="909"/>
      <c r="AG160" s="909"/>
      <c r="AH160" s="909"/>
      <c r="AI160" s="909"/>
      <c r="AJ160" s="909"/>
      <c r="AK160" s="909"/>
      <c r="AL160" s="909"/>
      <c r="AM160" s="994"/>
      <c r="AN160" s="979"/>
      <c r="AO160" s="977" t="s">
        <v>1519</v>
      </c>
      <c r="AP160" s="986">
        <v>2</v>
      </c>
    </row>
    <row r="161" spans="1:73" s="922" customFormat="1" ht="12.75" customHeight="1">
      <c r="A161" s="909"/>
      <c r="B161" s="909"/>
      <c r="C161" s="911" t="s">
        <v>1526</v>
      </c>
      <c r="D161" s="906"/>
      <c r="E161" s="906"/>
      <c r="F161" s="906"/>
      <c r="G161" s="906"/>
      <c r="H161" s="906"/>
      <c r="I161" s="906"/>
      <c r="J161" s="906"/>
      <c r="K161" s="906"/>
      <c r="L161" s="906"/>
      <c r="M161" s="906"/>
      <c r="N161" s="906"/>
      <c r="O161" s="906"/>
      <c r="P161" s="906"/>
      <c r="Q161" s="906"/>
      <c r="R161" s="906"/>
      <c r="S161" s="906"/>
      <c r="T161" s="906"/>
      <c r="U161" s="906"/>
      <c r="V161" s="906"/>
      <c r="W161" s="906"/>
      <c r="X161" s="906"/>
      <c r="Y161" s="906"/>
      <c r="Z161" s="906"/>
      <c r="AA161" s="906"/>
      <c r="AB161" s="906"/>
      <c r="AC161" s="2792" t="s">
        <v>600</v>
      </c>
      <c r="AD161" s="2792"/>
      <c r="AE161" s="909"/>
      <c r="AF161" s="909"/>
      <c r="AG161" s="909"/>
      <c r="AH161" s="909"/>
      <c r="AI161" s="909"/>
      <c r="AJ161" s="909"/>
      <c r="AK161" s="909"/>
      <c r="AL161" s="909"/>
      <c r="AM161" s="994"/>
      <c r="AN161" s="979"/>
      <c r="AO161" s="977" t="s">
        <v>1521</v>
      </c>
      <c r="AP161" s="986">
        <v>3</v>
      </c>
    </row>
    <row r="162" spans="1:73" s="922" customFormat="1" ht="9" customHeight="1">
      <c r="A162" s="909"/>
      <c r="B162" s="909"/>
      <c r="C162" s="995"/>
      <c r="D162" s="995"/>
      <c r="E162" s="995"/>
      <c r="F162" s="995"/>
      <c r="G162" s="995"/>
      <c r="H162" s="995"/>
      <c r="I162" s="995"/>
      <c r="J162" s="995"/>
      <c r="K162" s="995"/>
      <c r="L162" s="995"/>
      <c r="M162" s="995"/>
      <c r="N162" s="995"/>
      <c r="O162" s="995"/>
      <c r="P162" s="995"/>
      <c r="Q162" s="995"/>
      <c r="R162" s="995"/>
      <c r="S162" s="995"/>
      <c r="T162" s="995"/>
      <c r="U162" s="995"/>
      <c r="V162" s="995"/>
      <c r="W162" s="995"/>
      <c r="X162" s="995"/>
      <c r="Y162" s="995"/>
      <c r="Z162" s="995"/>
      <c r="AA162" s="995"/>
      <c r="AB162" s="995"/>
      <c r="AC162" s="995"/>
      <c r="AD162" s="995"/>
      <c r="AE162" s="909"/>
      <c r="AF162" s="909"/>
      <c r="AG162" s="909"/>
      <c r="AH162" s="909"/>
      <c r="AI162" s="909"/>
      <c r="AJ162" s="909"/>
      <c r="AK162" s="909"/>
      <c r="AL162" s="909"/>
      <c r="AM162" s="994"/>
      <c r="AN162" s="979"/>
      <c r="AO162" s="990" t="s">
        <v>1815</v>
      </c>
      <c r="AP162" s="986">
        <v>3</v>
      </c>
    </row>
    <row r="163" spans="1:73" s="922" customFormat="1" ht="12.75" customHeight="1">
      <c r="A163" s="909"/>
      <c r="B163" s="909"/>
      <c r="C163" s="2853" t="s">
        <v>1514</v>
      </c>
      <c r="D163" s="2853"/>
      <c r="E163" s="2853"/>
      <c r="F163" s="2853"/>
      <c r="G163" s="2853"/>
      <c r="H163" s="2853"/>
      <c r="I163" s="2853"/>
      <c r="J163" s="2853"/>
      <c r="K163" s="2853"/>
      <c r="L163" s="2853"/>
      <c r="M163" s="2853"/>
      <c r="N163" s="2853"/>
      <c r="O163" s="2853"/>
      <c r="P163" s="2853"/>
      <c r="Q163" s="2853"/>
      <c r="R163" s="2853"/>
      <c r="S163" s="2853"/>
      <c r="T163" s="2853"/>
      <c r="U163" s="2853"/>
      <c r="V163" s="2853"/>
      <c r="W163" s="2853"/>
      <c r="X163" s="2853"/>
      <c r="Y163" s="2853"/>
      <c r="Z163" s="2853"/>
      <c r="AA163" s="2853"/>
      <c r="AB163" s="2853"/>
      <c r="AC163" s="2853"/>
      <c r="AD163" s="2853"/>
      <c r="AE163" s="909"/>
      <c r="AF163" s="909"/>
      <c r="AG163" s="909"/>
      <c r="AH163" s="909"/>
      <c r="AI163" s="909"/>
      <c r="AJ163" s="909"/>
      <c r="AK163" s="909"/>
      <c r="AL163" s="909"/>
      <c r="AM163" s="992"/>
      <c r="AN163" s="979"/>
      <c r="AO163" s="990"/>
      <c r="AP163" s="986"/>
    </row>
    <row r="164" spans="1:73" s="922" customFormat="1" ht="12.75" customHeight="1">
      <c r="A164" s="909"/>
      <c r="B164" s="906"/>
      <c r="C164" s="991" t="s">
        <v>1518</v>
      </c>
      <c r="D164" s="991"/>
      <c r="E164" s="991"/>
      <c r="F164" s="991"/>
      <c r="G164" s="991"/>
      <c r="H164" s="991"/>
      <c r="I164" s="991"/>
      <c r="J164" s="991"/>
      <c r="K164" s="991"/>
      <c r="L164" s="991"/>
      <c r="M164" s="991"/>
      <c r="N164" s="991"/>
      <c r="O164" s="991"/>
      <c r="P164" s="991"/>
      <c r="Q164" s="991"/>
      <c r="R164" s="991"/>
      <c r="S164" s="991"/>
      <c r="T164" s="991"/>
      <c r="U164" s="991"/>
      <c r="V164" s="991"/>
      <c r="W164" s="991"/>
      <c r="X164" s="991"/>
      <c r="Y164" s="991"/>
      <c r="Z164" s="991"/>
      <c r="AA164" s="991"/>
      <c r="AB164" s="991"/>
      <c r="AC164" s="991"/>
      <c r="AD164" s="991"/>
      <c r="AE164" s="991"/>
      <c r="AF164" s="991"/>
      <c r="AG164" s="991"/>
      <c r="AH164" s="991"/>
      <c r="AI164" s="991"/>
      <c r="AJ164" s="991"/>
      <c r="AK164" s="991"/>
      <c r="AL164" s="909"/>
      <c r="AM164" s="994"/>
      <c r="AN164" s="979"/>
      <c r="AO164" s="993"/>
      <c r="AP164" s="993"/>
    </row>
    <row r="165" spans="1:73" s="922" customFormat="1" ht="12.75" customHeight="1">
      <c r="A165" s="909"/>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9"/>
      <c r="AF165" s="909"/>
      <c r="AG165" s="909"/>
      <c r="AH165" s="909"/>
      <c r="AI165" s="909"/>
      <c r="AJ165" s="909"/>
      <c r="AK165" s="909"/>
      <c r="AL165" s="909"/>
      <c r="AM165" s="994"/>
      <c r="AN165" s="979"/>
    </row>
    <row r="166" spans="1:73" s="922" customFormat="1" ht="12.75" customHeight="1">
      <c r="A166" s="906"/>
      <c r="B166" s="906"/>
      <c r="C166" s="967" t="s">
        <v>1528</v>
      </c>
      <c r="D166" s="995"/>
      <c r="E166" s="995"/>
      <c r="F166" s="995"/>
      <c r="G166" s="995"/>
      <c r="H166" s="995"/>
      <c r="I166" s="995"/>
      <c r="J166" s="995"/>
      <c r="K166" s="995"/>
      <c r="L166" s="995"/>
      <c r="M166" s="995"/>
      <c r="N166" s="995"/>
      <c r="O166" s="995"/>
      <c r="P166" s="995"/>
      <c r="Q166" s="995"/>
      <c r="R166" s="995"/>
      <c r="S166" s="995"/>
      <c r="T166" s="995"/>
      <c r="U166" s="995"/>
      <c r="V166" s="995"/>
      <c r="W166" s="995"/>
      <c r="X166" s="995"/>
      <c r="Y166" s="995"/>
      <c r="Z166" s="995"/>
      <c r="AA166" s="995"/>
      <c r="AB166" s="995"/>
      <c r="AC166" s="995"/>
      <c r="AD166" s="995"/>
      <c r="AE166" s="909"/>
      <c r="AF166" s="909"/>
      <c r="AG166" s="909"/>
      <c r="AH166" s="909"/>
      <c r="AI166" s="909"/>
      <c r="AJ166" s="909"/>
      <c r="AK166" s="909"/>
      <c r="AL166" s="909"/>
      <c r="AM166" s="992"/>
      <c r="AN166" s="979"/>
      <c r="AO166" s="983" t="s">
        <v>1514</v>
      </c>
      <c r="AP166" s="977"/>
    </row>
    <row r="167" spans="1:73" s="981" customFormat="1" ht="12.75" customHeight="1">
      <c r="A167" s="906"/>
      <c r="B167" s="906"/>
      <c r="C167" s="2852" t="s">
        <v>2768</v>
      </c>
      <c r="D167" s="2852"/>
      <c r="E167" s="2852"/>
      <c r="F167" s="2852"/>
      <c r="G167" s="2852"/>
      <c r="H167" s="2852"/>
      <c r="I167" s="2852"/>
      <c r="J167" s="2852"/>
      <c r="K167" s="2852"/>
      <c r="L167" s="2852"/>
      <c r="M167" s="2852"/>
      <c r="N167" s="2852"/>
      <c r="O167" s="2852"/>
      <c r="P167" s="2852"/>
      <c r="Q167" s="2852"/>
      <c r="R167" s="2852"/>
      <c r="S167" s="2852"/>
      <c r="T167" s="2852"/>
      <c r="U167" s="2852"/>
      <c r="V167" s="2852"/>
      <c r="W167" s="2852"/>
      <c r="X167" s="2852"/>
      <c r="Y167" s="2852"/>
      <c r="Z167" s="2852"/>
      <c r="AA167" s="2852"/>
      <c r="AB167" s="2852"/>
      <c r="AC167" s="2852"/>
      <c r="AD167" s="2852"/>
      <c r="AE167" s="909"/>
      <c r="AF167" s="909"/>
      <c r="AG167" s="909"/>
      <c r="AH167" s="909"/>
      <c r="AI167" s="909"/>
      <c r="AJ167" s="909"/>
      <c r="AK167" s="909"/>
      <c r="AL167" s="909"/>
      <c r="AM167" s="992"/>
      <c r="AN167" s="980"/>
      <c r="AO167" s="977" t="s">
        <v>1525</v>
      </c>
      <c r="AP167" s="986">
        <v>2</v>
      </c>
      <c r="AQ167" s="922"/>
      <c r="AR167" s="922"/>
      <c r="AS167" s="922"/>
    </row>
    <row r="168" spans="1:73" s="922" customFormat="1" ht="12.75" customHeight="1">
      <c r="A168" s="906"/>
      <c r="B168" s="906"/>
      <c r="C168" s="995"/>
      <c r="D168" s="995"/>
      <c r="E168" s="995"/>
      <c r="F168" s="995"/>
      <c r="G168" s="995"/>
      <c r="H168" s="995"/>
      <c r="I168" s="995"/>
      <c r="J168" s="995"/>
      <c r="K168" s="995"/>
      <c r="L168" s="995"/>
      <c r="M168" s="995"/>
      <c r="N168" s="995"/>
      <c r="O168" s="995"/>
      <c r="P168" s="995"/>
      <c r="Q168" s="995"/>
      <c r="R168" s="995"/>
      <c r="S168" s="995"/>
      <c r="T168" s="995"/>
      <c r="U168" s="995"/>
      <c r="V168" s="995"/>
      <c r="W168" s="995"/>
      <c r="X168" s="995"/>
      <c r="Y168" s="995"/>
      <c r="Z168" s="995"/>
      <c r="AA168" s="995"/>
      <c r="AB168" s="995"/>
      <c r="AC168" s="995"/>
      <c r="AD168" s="995"/>
      <c r="AE168" s="909"/>
      <c r="AF168" s="909"/>
      <c r="AG168" s="909"/>
      <c r="AH168" s="909"/>
      <c r="AI168" s="909"/>
      <c r="AJ168" s="909"/>
      <c r="AK168" s="909"/>
      <c r="AL168" s="909"/>
      <c r="AM168" s="992"/>
      <c r="AN168" s="979"/>
      <c r="AO168" s="977" t="s">
        <v>1527</v>
      </c>
      <c r="AP168" s="986">
        <v>3</v>
      </c>
    </row>
    <row r="169" spans="1:73" s="922" customFormat="1" ht="12.75" customHeight="1">
      <c r="A169" s="996"/>
      <c r="B169" s="997"/>
      <c r="C169" s="997"/>
      <c r="D169" s="936"/>
      <c r="E169" s="997"/>
      <c r="F169" s="997"/>
      <c r="G169" s="997"/>
      <c r="H169" s="997"/>
      <c r="I169" s="997"/>
      <c r="J169" s="997"/>
      <c r="K169" s="997"/>
      <c r="L169" s="997"/>
      <c r="M169" s="997"/>
      <c r="N169" s="997"/>
      <c r="O169" s="997"/>
      <c r="P169" s="997"/>
      <c r="Q169" s="998"/>
      <c r="R169" s="999"/>
      <c r="S169" s="997"/>
      <c r="T169" s="997"/>
      <c r="U169" s="997"/>
      <c r="V169" s="997"/>
      <c r="W169" s="997"/>
      <c r="X169" s="997"/>
      <c r="Y169" s="997"/>
      <c r="Z169" s="997"/>
      <c r="AA169" s="997"/>
      <c r="AB169" s="997"/>
      <c r="AC169" s="997"/>
      <c r="AD169" s="997"/>
      <c r="AE169" s="997"/>
      <c r="AF169" s="997"/>
      <c r="AG169" s="997"/>
      <c r="AH169" s="997"/>
      <c r="AI169" s="938" t="s">
        <v>1529</v>
      </c>
      <c r="AJ169" s="2710">
        <f>IF($AC$161="N/A",VLOOKUP($C$159,$AO$159:$AP$162,2,FALSE),VLOOKUP($C$163,$AO$166:$AP$168,2,FALSE))</f>
        <v>3</v>
      </c>
      <c r="AK169" s="2710"/>
      <c r="AL169" s="1000"/>
      <c r="AM169" s="1001"/>
      <c r="AN169" s="979"/>
      <c r="AO169" s="990"/>
      <c r="AP169" s="986"/>
    </row>
    <row r="170" spans="1:73" s="922" customFormat="1" ht="12.75" customHeight="1">
      <c r="A170" s="1002"/>
      <c r="B170" s="1003"/>
      <c r="D170" s="1004"/>
      <c r="E170" s="1004"/>
      <c r="F170" s="1004"/>
      <c r="G170" s="1004"/>
      <c r="H170" s="1004"/>
      <c r="I170" s="1004"/>
      <c r="J170" s="1004"/>
      <c r="K170" s="1004"/>
      <c r="L170" s="1004"/>
      <c r="M170" s="1004"/>
      <c r="N170" s="1004"/>
      <c r="R170" s="1002"/>
      <c r="S170" s="1003"/>
      <c r="U170" s="1004"/>
      <c r="V170" s="1004"/>
      <c r="W170" s="1004"/>
      <c r="X170" s="1004"/>
      <c r="Y170" s="1004"/>
      <c r="Z170" s="1004"/>
      <c r="AA170" s="1004"/>
      <c r="AB170" s="1004"/>
      <c r="AC170" s="1004"/>
      <c r="AD170" s="1004"/>
      <c r="AE170" s="1004"/>
      <c r="AK170" s="1005"/>
      <c r="AL170" s="1005"/>
      <c r="AM170" s="1005"/>
      <c r="AN170" s="979"/>
    </row>
    <row r="171" spans="1:73" s="922" customFormat="1" ht="12.75" customHeight="1">
      <c r="A171" s="1007"/>
      <c r="B171" s="1006"/>
      <c r="C171" s="1006"/>
      <c r="D171" s="1006"/>
      <c r="E171" s="1006"/>
      <c r="F171" s="1006"/>
      <c r="G171" s="1006"/>
      <c r="H171" s="1006"/>
      <c r="I171" s="1006"/>
      <c r="J171" s="1006"/>
      <c r="K171" s="1006"/>
      <c r="L171" s="1006"/>
      <c r="M171" s="1006"/>
      <c r="N171" s="1006"/>
      <c r="O171" s="1006"/>
      <c r="P171" s="1006"/>
      <c r="Q171" s="1006"/>
      <c r="R171" s="1006"/>
      <c r="S171" s="1006"/>
      <c r="T171" s="1006"/>
      <c r="U171" s="1006"/>
      <c r="V171" s="1006"/>
      <c r="W171" s="1006"/>
      <c r="X171" s="1006"/>
      <c r="Y171" s="1006"/>
      <c r="Z171" s="1006"/>
      <c r="AA171" s="1006"/>
      <c r="AB171" s="1006"/>
      <c r="AC171" s="1006"/>
      <c r="AD171" s="1006"/>
      <c r="AE171" s="1006"/>
      <c r="AF171" s="1006"/>
      <c r="AG171" s="1006"/>
      <c r="AH171" s="1006"/>
      <c r="AI171" s="1006"/>
      <c r="AJ171" s="1006"/>
      <c r="AK171" s="1006"/>
      <c r="AL171" s="1006"/>
      <c r="AM171" s="1006"/>
      <c r="AN171" s="979"/>
    </row>
    <row r="172" spans="1:73" s="922" customFormat="1" ht="12.75" customHeight="1">
      <c r="A172" s="934"/>
      <c r="B172" s="935"/>
      <c r="C172" s="935"/>
      <c r="D172" s="935"/>
      <c r="E172" s="935"/>
      <c r="F172" s="935"/>
      <c r="G172" s="936"/>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8"/>
      <c r="AJ172" s="938" t="s">
        <v>1530</v>
      </c>
      <c r="AK172" s="2847">
        <f>$AJ$155+$AJ$169</f>
        <v>10</v>
      </c>
      <c r="AL172" s="2848"/>
      <c r="AM172" s="2849"/>
      <c r="AN172" s="979"/>
    </row>
    <row r="173" spans="1:73" s="922" customFormat="1" ht="12.75" customHeight="1" thickBot="1">
      <c r="A173" s="939"/>
      <c r="B173" s="940"/>
      <c r="C173" s="941"/>
      <c r="D173" s="941"/>
      <c r="E173" s="941"/>
      <c r="F173" s="941"/>
      <c r="G173" s="941"/>
      <c r="H173" s="941"/>
      <c r="I173" s="941"/>
      <c r="J173" s="941"/>
      <c r="K173" s="941"/>
      <c r="L173" s="941"/>
      <c r="M173" s="941"/>
      <c r="N173" s="941"/>
      <c r="O173" s="941"/>
      <c r="P173" s="941"/>
      <c r="Q173" s="941"/>
      <c r="R173" s="941"/>
      <c r="S173" s="941"/>
      <c r="T173" s="941"/>
      <c r="U173" s="941"/>
      <c r="V173" s="941"/>
      <c r="W173" s="941"/>
      <c r="X173" s="941"/>
      <c r="Y173" s="941"/>
      <c r="Z173" s="941"/>
      <c r="AA173" s="941"/>
      <c r="AB173" s="941"/>
      <c r="AC173" s="941"/>
      <c r="AD173" s="941"/>
      <c r="AE173" s="941"/>
      <c r="AF173" s="941"/>
      <c r="AG173" s="941"/>
      <c r="AH173" s="941"/>
      <c r="AI173" s="941"/>
      <c r="AJ173" s="941"/>
      <c r="AK173" s="941"/>
      <c r="AL173" s="941"/>
      <c r="AM173" s="942"/>
      <c r="AN173" s="979"/>
      <c r="AO173" s="941"/>
      <c r="AR173" s="941"/>
      <c r="AS173" s="941"/>
      <c r="AT173" s="941"/>
      <c r="AU173" s="941"/>
      <c r="AV173" s="941"/>
      <c r="AW173" s="941"/>
      <c r="AX173" s="941"/>
      <c r="AY173" s="941"/>
      <c r="AZ173" s="941"/>
      <c r="BA173" s="941"/>
      <c r="BB173" s="941"/>
      <c r="BC173" s="941"/>
      <c r="BD173" s="941"/>
      <c r="BE173" s="941"/>
      <c r="BF173" s="941"/>
      <c r="BG173" s="941"/>
      <c r="BH173" s="941"/>
      <c r="BI173" s="941"/>
      <c r="BJ173" s="941"/>
      <c r="BK173" s="941"/>
      <c r="BL173" s="941"/>
      <c r="BM173" s="941"/>
      <c r="BN173" s="941"/>
      <c r="BO173" s="941"/>
      <c r="BP173" s="941"/>
      <c r="BQ173" s="941"/>
      <c r="BR173" s="941"/>
      <c r="BS173" s="941"/>
      <c r="BT173" s="941"/>
      <c r="BU173" s="941"/>
    </row>
    <row r="174" spans="1:73" s="922" customFormat="1" ht="12.75" customHeight="1" thickTop="1">
      <c r="A174" s="943"/>
      <c r="B174" s="944"/>
      <c r="C174" s="945"/>
      <c r="D174" s="945"/>
      <c r="E174" s="945"/>
      <c r="F174" s="945"/>
      <c r="G174" s="945"/>
      <c r="H174" s="945"/>
      <c r="I174" s="946"/>
      <c r="J174" s="946"/>
      <c r="K174" s="946"/>
      <c r="L174" s="946"/>
      <c r="M174" s="946"/>
      <c r="N174" s="946"/>
      <c r="O174" s="946"/>
      <c r="P174" s="946"/>
      <c r="Q174" s="946"/>
      <c r="R174" s="943"/>
      <c r="S174" s="911"/>
      <c r="T174" s="911"/>
      <c r="U174" s="911"/>
      <c r="V174" s="911"/>
      <c r="W174" s="911"/>
      <c r="X174" s="911"/>
      <c r="Y174" s="911"/>
      <c r="Z174" s="911"/>
      <c r="AA174" s="911"/>
      <c r="AB174" s="911"/>
      <c r="AC174" s="911"/>
      <c r="AD174" s="911"/>
      <c r="AE174" s="911"/>
      <c r="AF174" s="943"/>
      <c r="AG174" s="911"/>
      <c r="AH174" s="911"/>
      <c r="AI174" s="911"/>
      <c r="AJ174" s="911"/>
      <c r="AN174" s="979"/>
      <c r="AP174" s="1008" t="s">
        <v>1531</v>
      </c>
      <c r="AQ174" s="1009">
        <v>0</v>
      </c>
    </row>
    <row r="175" spans="1:73" s="922" customFormat="1" ht="12.75" customHeight="1">
      <c r="A175" s="967" t="s">
        <v>1532</v>
      </c>
      <c r="B175" s="967" t="s">
        <v>1981</v>
      </c>
      <c r="C175" s="1010"/>
      <c r="D175" s="1011"/>
      <c r="E175" s="1011"/>
      <c r="F175" s="1011"/>
      <c r="G175" s="1011"/>
      <c r="H175" s="1011"/>
      <c r="I175" s="1011"/>
      <c r="J175" s="1011"/>
      <c r="K175" s="906"/>
      <c r="L175" s="906"/>
      <c r="M175" s="906"/>
      <c r="N175" s="906"/>
      <c r="O175" s="906"/>
      <c r="P175" s="906"/>
      <c r="Q175" s="906"/>
      <c r="R175" s="906"/>
      <c r="S175" s="906"/>
      <c r="T175" s="906"/>
      <c r="U175" s="906"/>
      <c r="V175" s="906"/>
      <c r="W175" s="906"/>
      <c r="X175" s="906"/>
      <c r="Y175" s="1012"/>
      <c r="Z175" s="1012"/>
      <c r="AA175" s="1012"/>
      <c r="AB175" s="1012"/>
      <c r="AC175" s="906"/>
      <c r="AD175" s="906"/>
      <c r="AE175" s="2680" t="s">
        <v>1485</v>
      </c>
      <c r="AF175" s="2680"/>
      <c r="AG175" s="2680"/>
      <c r="AH175" s="2680"/>
      <c r="AI175" s="2680"/>
      <c r="AJ175" s="2680"/>
      <c r="AK175" s="2680"/>
      <c r="AL175" s="1441"/>
      <c r="AM175" s="1005"/>
      <c r="AN175" s="979"/>
      <c r="AP175" s="981" t="s">
        <v>1101</v>
      </c>
      <c r="AQ175" s="981">
        <v>10</v>
      </c>
    </row>
    <row r="176" spans="1:73" s="922" customFormat="1" ht="12.75" customHeight="1">
      <c r="A176" s="967"/>
      <c r="B176" s="1014"/>
      <c r="C176" s="1015"/>
      <c r="D176" s="1011"/>
      <c r="E176" s="1011"/>
      <c r="F176" s="1011"/>
      <c r="G176" s="1011"/>
      <c r="H176" s="906"/>
      <c r="I176" s="906"/>
      <c r="J176" s="906"/>
      <c r="K176" s="906"/>
      <c r="L176" s="906"/>
      <c r="M176" s="906"/>
      <c r="N176" s="906"/>
      <c r="O176" s="906"/>
      <c r="P176" s="906"/>
      <c r="Q176" s="906"/>
      <c r="R176" s="1012"/>
      <c r="S176" s="1012"/>
      <c r="T176" s="1012"/>
      <c r="U176" s="1012"/>
      <c r="V176" s="1012"/>
      <c r="W176" s="1012"/>
      <c r="X176" s="1012"/>
      <c r="Y176" s="1012"/>
      <c r="Z176" s="1012"/>
      <c r="AA176" s="1012"/>
      <c r="AB176" s="1012"/>
      <c r="AC176" s="1441"/>
      <c r="AD176" s="1441"/>
      <c r="AE176" s="906"/>
      <c r="AF176" s="906"/>
      <c r="AG176" s="906"/>
      <c r="AH176" s="906"/>
      <c r="AI176" s="906"/>
      <c r="AJ176" s="906"/>
      <c r="AK176" s="906"/>
      <c r="AL176" s="906"/>
      <c r="AM176" s="1005"/>
      <c r="AN176" s="979"/>
      <c r="AP176" s="922" t="s">
        <v>1533</v>
      </c>
      <c r="AQ176" s="922">
        <v>10</v>
      </c>
    </row>
    <row r="177" spans="1:45" s="922" customFormat="1" ht="12.75" customHeight="1">
      <c r="A177" s="906"/>
      <c r="B177" s="2850" t="s">
        <v>1533</v>
      </c>
      <c r="C177" s="2850"/>
      <c r="D177" s="2850"/>
      <c r="E177" s="2850"/>
      <c r="F177" s="2850"/>
      <c r="G177" s="2850"/>
      <c r="H177" s="2850"/>
      <c r="I177" s="2850"/>
      <c r="J177" s="2850"/>
      <c r="K177" s="2850"/>
      <c r="L177" s="2850"/>
      <c r="M177" s="2850"/>
      <c r="N177" s="2850"/>
      <c r="O177" s="2850"/>
      <c r="P177" s="2850"/>
      <c r="Q177" s="2850"/>
      <c r="R177" s="2850"/>
      <c r="S177" s="2850"/>
      <c r="T177" s="2850"/>
      <c r="U177" s="2850"/>
      <c r="V177" s="2850"/>
      <c r="W177" s="2850"/>
      <c r="X177" s="2850"/>
      <c r="Y177" s="2850"/>
      <c r="Z177" s="2850"/>
      <c r="AA177" s="2850"/>
      <c r="AB177" s="2850"/>
      <c r="AC177" s="2850"/>
      <c r="AD177" s="1002"/>
      <c r="AE177" s="1002"/>
      <c r="AF177" s="2751" t="s">
        <v>1534</v>
      </c>
      <c r="AG177" s="2751"/>
      <c r="AH177" s="2751"/>
      <c r="AI177" s="2751"/>
      <c r="AJ177" s="2751"/>
      <c r="AK177" s="2751"/>
      <c r="AL177" s="2751"/>
      <c r="AN177" s="979"/>
      <c r="AP177" s="922" t="s">
        <v>1103</v>
      </c>
      <c r="AQ177" s="922">
        <v>10</v>
      </c>
    </row>
    <row r="178" spans="1:45" s="922" customFormat="1" ht="12.75" customHeight="1">
      <c r="A178" s="906"/>
      <c r="B178" s="2851" t="s">
        <v>1980</v>
      </c>
      <c r="C178" s="2851"/>
      <c r="D178" s="2851"/>
      <c r="E178" s="2851"/>
      <c r="F178" s="2851"/>
      <c r="G178" s="2851"/>
      <c r="H178" s="2851"/>
      <c r="I178" s="2851"/>
      <c r="J178" s="2851"/>
      <c r="K178" s="2851"/>
      <c r="L178" s="2851"/>
      <c r="M178" s="2851"/>
      <c r="N178" s="2851"/>
      <c r="O178" s="2851"/>
      <c r="P178" s="2851"/>
      <c r="Q178" s="2851"/>
      <c r="R178" s="2851"/>
      <c r="S178" s="2851"/>
      <c r="T178" s="2852" t="s">
        <v>600</v>
      </c>
      <c r="U178" s="2852"/>
      <c r="V178" s="2852"/>
      <c r="W178" s="2852"/>
      <c r="X178" s="2852"/>
      <c r="Y178" s="2852"/>
      <c r="Z178" s="2852"/>
      <c r="AA178" s="2852"/>
      <c r="AB178" s="2852"/>
      <c r="AC178" s="2852"/>
      <c r="AD178" s="985"/>
      <c r="AE178" s="985"/>
      <c r="AF178" s="985"/>
      <c r="AG178" s="985"/>
      <c r="AH178" s="985"/>
      <c r="AI178" s="985"/>
      <c r="AJ178" s="1633"/>
      <c r="AK178" s="984"/>
      <c r="AL178" s="984"/>
      <c r="AM178" s="984"/>
      <c r="AN178" s="979"/>
      <c r="AP178" s="922" t="s">
        <v>1535</v>
      </c>
      <c r="AQ178" s="922">
        <v>10</v>
      </c>
      <c r="AS178" s="922" t="s">
        <v>600</v>
      </c>
    </row>
    <row r="179" spans="1:45" s="1005" customFormat="1" ht="12.75" customHeight="1">
      <c r="A179" s="985"/>
      <c r="B179" s="995"/>
      <c r="C179" s="995"/>
      <c r="D179" s="995"/>
      <c r="E179" s="995"/>
      <c r="F179" s="995"/>
      <c r="G179" s="995"/>
      <c r="H179" s="995"/>
      <c r="I179" s="995"/>
      <c r="J179" s="995"/>
      <c r="K179" s="995"/>
      <c r="L179" s="995"/>
      <c r="M179" s="995"/>
      <c r="N179" s="995"/>
      <c r="O179" s="995"/>
      <c r="P179" s="995"/>
      <c r="Q179" s="995"/>
      <c r="R179" s="995"/>
      <c r="S179" s="995"/>
      <c r="T179" s="995"/>
      <c r="U179" s="995"/>
      <c r="V179" s="995"/>
      <c r="W179" s="995"/>
      <c r="X179" s="995"/>
      <c r="Y179" s="995"/>
      <c r="Z179" s="995"/>
      <c r="AA179" s="995"/>
      <c r="AB179" s="995"/>
      <c r="AC179" s="995"/>
      <c r="AD179" s="995"/>
      <c r="AE179" s="985"/>
      <c r="AF179" s="985"/>
      <c r="AG179" s="985"/>
      <c r="AH179" s="985"/>
      <c r="AI179" s="985"/>
      <c r="AJ179" s="1623"/>
      <c r="AK179" s="984"/>
      <c r="AL179" s="984"/>
      <c r="AM179" s="1017"/>
      <c r="AP179" s="922" t="s">
        <v>1538</v>
      </c>
      <c r="AQ179" s="922">
        <v>10</v>
      </c>
      <c r="AS179" s="922" t="s">
        <v>1536</v>
      </c>
    </row>
    <row r="180" spans="1:45" s="922" customFormat="1" ht="12.75" customHeight="1">
      <c r="A180" s="996"/>
      <c r="B180" s="997"/>
      <c r="C180" s="997"/>
      <c r="D180" s="997"/>
      <c r="E180" s="997"/>
      <c r="F180" s="997"/>
      <c r="G180" s="997"/>
      <c r="H180" s="997"/>
      <c r="I180" s="997"/>
      <c r="J180" s="997"/>
      <c r="K180" s="997"/>
      <c r="L180" s="997"/>
      <c r="M180" s="997"/>
      <c r="N180" s="997"/>
      <c r="O180" s="997"/>
      <c r="P180" s="997"/>
      <c r="Q180" s="997"/>
      <c r="R180" s="997"/>
      <c r="S180" s="997"/>
      <c r="T180" s="997"/>
      <c r="U180" s="997"/>
      <c r="V180" s="997"/>
      <c r="W180" s="997"/>
      <c r="X180" s="997"/>
      <c r="Y180" s="997"/>
      <c r="Z180" s="997"/>
      <c r="AA180" s="997"/>
      <c r="AB180" s="997"/>
      <c r="AC180" s="997"/>
      <c r="AD180" s="997"/>
      <c r="AE180" s="997"/>
      <c r="AF180" s="997"/>
      <c r="AG180" s="997"/>
      <c r="AH180" s="997"/>
      <c r="AI180" s="938"/>
      <c r="AJ180" s="938" t="s">
        <v>1537</v>
      </c>
      <c r="AK180" s="2674">
        <f>IF(AK78&gt;0,VLOOKUP($B$177,AP174:AQ180,2,FALSE),0)</f>
        <v>10</v>
      </c>
      <c r="AL180" s="2675"/>
      <c r="AM180" s="2676"/>
      <c r="AN180" s="1018"/>
      <c r="AP180" s="981" t="s">
        <v>1540</v>
      </c>
      <c r="AQ180" s="981">
        <v>10</v>
      </c>
      <c r="AS180" s="922" t="s">
        <v>1539</v>
      </c>
    </row>
    <row r="181" spans="1:45" s="922" customFormat="1" ht="12.75" customHeight="1" thickBot="1">
      <c r="A181" s="1019"/>
      <c r="B181" s="1019"/>
      <c r="C181" s="1020"/>
      <c r="D181" s="1021"/>
      <c r="E181" s="1021"/>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3"/>
      <c r="AK181" s="1023"/>
      <c r="AL181" s="1023"/>
      <c r="AM181" s="1023"/>
      <c r="AN181" s="979"/>
    </row>
    <row r="182" spans="1:45" s="922" customFormat="1" ht="12.75" customHeight="1" thickTop="1">
      <c r="A182" s="943"/>
      <c r="B182" s="944"/>
      <c r="C182" s="945"/>
      <c r="D182" s="945"/>
      <c r="E182" s="945"/>
      <c r="F182" s="945"/>
      <c r="G182" s="945"/>
      <c r="H182" s="945"/>
      <c r="I182" s="946"/>
      <c r="J182" s="946"/>
      <c r="K182" s="946"/>
      <c r="L182" s="946"/>
      <c r="M182" s="946"/>
      <c r="N182" s="946"/>
      <c r="O182" s="946"/>
      <c r="P182" s="946"/>
      <c r="Q182" s="946"/>
      <c r="R182" s="943"/>
      <c r="S182" s="911"/>
      <c r="T182" s="911"/>
      <c r="U182" s="911"/>
      <c r="V182" s="911"/>
      <c r="W182" s="911"/>
      <c r="X182" s="911"/>
      <c r="Y182" s="911"/>
      <c r="Z182" s="911"/>
      <c r="AA182" s="911"/>
      <c r="AB182" s="911"/>
      <c r="AC182" s="911"/>
      <c r="AD182" s="911"/>
      <c r="AE182" s="911"/>
      <c r="AF182" s="943"/>
      <c r="AG182" s="911"/>
      <c r="AH182" s="911"/>
      <c r="AI182" s="911"/>
      <c r="AJ182" s="911"/>
      <c r="AM182" s="1004"/>
      <c r="AN182" s="979"/>
    </row>
    <row r="183" spans="1:45">
      <c r="A183" s="967" t="s">
        <v>1541</v>
      </c>
      <c r="B183" s="967" t="s">
        <v>1542</v>
      </c>
      <c r="C183" s="1010"/>
      <c r="D183" s="1011"/>
      <c r="E183" s="1011"/>
      <c r="F183" s="1011"/>
      <c r="G183" s="1011"/>
      <c r="H183" s="1011"/>
      <c r="I183" s="1011"/>
      <c r="J183" s="1011"/>
      <c r="K183" s="922"/>
      <c r="L183" s="922"/>
      <c r="M183" s="922"/>
      <c r="N183" s="922"/>
      <c r="O183" s="922"/>
      <c r="P183" s="922"/>
      <c r="Q183" s="922"/>
      <c r="R183" s="922"/>
      <c r="S183" s="922"/>
      <c r="T183" s="922"/>
      <c r="U183" s="922"/>
      <c r="V183" s="922"/>
      <c r="W183" s="922"/>
      <c r="X183" s="922"/>
      <c r="Y183" s="1012"/>
      <c r="Z183" s="1012"/>
      <c r="AA183" s="1012"/>
      <c r="AB183" s="1012"/>
      <c r="AC183" s="922"/>
      <c r="AD183" s="922"/>
      <c r="AE183" s="2680" t="s">
        <v>1543</v>
      </c>
      <c r="AF183" s="2680"/>
      <c r="AG183" s="2680"/>
      <c r="AH183" s="2680"/>
      <c r="AI183" s="2680"/>
      <c r="AJ183" s="2680"/>
      <c r="AK183" s="2680"/>
    </row>
    <row r="184" spans="1:45">
      <c r="A184" s="967"/>
      <c r="B184" s="967"/>
      <c r="C184" s="1010"/>
      <c r="D184" s="1011"/>
      <c r="E184" s="1011"/>
      <c r="F184" s="1011"/>
      <c r="G184" s="1011"/>
      <c r="H184" s="1011"/>
      <c r="I184" s="1011"/>
      <c r="J184" s="1011"/>
      <c r="K184" s="906"/>
      <c r="L184" s="906"/>
      <c r="M184" s="906"/>
      <c r="N184" s="906"/>
      <c r="O184" s="906"/>
      <c r="P184" s="906"/>
      <c r="Q184" s="906"/>
      <c r="R184" s="906"/>
      <c r="S184" s="906"/>
      <c r="T184" s="906"/>
      <c r="U184" s="906"/>
      <c r="V184" s="906"/>
      <c r="W184" s="906"/>
      <c r="X184" s="906"/>
      <c r="Y184" s="1012"/>
      <c r="Z184" s="1012"/>
      <c r="AA184" s="1012"/>
      <c r="AB184" s="1012"/>
      <c r="AC184" s="906"/>
      <c r="AD184" s="906"/>
      <c r="AE184" s="1016"/>
      <c r="AF184" s="1016"/>
      <c r="AG184" s="1016"/>
      <c r="AH184" s="1016"/>
      <c r="AI184" s="1016"/>
      <c r="AJ184" s="1016"/>
      <c r="AK184" s="1016"/>
    </row>
    <row r="185" spans="1:45">
      <c r="A185" s="967"/>
      <c r="B185" s="1337" t="s">
        <v>1765</v>
      </c>
      <c r="C185" s="1010"/>
      <c r="D185" s="1011"/>
      <c r="E185" s="1011"/>
      <c r="F185" s="1011"/>
      <c r="G185" s="1011"/>
      <c r="H185" s="1011"/>
      <c r="I185" s="1011"/>
      <c r="J185" s="1011"/>
      <c r="K185" s="906"/>
      <c r="L185" s="906"/>
      <c r="M185" s="906"/>
      <c r="N185" s="906"/>
      <c r="O185" s="906"/>
      <c r="P185" s="906"/>
      <c r="Q185" s="906"/>
      <c r="R185" s="906"/>
      <c r="S185" s="906"/>
      <c r="T185" s="906"/>
      <c r="U185" s="906"/>
      <c r="V185" s="906"/>
      <c r="W185" s="906"/>
      <c r="X185" s="906"/>
      <c r="Y185" s="1012"/>
      <c r="Z185" s="1012"/>
      <c r="AA185" s="1012"/>
      <c r="AB185" s="1012"/>
      <c r="AC185" s="906"/>
      <c r="AD185" s="906"/>
      <c r="AE185" s="1016"/>
      <c r="AF185" s="1016"/>
      <c r="AG185" s="1016"/>
      <c r="AH185" s="1016"/>
      <c r="AI185" s="1016"/>
      <c r="AJ185" s="1016"/>
      <c r="AK185" s="1016"/>
    </row>
    <row r="186" spans="1:45">
      <c r="A186" s="995"/>
      <c r="B186" s="112"/>
      <c r="C186" s="1085"/>
      <c r="D186" s="1313"/>
      <c r="E186" s="1313"/>
      <c r="F186" s="1313"/>
      <c r="G186" s="1313"/>
      <c r="H186" s="1313"/>
      <c r="I186" s="1313"/>
      <c r="J186" s="1313"/>
      <c r="K186" s="906"/>
      <c r="L186" s="906"/>
      <c r="M186" s="906"/>
      <c r="N186" s="906"/>
      <c r="O186" s="906"/>
      <c r="P186" s="906"/>
      <c r="Q186" s="906"/>
      <c r="R186" s="906"/>
      <c r="S186" s="906"/>
      <c r="T186" s="906"/>
      <c r="U186" s="906"/>
      <c r="V186" s="906"/>
      <c r="W186" s="906"/>
      <c r="X186" s="906"/>
      <c r="Y186" s="1059"/>
      <c r="Z186" s="1059"/>
      <c r="AA186" s="1059"/>
      <c r="AB186" s="1059"/>
      <c r="AC186" s="906"/>
      <c r="AD186" s="906"/>
      <c r="AE186" s="1003"/>
      <c r="AF186" s="1003"/>
      <c r="AG186" s="1003"/>
      <c r="AH186" s="1003"/>
      <c r="AI186" s="1003"/>
      <c r="AJ186" s="1003"/>
      <c r="AK186" s="1003"/>
    </row>
    <row r="187" spans="1:45">
      <c r="A187" s="995"/>
      <c r="B187" s="1338" t="s">
        <v>1801</v>
      </c>
      <c r="C187" s="1085"/>
      <c r="D187" s="1313"/>
      <c r="E187" s="1313"/>
      <c r="F187" s="1313"/>
      <c r="G187" s="1313"/>
      <c r="H187" s="1313"/>
      <c r="I187" s="1313"/>
      <c r="J187" s="1313"/>
      <c r="K187" s="906"/>
      <c r="L187" s="906"/>
      <c r="M187" s="906"/>
      <c r="N187" s="906"/>
      <c r="O187" s="906"/>
      <c r="P187" s="906"/>
      <c r="Q187" s="906"/>
      <c r="R187" s="906"/>
      <c r="S187" s="906"/>
      <c r="T187" s="906"/>
      <c r="U187" s="906"/>
      <c r="V187" s="906"/>
      <c r="W187" s="906"/>
      <c r="X187" s="906"/>
      <c r="Y187" s="1059"/>
      <c r="Z187" s="1059"/>
      <c r="AA187" s="1059"/>
      <c r="AB187" s="1059"/>
      <c r="AC187" s="906"/>
      <c r="AD187" s="906"/>
      <c r="AE187" s="1003"/>
      <c r="AF187" s="1003"/>
      <c r="AG187" s="1003"/>
      <c r="AH187" s="1003"/>
      <c r="AI187" s="1003"/>
      <c r="AJ187" s="1003"/>
      <c r="AK187" s="1003"/>
    </row>
    <row r="188" spans="1:45">
      <c r="A188" s="995"/>
      <c r="B188" s="1912" t="s">
        <v>2718</v>
      </c>
      <c r="C188" s="1912"/>
      <c r="D188" s="1912"/>
      <c r="E188" s="1912"/>
      <c r="F188" s="1912"/>
      <c r="G188" s="1912"/>
      <c r="H188" s="1912"/>
      <c r="I188" s="1912"/>
      <c r="J188" s="1912"/>
      <c r="K188" s="1912"/>
      <c r="L188" s="1912"/>
      <c r="M188" s="1912"/>
      <c r="N188" s="1912"/>
      <c r="O188" s="1912"/>
      <c r="P188" s="1912"/>
      <c r="Q188" s="1912"/>
      <c r="R188" s="1912"/>
      <c r="S188" s="1912"/>
      <c r="T188" s="1912"/>
      <c r="U188" s="1912"/>
      <c r="V188" s="1912"/>
      <c r="W188" s="1912"/>
      <c r="X188" s="1912"/>
      <c r="Y188" s="1912"/>
      <c r="Z188" s="1912"/>
      <c r="AA188" s="1912"/>
      <c r="AB188" s="1912"/>
      <c r="AC188" s="1339"/>
      <c r="AD188" s="2834">
        <f>Application!AO624</f>
        <v>6413275</v>
      </c>
      <c r="AE188" s="2834"/>
      <c r="AF188" s="2834"/>
      <c r="AG188" s="2834"/>
      <c r="AH188" s="2834"/>
      <c r="AI188" s="2834"/>
      <c r="AJ188" s="2834"/>
      <c r="AK188" s="1003"/>
    </row>
    <row r="189" spans="1:45">
      <c r="A189" s="995"/>
      <c r="B189" s="1912" t="s">
        <v>2720</v>
      </c>
      <c r="C189" s="1912"/>
      <c r="D189" s="1912"/>
      <c r="E189" s="1912"/>
      <c r="F189" s="1912"/>
      <c r="G189" s="1912"/>
      <c r="H189" s="1912"/>
      <c r="I189" s="1912"/>
      <c r="J189" s="1912"/>
      <c r="K189" s="1912"/>
      <c r="L189" s="1912"/>
      <c r="M189" s="1912"/>
      <c r="N189" s="1912"/>
      <c r="O189" s="1912"/>
      <c r="P189" s="1912"/>
      <c r="Q189" s="1912"/>
      <c r="R189" s="1912"/>
      <c r="S189" s="1912"/>
      <c r="T189" s="1912"/>
      <c r="U189" s="1912"/>
      <c r="V189" s="1912"/>
      <c r="W189" s="1912"/>
      <c r="X189" s="1912"/>
      <c r="Y189" s="1912"/>
      <c r="Z189" s="1912"/>
      <c r="AA189" s="1912"/>
      <c r="AB189" s="1912"/>
      <c r="AC189" s="1339"/>
      <c r="AD189" s="2834">
        <f>Application!AO625</f>
        <v>4004300</v>
      </c>
      <c r="AE189" s="2834"/>
      <c r="AF189" s="2834"/>
      <c r="AG189" s="2834"/>
      <c r="AH189" s="2834"/>
      <c r="AI189" s="2834"/>
      <c r="AJ189" s="2834"/>
      <c r="AK189" s="1003"/>
    </row>
    <row r="190" spans="1:45">
      <c r="A190" s="995"/>
      <c r="B190" s="2844" t="s">
        <v>2744</v>
      </c>
      <c r="C190" s="2844"/>
      <c r="D190" s="2844"/>
      <c r="E190" s="2844"/>
      <c r="F190" s="2844"/>
      <c r="G190" s="2844"/>
      <c r="H190" s="2844"/>
      <c r="I190" s="2844"/>
      <c r="J190" s="2844"/>
      <c r="K190" s="2844"/>
      <c r="L190" s="2844"/>
      <c r="M190" s="2844"/>
      <c r="N190" s="2844"/>
      <c r="O190" s="2844"/>
      <c r="P190" s="2844"/>
      <c r="Q190" s="2844"/>
      <c r="R190" s="2844"/>
      <c r="S190" s="2844"/>
      <c r="T190" s="2844"/>
      <c r="U190" s="2844"/>
      <c r="V190" s="2844"/>
      <c r="W190" s="2844"/>
      <c r="X190" s="2844"/>
      <c r="Y190" s="2844"/>
      <c r="Z190" s="2844"/>
      <c r="AA190" s="2844"/>
      <c r="AB190" s="2844"/>
      <c r="AC190" s="1339"/>
      <c r="AD190" s="2834">
        <f>Application!AO626</f>
        <v>1035000</v>
      </c>
      <c r="AE190" s="2834"/>
      <c r="AF190" s="2834"/>
      <c r="AG190" s="2834"/>
      <c r="AH190" s="2834"/>
      <c r="AI190" s="2834"/>
      <c r="AJ190" s="2834"/>
      <c r="AK190" s="1003"/>
    </row>
    <row r="191" spans="1:45">
      <c r="A191" s="995"/>
      <c r="B191" s="2844"/>
      <c r="C191" s="2844"/>
      <c r="D191" s="2844"/>
      <c r="E191" s="2844"/>
      <c r="F191" s="2844"/>
      <c r="G191" s="2844"/>
      <c r="H191" s="2844"/>
      <c r="I191" s="2844"/>
      <c r="J191" s="2844"/>
      <c r="K191" s="2844"/>
      <c r="L191" s="2844"/>
      <c r="M191" s="2844"/>
      <c r="N191" s="2844"/>
      <c r="O191" s="2844"/>
      <c r="P191" s="2844"/>
      <c r="Q191" s="2844"/>
      <c r="R191" s="2844"/>
      <c r="S191" s="2844"/>
      <c r="T191" s="2844"/>
      <c r="U191" s="2844"/>
      <c r="V191" s="2844"/>
      <c r="W191" s="2844"/>
      <c r="X191" s="2844"/>
      <c r="Y191" s="2844"/>
      <c r="Z191" s="2844"/>
      <c r="AA191" s="2844"/>
      <c r="AB191" s="2844"/>
      <c r="AC191" s="1339"/>
      <c r="AD191" s="2834"/>
      <c r="AE191" s="2834"/>
      <c r="AF191" s="2834"/>
      <c r="AG191" s="2834"/>
      <c r="AH191" s="2834"/>
      <c r="AI191" s="2834"/>
      <c r="AJ191" s="2834"/>
      <c r="AK191" s="1003"/>
    </row>
    <row r="192" spans="1:45">
      <c r="A192" s="995"/>
      <c r="B192" s="2844"/>
      <c r="C192" s="2844"/>
      <c r="D192" s="2844"/>
      <c r="E192" s="2844"/>
      <c r="F192" s="2844"/>
      <c r="G192" s="2844"/>
      <c r="H192" s="2844"/>
      <c r="I192" s="2844"/>
      <c r="J192" s="2844"/>
      <c r="K192" s="2844"/>
      <c r="L192" s="2844"/>
      <c r="M192" s="2844"/>
      <c r="N192" s="2844"/>
      <c r="O192" s="2844"/>
      <c r="P192" s="2844"/>
      <c r="Q192" s="2844"/>
      <c r="R192" s="2844"/>
      <c r="S192" s="2844"/>
      <c r="T192" s="2844"/>
      <c r="U192" s="2844"/>
      <c r="V192" s="2844"/>
      <c r="W192" s="2844"/>
      <c r="X192" s="2844"/>
      <c r="Y192" s="2844"/>
      <c r="Z192" s="2844"/>
      <c r="AA192" s="2844"/>
      <c r="AB192" s="2844"/>
      <c r="AC192" s="1339"/>
      <c r="AD192" s="2834"/>
      <c r="AE192" s="2834"/>
      <c r="AF192" s="2834"/>
      <c r="AG192" s="2834"/>
      <c r="AH192" s="2834"/>
      <c r="AI192" s="2834"/>
      <c r="AJ192" s="2834"/>
      <c r="AK192" s="1003"/>
    </row>
    <row r="193" spans="1:37">
      <c r="A193" s="995"/>
      <c r="B193" s="2844"/>
      <c r="C193" s="2844"/>
      <c r="D193" s="2844"/>
      <c r="E193" s="2844"/>
      <c r="F193" s="2844"/>
      <c r="G193" s="2844"/>
      <c r="H193" s="2844"/>
      <c r="I193" s="2844"/>
      <c r="J193" s="2844"/>
      <c r="K193" s="2844"/>
      <c r="L193" s="2844"/>
      <c r="M193" s="2844"/>
      <c r="N193" s="2844"/>
      <c r="O193" s="2844"/>
      <c r="P193" s="2844"/>
      <c r="Q193" s="2844"/>
      <c r="R193" s="2844"/>
      <c r="S193" s="2844"/>
      <c r="T193" s="2844"/>
      <c r="U193" s="2844"/>
      <c r="V193" s="2844"/>
      <c r="W193" s="2844"/>
      <c r="X193" s="2844"/>
      <c r="Y193" s="2844"/>
      <c r="Z193" s="2844"/>
      <c r="AA193" s="2844"/>
      <c r="AB193" s="2844"/>
      <c r="AC193" s="1339"/>
      <c r="AD193" s="2834"/>
      <c r="AE193" s="2834"/>
      <c r="AF193" s="2834"/>
      <c r="AG193" s="2834"/>
      <c r="AH193" s="2834"/>
      <c r="AI193" s="2834"/>
      <c r="AJ193" s="2834"/>
      <c r="AK193" s="1003"/>
    </row>
    <row r="194" spans="1:37">
      <c r="A194" s="995"/>
      <c r="B194" s="2844"/>
      <c r="C194" s="2844"/>
      <c r="D194" s="2844"/>
      <c r="E194" s="2844"/>
      <c r="F194" s="2844"/>
      <c r="G194" s="2844"/>
      <c r="H194" s="2844"/>
      <c r="I194" s="2844"/>
      <c r="J194" s="2844"/>
      <c r="K194" s="2844"/>
      <c r="L194" s="2844"/>
      <c r="M194" s="2844"/>
      <c r="N194" s="2844"/>
      <c r="O194" s="2844"/>
      <c r="P194" s="2844"/>
      <c r="Q194" s="2844"/>
      <c r="R194" s="2844"/>
      <c r="S194" s="2844"/>
      <c r="T194" s="2844"/>
      <c r="U194" s="2844"/>
      <c r="V194" s="2844"/>
      <c r="W194" s="2844"/>
      <c r="X194" s="2844"/>
      <c r="Y194" s="2844"/>
      <c r="Z194" s="2844"/>
      <c r="AA194" s="2844"/>
      <c r="AB194" s="2844"/>
      <c r="AC194" s="1339"/>
      <c r="AD194" s="2834"/>
      <c r="AE194" s="2834"/>
      <c r="AF194" s="2834"/>
      <c r="AG194" s="2834"/>
      <c r="AH194" s="2834"/>
      <c r="AI194" s="2834"/>
      <c r="AJ194" s="2834"/>
      <c r="AK194" s="1003"/>
    </row>
    <row r="195" spans="1:37">
      <c r="A195" s="995"/>
      <c r="B195" s="2844"/>
      <c r="C195" s="2844"/>
      <c r="D195" s="2844"/>
      <c r="E195" s="2844"/>
      <c r="F195" s="2844"/>
      <c r="G195" s="2844"/>
      <c r="H195" s="2844"/>
      <c r="I195" s="2844"/>
      <c r="J195" s="2844"/>
      <c r="K195" s="2844"/>
      <c r="L195" s="2844"/>
      <c r="M195" s="2844"/>
      <c r="N195" s="2844"/>
      <c r="O195" s="2844"/>
      <c r="P195" s="2844"/>
      <c r="Q195" s="2844"/>
      <c r="R195" s="2844"/>
      <c r="S195" s="2844"/>
      <c r="T195" s="2844"/>
      <c r="U195" s="2844"/>
      <c r="V195" s="2844"/>
      <c r="W195" s="2844"/>
      <c r="X195" s="2844"/>
      <c r="Y195" s="2844"/>
      <c r="Z195" s="2844"/>
      <c r="AA195" s="2844"/>
      <c r="AB195" s="2844"/>
      <c r="AC195" s="1339"/>
      <c r="AD195" s="2834"/>
      <c r="AE195" s="2834"/>
      <c r="AF195" s="2834"/>
      <c r="AG195" s="2834"/>
      <c r="AH195" s="2834"/>
      <c r="AI195" s="2834"/>
      <c r="AJ195" s="2834"/>
      <c r="AK195" s="1003"/>
    </row>
    <row r="196" spans="1:37">
      <c r="A196" s="995"/>
      <c r="B196" s="2844"/>
      <c r="C196" s="2844"/>
      <c r="D196" s="2844"/>
      <c r="E196" s="2844"/>
      <c r="F196" s="2844"/>
      <c r="G196" s="2844"/>
      <c r="H196" s="2844"/>
      <c r="I196" s="2844"/>
      <c r="J196" s="2844"/>
      <c r="K196" s="2844"/>
      <c r="L196" s="2844"/>
      <c r="M196" s="2844"/>
      <c r="N196" s="2844"/>
      <c r="O196" s="2844"/>
      <c r="P196" s="2844"/>
      <c r="Q196" s="2844"/>
      <c r="R196" s="2844"/>
      <c r="S196" s="2844"/>
      <c r="T196" s="2844"/>
      <c r="U196" s="2844"/>
      <c r="V196" s="2844"/>
      <c r="W196" s="2844"/>
      <c r="X196" s="2844"/>
      <c r="Y196" s="2844"/>
      <c r="Z196" s="2844"/>
      <c r="AA196" s="2844"/>
      <c r="AB196" s="2844"/>
      <c r="AC196" s="1339"/>
      <c r="AD196" s="2834"/>
      <c r="AE196" s="2834"/>
      <c r="AF196" s="2834"/>
      <c r="AG196" s="2834"/>
      <c r="AH196" s="2834"/>
      <c r="AI196" s="2834"/>
      <c r="AJ196" s="2834"/>
      <c r="AK196" s="1003"/>
    </row>
    <row r="197" spans="1:37">
      <c r="A197" s="995"/>
      <c r="B197" s="2844"/>
      <c r="C197" s="2844"/>
      <c r="D197" s="2844"/>
      <c r="E197" s="2844"/>
      <c r="F197" s="2844"/>
      <c r="G197" s="2844"/>
      <c r="H197" s="2844"/>
      <c r="I197" s="2844"/>
      <c r="J197" s="2844"/>
      <c r="K197" s="2844"/>
      <c r="L197" s="2844"/>
      <c r="M197" s="2844"/>
      <c r="N197" s="2844"/>
      <c r="O197" s="2844"/>
      <c r="P197" s="2844"/>
      <c r="Q197" s="2844"/>
      <c r="R197" s="2844"/>
      <c r="S197" s="2844"/>
      <c r="T197" s="2844"/>
      <c r="U197" s="2844"/>
      <c r="V197" s="2844"/>
      <c r="W197" s="2844"/>
      <c r="X197" s="2844"/>
      <c r="Y197" s="2844"/>
      <c r="Z197" s="2844"/>
      <c r="AA197" s="2844"/>
      <c r="AB197" s="2844"/>
      <c r="AC197" s="1339"/>
      <c r="AD197" s="2834"/>
      <c r="AE197" s="2834"/>
      <c r="AF197" s="2834"/>
      <c r="AG197" s="2834"/>
      <c r="AH197" s="2834"/>
      <c r="AI197" s="2834"/>
      <c r="AJ197" s="2834"/>
      <c r="AK197" s="1003"/>
    </row>
    <row r="198" spans="1:37">
      <c r="A198" s="995"/>
      <c r="B198" s="2697" t="s">
        <v>1803</v>
      </c>
      <c r="C198" s="2697"/>
      <c r="D198" s="2697"/>
      <c r="E198" s="2697"/>
      <c r="F198" s="2697"/>
      <c r="G198" s="2697"/>
      <c r="H198" s="2697"/>
      <c r="I198" s="2697"/>
      <c r="J198" s="2697"/>
      <c r="K198" s="2697"/>
      <c r="L198" s="2697"/>
      <c r="M198" s="2697"/>
      <c r="N198" s="2697"/>
      <c r="O198" s="2697"/>
      <c r="P198" s="2697"/>
      <c r="Q198" s="2697"/>
      <c r="R198" s="2697"/>
      <c r="S198" s="2697"/>
      <c r="T198" s="2697"/>
      <c r="U198" s="2697"/>
      <c r="V198" s="2697"/>
      <c r="W198" s="2697"/>
      <c r="X198" s="2697"/>
      <c r="Y198" s="2697"/>
      <c r="Z198" s="2697"/>
      <c r="AA198" s="2697"/>
      <c r="AB198" s="2697"/>
      <c r="AC198" s="906"/>
      <c r="AD198" s="2832">
        <f>AB249</f>
        <v>3723873.6127229542</v>
      </c>
      <c r="AE198" s="2832"/>
      <c r="AF198" s="2832"/>
      <c r="AG198" s="2832"/>
      <c r="AH198" s="2832"/>
      <c r="AI198" s="2832"/>
      <c r="AJ198" s="2832"/>
      <c r="AK198" s="1003"/>
    </row>
    <row r="199" spans="1:37">
      <c r="A199" s="995"/>
      <c r="B199" s="2695" t="s">
        <v>1766</v>
      </c>
      <c r="C199" s="2695"/>
      <c r="D199" s="2695"/>
      <c r="E199" s="2695"/>
      <c r="F199" s="2695"/>
      <c r="G199" s="2695"/>
      <c r="H199" s="2695"/>
      <c r="I199" s="2695"/>
      <c r="J199" s="2695"/>
      <c r="K199" s="2695"/>
      <c r="L199" s="2695"/>
      <c r="M199" s="2695"/>
      <c r="N199" s="2695"/>
      <c r="O199" s="2695"/>
      <c r="P199" s="2695"/>
      <c r="Q199" s="2695"/>
      <c r="R199" s="2695"/>
      <c r="S199" s="2695"/>
      <c r="T199" s="2695"/>
      <c r="U199" s="2695"/>
      <c r="V199" s="2695"/>
      <c r="W199" s="2695"/>
      <c r="X199" s="2695"/>
      <c r="Y199" s="2695"/>
      <c r="Z199" s="2695"/>
      <c r="AA199" s="2695"/>
      <c r="AB199" s="2695"/>
      <c r="AC199" s="1339"/>
      <c r="AD199" s="2833">
        <f>'Sources and Uses Budget'!B15</f>
        <v>0</v>
      </c>
      <c r="AE199" s="2833"/>
      <c r="AF199" s="2833"/>
      <c r="AG199" s="2833"/>
      <c r="AH199" s="2833"/>
      <c r="AI199" s="2833"/>
      <c r="AJ199" s="2833"/>
      <c r="AK199" s="1003"/>
    </row>
    <row r="200" spans="1:37">
      <c r="A200" s="995"/>
      <c r="B200" s="815"/>
      <c r="C200" s="815"/>
      <c r="D200" s="815"/>
      <c r="E200" s="815"/>
      <c r="F200" s="815"/>
      <c r="G200" s="815"/>
      <c r="H200" s="815"/>
      <c r="I200" s="815"/>
      <c r="J200" s="815"/>
      <c r="K200" s="815"/>
      <c r="L200" s="815"/>
      <c r="M200" s="815"/>
      <c r="N200" s="815"/>
      <c r="O200" s="815"/>
      <c r="P200" s="815"/>
      <c r="Q200" s="815"/>
      <c r="R200" s="815"/>
      <c r="S200" s="815"/>
      <c r="T200" s="815"/>
      <c r="U200" s="815"/>
      <c r="V200" s="815"/>
      <c r="W200" s="815"/>
      <c r="X200" s="815"/>
      <c r="Y200" s="815"/>
      <c r="Z200" s="815"/>
      <c r="AA200" s="815"/>
      <c r="AB200" s="1352" t="s">
        <v>932</v>
      </c>
      <c r="AC200" s="906"/>
      <c r="AD200" s="2838">
        <f>SUM(AD188:AJ198)-AD199</f>
        <v>15176448.612722954</v>
      </c>
      <c r="AE200" s="2838"/>
      <c r="AF200" s="2838"/>
      <c r="AG200" s="2838"/>
      <c r="AH200" s="2838"/>
      <c r="AI200" s="2838"/>
      <c r="AJ200" s="2838"/>
      <c r="AK200" s="1003"/>
    </row>
    <row r="201" spans="1:37">
      <c r="A201" s="995"/>
      <c r="B201" s="995"/>
      <c r="C201" s="1085"/>
      <c r="D201" s="1313"/>
      <c r="E201" s="1313"/>
      <c r="F201" s="1313"/>
      <c r="G201" s="1313"/>
      <c r="H201" s="1313"/>
      <c r="I201" s="1313"/>
      <c r="J201" s="1313"/>
      <c r="K201" s="906"/>
      <c r="L201" s="906"/>
      <c r="M201" s="906"/>
      <c r="N201" s="906"/>
      <c r="O201" s="906"/>
      <c r="P201" s="906"/>
      <c r="Q201" s="906"/>
      <c r="R201" s="906"/>
      <c r="S201" s="906"/>
      <c r="T201" s="906"/>
      <c r="U201" s="906"/>
      <c r="V201" s="906"/>
      <c r="W201" s="906"/>
      <c r="X201" s="906"/>
      <c r="Y201" s="1059"/>
      <c r="Z201" s="1059"/>
      <c r="AA201" s="1059"/>
      <c r="AB201" s="1059"/>
      <c r="AC201" s="906"/>
      <c r="AD201" s="906"/>
      <c r="AE201" s="1003"/>
      <c r="AF201" s="1003"/>
      <c r="AG201" s="1003"/>
      <c r="AH201" s="1003"/>
      <c r="AI201" s="1003"/>
      <c r="AJ201" s="1003"/>
      <c r="AK201" s="1003"/>
    </row>
    <row r="202" spans="1:37">
      <c r="A202" s="995"/>
      <c r="B202" s="1322" t="s">
        <v>1771</v>
      </c>
      <c r="C202" s="1085"/>
      <c r="D202" s="1313"/>
      <c r="E202" s="1313"/>
      <c r="F202" s="1313"/>
      <c r="G202" s="1313"/>
      <c r="H202" s="1313"/>
      <c r="I202" s="1313"/>
      <c r="J202" s="1313"/>
      <c r="K202" s="906"/>
      <c r="L202" s="906"/>
      <c r="M202" s="906"/>
      <c r="N202" s="906"/>
      <c r="O202" s="906"/>
      <c r="P202" s="906"/>
      <c r="Q202" s="906"/>
      <c r="R202" s="906"/>
      <c r="S202" s="906"/>
      <c r="T202" s="906"/>
      <c r="U202" s="906"/>
      <c r="V202" s="906"/>
      <c r="W202" s="906"/>
      <c r="X202" s="906"/>
      <c r="Y202" s="1059"/>
      <c r="Z202" s="1059"/>
      <c r="AA202" s="1059"/>
      <c r="AB202" s="1059"/>
      <c r="AC202" s="906"/>
      <c r="AD202" s="906"/>
      <c r="AE202" s="1003"/>
      <c r="AF202" s="1003"/>
      <c r="AG202" s="1003"/>
      <c r="AH202" s="1003"/>
      <c r="AI202" s="1003"/>
      <c r="AJ202" s="1003"/>
      <c r="AK202" s="1003"/>
    </row>
    <row r="203" spans="1:37">
      <c r="A203" s="995"/>
      <c r="B203" s="977" t="s">
        <v>1802</v>
      </c>
      <c r="C203" s="1085"/>
      <c r="D203" s="1313"/>
      <c r="E203" s="1313"/>
      <c r="F203" s="1313"/>
      <c r="G203" s="1313"/>
      <c r="H203" s="1313"/>
      <c r="I203" s="1313"/>
      <c r="J203" s="1313"/>
      <c r="K203" s="906"/>
      <c r="L203" s="906"/>
      <c r="M203" s="906"/>
      <c r="N203" s="906"/>
      <c r="O203" s="906"/>
      <c r="P203" s="906"/>
      <c r="Q203" s="906"/>
      <c r="R203" s="906"/>
      <c r="S203" s="906"/>
      <c r="T203" s="906"/>
      <c r="U203" s="906"/>
      <c r="V203" s="906"/>
      <c r="W203" s="906"/>
      <c r="X203" s="906"/>
      <c r="Y203" s="1059"/>
      <c r="Z203" s="1059"/>
      <c r="AA203" s="1059"/>
      <c r="AB203" s="1059"/>
      <c r="AC203" s="906"/>
      <c r="AD203" s="906"/>
      <c r="AE203" s="1003"/>
      <c r="AF203" s="1003"/>
      <c r="AG203" s="1003"/>
      <c r="AH203" s="1003"/>
      <c r="AI203" s="1003"/>
      <c r="AJ203" s="1003"/>
      <c r="AK203" s="1003"/>
    </row>
    <row r="204" spans="1:37">
      <c r="A204" s="1349"/>
      <c r="B204" s="1384" t="s">
        <v>1773</v>
      </c>
      <c r="C204" s="1385"/>
      <c r="D204" s="1386"/>
      <c r="E204" s="1386"/>
      <c r="F204" s="1386"/>
      <c r="G204" s="1386"/>
      <c r="H204" s="1386"/>
      <c r="I204" s="1386"/>
      <c r="J204" s="1386"/>
      <c r="K204" s="1387"/>
      <c r="L204" s="1387"/>
      <c r="M204" s="1387"/>
      <c r="N204" s="1387"/>
      <c r="O204" s="1387"/>
      <c r="P204" s="1387"/>
      <c r="Q204" s="1387"/>
      <c r="R204" s="1387"/>
      <c r="S204" s="1187"/>
      <c r="T204" s="1187"/>
      <c r="U204" s="1187"/>
      <c r="V204" s="1187"/>
      <c r="W204" s="1187"/>
      <c r="X204" s="1187"/>
      <c r="Y204" s="1314"/>
      <c r="Z204" s="1314"/>
      <c r="AA204" s="1314"/>
      <c r="AB204" s="1314"/>
      <c r="AC204" s="1187"/>
      <c r="AD204" s="1187"/>
      <c r="AE204" s="1315"/>
      <c r="AF204" s="1315"/>
      <c r="AG204" s="1315"/>
      <c r="AH204" s="1315"/>
      <c r="AI204" s="1315"/>
      <c r="AJ204" s="1316"/>
      <c r="AK204" s="1003"/>
    </row>
    <row r="205" spans="1:37">
      <c r="A205" s="1349"/>
      <c r="B205" s="1388" t="s">
        <v>1774</v>
      </c>
      <c r="C205" s="1389"/>
      <c r="D205" s="1390"/>
      <c r="E205" s="1390"/>
      <c r="F205" s="1390"/>
      <c r="G205" s="1390"/>
      <c r="H205" s="1390"/>
      <c r="I205" s="1390"/>
      <c r="J205" s="1390"/>
      <c r="K205" s="1391"/>
      <c r="L205" s="1391"/>
      <c r="M205" s="1391"/>
      <c r="N205" s="1391"/>
      <c r="O205" s="1391"/>
      <c r="P205" s="1391"/>
      <c r="Q205" s="1391"/>
      <c r="R205" s="1391"/>
      <c r="S205" s="970"/>
      <c r="T205" s="970"/>
      <c r="U205" s="970"/>
      <c r="V205" s="970"/>
      <c r="W205" s="970"/>
      <c r="X205" s="970"/>
      <c r="Y205" s="1059"/>
      <c r="Z205" s="1059"/>
      <c r="AA205" s="1059"/>
      <c r="AB205" s="1059"/>
      <c r="AC205" s="970"/>
      <c r="AD205" s="970"/>
      <c r="AE205" s="1003"/>
      <c r="AF205" s="1003"/>
      <c r="AG205" s="1003"/>
      <c r="AH205" s="1003"/>
      <c r="AI205" s="1003"/>
      <c r="AJ205" s="1317"/>
      <c r="AK205" s="1003"/>
    </row>
    <row r="206" spans="1:37">
      <c r="A206" s="1349"/>
      <c r="B206" s="1388" t="s">
        <v>2411</v>
      </c>
      <c r="C206" s="1389"/>
      <c r="D206" s="1390"/>
      <c r="E206" s="1390"/>
      <c r="F206" s="1390"/>
      <c r="G206" s="1390"/>
      <c r="H206" s="1390"/>
      <c r="I206" s="1390"/>
      <c r="J206" s="1390"/>
      <c r="K206" s="1391"/>
      <c r="L206" s="1391"/>
      <c r="M206" s="1391"/>
      <c r="N206" s="1391"/>
      <c r="O206" s="1391"/>
      <c r="P206" s="1391"/>
      <c r="Q206" s="1391"/>
      <c r="R206" s="1391"/>
      <c r="S206" s="970"/>
      <c r="T206" s="970"/>
      <c r="U206" s="970"/>
      <c r="V206" s="970"/>
      <c r="W206" s="970"/>
      <c r="X206" s="970"/>
      <c r="Y206" s="1059"/>
      <c r="Z206" s="1059"/>
      <c r="AA206" s="1059"/>
      <c r="AB206" s="1059"/>
      <c r="AC206" s="970"/>
      <c r="AD206" s="970"/>
      <c r="AE206" s="1003"/>
      <c r="AF206" s="1003"/>
      <c r="AG206" s="1003"/>
      <c r="AH206" s="1003"/>
      <c r="AI206" s="1003"/>
      <c r="AJ206" s="1317"/>
      <c r="AK206" s="1003"/>
    </row>
    <row r="207" spans="1:37">
      <c r="A207" s="1349"/>
      <c r="B207" s="1388" t="s">
        <v>1775</v>
      </c>
      <c r="C207" s="1389"/>
      <c r="D207" s="1390"/>
      <c r="E207" s="1390"/>
      <c r="F207" s="1390"/>
      <c r="G207" s="1390"/>
      <c r="H207" s="1390"/>
      <c r="I207" s="1390"/>
      <c r="J207" s="1390"/>
      <c r="K207" s="1391"/>
      <c r="L207" s="1391"/>
      <c r="M207" s="1391"/>
      <c r="N207" s="1391"/>
      <c r="O207" s="1391"/>
      <c r="P207" s="1391"/>
      <c r="Q207" s="1391"/>
      <c r="R207" s="1391"/>
      <c r="S207" s="970"/>
      <c r="T207" s="970"/>
      <c r="U207" s="970"/>
      <c r="V207" s="970"/>
      <c r="W207" s="970"/>
      <c r="X207" s="970"/>
      <c r="Y207" s="1059"/>
      <c r="Z207" s="1059"/>
      <c r="AA207" s="1059"/>
      <c r="AB207" s="1059"/>
      <c r="AC207" s="970"/>
      <c r="AD207" s="970"/>
      <c r="AE207" s="1003"/>
      <c r="AF207" s="1003"/>
      <c r="AG207" s="1003"/>
      <c r="AH207" s="1003"/>
      <c r="AI207" s="1003"/>
      <c r="AJ207" s="1317"/>
      <c r="AK207" s="1003"/>
    </row>
    <row r="208" spans="1:37">
      <c r="A208" s="1349"/>
      <c r="B208" s="1392" t="s">
        <v>1776</v>
      </c>
      <c r="C208" s="1389"/>
      <c r="D208" s="1390"/>
      <c r="E208" s="1390"/>
      <c r="F208" s="1390"/>
      <c r="G208" s="1390"/>
      <c r="H208" s="1390"/>
      <c r="I208" s="1390"/>
      <c r="J208" s="1390"/>
      <c r="K208" s="1391"/>
      <c r="L208" s="1391"/>
      <c r="M208" s="1391"/>
      <c r="N208" s="1391"/>
      <c r="O208" s="1391"/>
      <c r="P208" s="1391"/>
      <c r="Q208" s="1391"/>
      <c r="R208" s="1391"/>
      <c r="S208" s="970"/>
      <c r="T208" s="970"/>
      <c r="U208" s="970"/>
      <c r="V208" s="970"/>
      <c r="W208" s="970"/>
      <c r="X208" s="970"/>
      <c r="Y208" s="1059"/>
      <c r="Z208" s="1059"/>
      <c r="AA208" s="1059"/>
      <c r="AB208" s="1059"/>
      <c r="AC208" s="970"/>
      <c r="AD208" s="970"/>
      <c r="AE208" s="1003"/>
      <c r="AF208" s="1003"/>
      <c r="AG208" s="1003"/>
      <c r="AH208" s="1003"/>
      <c r="AI208" s="1003"/>
      <c r="AJ208" s="1317"/>
      <c r="AK208" s="1003"/>
    </row>
    <row r="209" spans="1:37">
      <c r="A209" s="1349"/>
      <c r="B209" s="1393" t="s">
        <v>1814</v>
      </c>
      <c r="C209" s="1394"/>
      <c r="D209" s="1395"/>
      <c r="E209" s="1395"/>
      <c r="F209" s="1395"/>
      <c r="G209" s="1395"/>
      <c r="H209" s="1395"/>
      <c r="I209" s="1395"/>
      <c r="J209" s="1395"/>
      <c r="K209" s="1396"/>
      <c r="L209" s="1396"/>
      <c r="M209" s="1396"/>
      <c r="N209" s="1396"/>
      <c r="O209" s="1396"/>
      <c r="P209" s="1396"/>
      <c r="Q209" s="1396"/>
      <c r="R209" s="1396"/>
      <c r="S209" s="1177"/>
      <c r="T209" s="1177"/>
      <c r="U209" s="1177"/>
      <c r="V209" s="1177"/>
      <c r="W209" s="1177"/>
      <c r="X209" s="1177"/>
      <c r="Y209" s="1318"/>
      <c r="Z209" s="1318"/>
      <c r="AA209" s="1318"/>
      <c r="AB209" s="1318"/>
      <c r="AC209" s="1177"/>
      <c r="AD209" s="1177"/>
      <c r="AE209" s="1319"/>
      <c r="AF209" s="1319"/>
      <c r="AG209" s="1319"/>
      <c r="AH209" s="1319"/>
      <c r="AI209" s="1319"/>
      <c r="AJ209" s="1320"/>
      <c r="AK209" s="1003"/>
    </row>
    <row r="210" spans="1:37">
      <c r="A210" s="995"/>
      <c r="B210" s="995"/>
      <c r="C210" s="1085"/>
      <c r="D210" s="1313"/>
      <c r="E210" s="1313"/>
      <c r="F210" s="1313"/>
      <c r="G210" s="1313"/>
      <c r="H210" s="1313"/>
      <c r="I210" s="1313"/>
      <c r="J210" s="1313"/>
      <c r="K210" s="906"/>
      <c r="L210" s="906"/>
      <c r="M210" s="906"/>
      <c r="N210" s="906"/>
      <c r="O210" s="906"/>
      <c r="P210" s="906"/>
      <c r="Q210" s="906"/>
      <c r="R210" s="906"/>
      <c r="S210" s="906"/>
      <c r="T210" s="906"/>
      <c r="U210" s="906"/>
      <c r="V210" s="906"/>
      <c r="W210" s="906"/>
      <c r="X210" s="906"/>
      <c r="Y210" s="1059"/>
      <c r="Z210" s="1059"/>
      <c r="AA210" s="1059"/>
      <c r="AB210" s="1059"/>
      <c r="AC210" s="906"/>
      <c r="AD210" s="906"/>
      <c r="AE210" s="1003"/>
      <c r="AF210" s="1003"/>
      <c r="AG210" s="1003"/>
      <c r="AH210" s="1003"/>
      <c r="AI210" s="1003"/>
      <c r="AJ210" s="1003"/>
      <c r="AK210" s="1003"/>
    </row>
    <row r="211" spans="1:37">
      <c r="A211" s="995"/>
      <c r="B211" s="1341"/>
      <c r="C211" s="973"/>
      <c r="D211" s="1342"/>
      <c r="E211" s="112"/>
      <c r="F211" s="112"/>
      <c r="G211" s="112"/>
      <c r="H211" s="112"/>
      <c r="I211" s="2859" t="s">
        <v>1783</v>
      </c>
      <c r="J211" s="2859"/>
      <c r="K211" s="2859"/>
      <c r="L211" s="970"/>
      <c r="M211" s="970"/>
      <c r="N211" s="970"/>
      <c r="O211" s="970"/>
      <c r="P211" s="970"/>
      <c r="Q211" s="970"/>
      <c r="R211" s="970"/>
      <c r="S211" s="970"/>
      <c r="T211" s="2657" t="s">
        <v>1777</v>
      </c>
      <c r="U211" s="2657"/>
      <c r="V211" s="2657"/>
      <c r="W211" s="2657"/>
      <c r="X211" s="2657"/>
      <c r="Y211" s="2657"/>
      <c r="Z211" s="1343"/>
      <c r="AA211" s="1344"/>
      <c r="AB211" s="2855" t="s">
        <v>1778</v>
      </c>
      <c r="AC211" s="2855"/>
      <c r="AD211" s="2855"/>
      <c r="AE211" s="2855"/>
      <c r="AF211" s="2855"/>
      <c r="AG211" s="2855"/>
      <c r="AH211" s="1313"/>
      <c r="AI211" s="1313"/>
      <c r="AJ211" s="1313"/>
      <c r="AK211" s="1003"/>
    </row>
    <row r="212" spans="1:37">
      <c r="A212" s="995"/>
      <c r="B212" s="2857" t="s">
        <v>1763</v>
      </c>
      <c r="C212" s="2857"/>
      <c r="D212" s="2857"/>
      <c r="E212" s="2857"/>
      <c r="F212" s="2857"/>
      <c r="G212" s="2857"/>
      <c r="I212" s="2858" t="s">
        <v>1784</v>
      </c>
      <c r="J212" s="2858"/>
      <c r="K212" s="2858"/>
      <c r="L212" s="1632"/>
      <c r="N212" s="2696" t="s">
        <v>1779</v>
      </c>
      <c r="O212" s="2696"/>
      <c r="P212" s="2696"/>
      <c r="Q212" s="2696"/>
      <c r="R212" s="2696"/>
      <c r="T212" s="2696" t="s">
        <v>1780</v>
      </c>
      <c r="U212" s="2696"/>
      <c r="V212" s="2696"/>
      <c r="W212" s="2696"/>
      <c r="X212" s="2696"/>
      <c r="Y212" s="2696"/>
      <c r="Z212" s="1345"/>
      <c r="AA212" s="1344"/>
      <c r="AB212" s="2699" t="s">
        <v>1781</v>
      </c>
      <c r="AC212" s="2699"/>
      <c r="AD212" s="2699"/>
      <c r="AE212" s="2699"/>
      <c r="AF212" s="2699"/>
      <c r="AG212" s="2699"/>
      <c r="AH212" s="1313"/>
      <c r="AI212" s="1313"/>
      <c r="AJ212" s="1313"/>
      <c r="AK212" s="1003"/>
    </row>
    <row r="213" spans="1:37">
      <c r="A213" s="995"/>
      <c r="B213" s="2698" t="s">
        <v>2769</v>
      </c>
      <c r="C213" s="2698"/>
      <c r="D213" s="2698"/>
      <c r="E213" s="2698"/>
      <c r="F213" s="2698"/>
      <c r="G213" s="2698"/>
      <c r="H213" s="1347"/>
      <c r="I213" s="2662">
        <v>25</v>
      </c>
      <c r="J213" s="2662"/>
      <c r="K213" s="2662"/>
      <c r="L213" s="1632"/>
      <c r="N213" s="2659">
        <v>495</v>
      </c>
      <c r="O213" s="2659"/>
      <c r="P213" s="2659"/>
      <c r="Q213" s="2659"/>
      <c r="R213" s="2659"/>
      <c r="T213" s="2658">
        <v>1537</v>
      </c>
      <c r="U213" s="2658"/>
      <c r="V213" s="2658"/>
      <c r="W213" s="2658"/>
      <c r="X213" s="2658"/>
      <c r="Y213" s="2658"/>
      <c r="Z213" s="1346"/>
      <c r="AA213" s="1346"/>
      <c r="AB213" s="2656">
        <f t="shared" ref="AB213:AB222" si="0">MAX(($T213-$N213)*$I213*12,0)</f>
        <v>312600</v>
      </c>
      <c r="AC213" s="2656"/>
      <c r="AD213" s="2656"/>
      <c r="AE213" s="2656"/>
      <c r="AF213" s="2656"/>
      <c r="AG213" s="2656"/>
      <c r="AH213" s="1313"/>
      <c r="AI213" s="1313"/>
      <c r="AJ213" s="1313"/>
      <c r="AK213" s="1003"/>
    </row>
    <row r="214" spans="1:37">
      <c r="A214" s="995"/>
      <c r="B214" s="2698" t="s">
        <v>2769</v>
      </c>
      <c r="C214" s="2698"/>
      <c r="D214" s="2698"/>
      <c r="E214" s="2698"/>
      <c r="F214" s="2698"/>
      <c r="G214" s="2698"/>
      <c r="I214" s="2662">
        <v>7</v>
      </c>
      <c r="J214" s="2662"/>
      <c r="K214" s="2662"/>
      <c r="L214" s="1632"/>
      <c r="N214" s="2659">
        <v>495</v>
      </c>
      <c r="O214" s="2659"/>
      <c r="P214" s="2659"/>
      <c r="Q214" s="2659"/>
      <c r="R214" s="2659"/>
      <c r="T214" s="2658">
        <v>1537</v>
      </c>
      <c r="U214" s="2658"/>
      <c r="V214" s="2658"/>
      <c r="W214" s="2658"/>
      <c r="X214" s="2658"/>
      <c r="Y214" s="2658"/>
      <c r="Z214" s="1346"/>
      <c r="AA214" s="1346"/>
      <c r="AB214" s="2656">
        <f t="shared" si="0"/>
        <v>87528</v>
      </c>
      <c r="AC214" s="2656"/>
      <c r="AD214" s="2656"/>
      <c r="AE214" s="2656"/>
      <c r="AF214" s="2656"/>
      <c r="AG214" s="2656"/>
      <c r="AH214" s="1313"/>
      <c r="AI214" s="1313"/>
      <c r="AJ214" s="1313"/>
      <c r="AK214" s="1003"/>
    </row>
    <row r="215" spans="1:37">
      <c r="A215" s="995"/>
      <c r="B215" s="2698" t="s">
        <v>1326</v>
      </c>
      <c r="C215" s="2698"/>
      <c r="D215" s="2698"/>
      <c r="E215" s="2698"/>
      <c r="F215" s="2698"/>
      <c r="G215" s="2698"/>
      <c r="I215" s="2662"/>
      <c r="J215" s="2662"/>
      <c r="K215" s="2662"/>
      <c r="L215" s="1632"/>
      <c r="N215" s="2659"/>
      <c r="O215" s="2659"/>
      <c r="P215" s="2659"/>
      <c r="Q215" s="2659"/>
      <c r="R215" s="2659"/>
      <c r="T215" s="2658"/>
      <c r="U215" s="2658"/>
      <c r="V215" s="2658"/>
      <c r="W215" s="2658"/>
      <c r="X215" s="2658"/>
      <c r="Y215" s="2658"/>
      <c r="Z215" s="1346"/>
      <c r="AA215" s="1346"/>
      <c r="AB215" s="2656">
        <f t="shared" si="0"/>
        <v>0</v>
      </c>
      <c r="AC215" s="2656"/>
      <c r="AD215" s="2656"/>
      <c r="AE215" s="2656"/>
      <c r="AF215" s="2656"/>
      <c r="AG215" s="2656"/>
      <c r="AH215" s="1313"/>
      <c r="AI215" s="1313"/>
      <c r="AJ215" s="1313"/>
      <c r="AK215" s="1003"/>
    </row>
    <row r="216" spans="1:37">
      <c r="A216" s="995"/>
      <c r="B216" s="2698" t="s">
        <v>1326</v>
      </c>
      <c r="C216" s="2698"/>
      <c r="D216" s="2698"/>
      <c r="E216" s="2698"/>
      <c r="F216" s="2698"/>
      <c r="G216" s="2698"/>
      <c r="I216" s="2662"/>
      <c r="J216" s="2662"/>
      <c r="K216" s="2662"/>
      <c r="L216" s="1632"/>
      <c r="N216" s="2659"/>
      <c r="O216" s="2659"/>
      <c r="P216" s="2659"/>
      <c r="Q216" s="2659"/>
      <c r="R216" s="2659"/>
      <c r="T216" s="2658"/>
      <c r="U216" s="2658"/>
      <c r="V216" s="2658"/>
      <c r="W216" s="2658"/>
      <c r="X216" s="2658"/>
      <c r="Y216" s="2658"/>
      <c r="Z216" s="1346"/>
      <c r="AA216" s="1346"/>
      <c r="AB216" s="2656">
        <f t="shared" si="0"/>
        <v>0</v>
      </c>
      <c r="AC216" s="2656"/>
      <c r="AD216" s="2656"/>
      <c r="AE216" s="2656"/>
      <c r="AF216" s="2656"/>
      <c r="AG216" s="2656"/>
      <c r="AH216" s="1313"/>
      <c r="AI216" s="1313"/>
      <c r="AJ216" s="1313"/>
      <c r="AK216" s="1003"/>
    </row>
    <row r="217" spans="1:37">
      <c r="A217" s="995"/>
      <c r="B217" s="2698" t="s">
        <v>1326</v>
      </c>
      <c r="C217" s="2698"/>
      <c r="D217" s="2698"/>
      <c r="E217" s="2698"/>
      <c r="F217" s="2698"/>
      <c r="G217" s="2698"/>
      <c r="I217" s="2662"/>
      <c r="J217" s="2662"/>
      <c r="K217" s="2662"/>
      <c r="L217" s="1644"/>
      <c r="N217" s="2659"/>
      <c r="O217" s="2659"/>
      <c r="P217" s="2659"/>
      <c r="Q217" s="2659"/>
      <c r="R217" s="2659"/>
      <c r="T217" s="2658"/>
      <c r="U217" s="2658"/>
      <c r="V217" s="2658"/>
      <c r="W217" s="2658"/>
      <c r="X217" s="2658"/>
      <c r="Y217" s="2658"/>
      <c r="Z217" s="1346"/>
      <c r="AA217" s="1346"/>
      <c r="AB217" s="2656">
        <f t="shared" si="0"/>
        <v>0</v>
      </c>
      <c r="AC217" s="2656"/>
      <c r="AD217" s="2656"/>
      <c r="AE217" s="2656"/>
      <c r="AF217" s="2656"/>
      <c r="AG217" s="2656"/>
      <c r="AH217" s="1313"/>
      <c r="AI217" s="1313"/>
      <c r="AJ217" s="1313"/>
      <c r="AK217" s="1003"/>
    </row>
    <row r="218" spans="1:37">
      <c r="A218" s="995"/>
      <c r="B218" s="2698" t="s">
        <v>1326</v>
      </c>
      <c r="C218" s="2698"/>
      <c r="D218" s="2698"/>
      <c r="E218" s="2698"/>
      <c r="F218" s="2698"/>
      <c r="G218" s="2698"/>
      <c r="I218" s="2662"/>
      <c r="J218" s="2662"/>
      <c r="K218" s="2662"/>
      <c r="L218" s="1644"/>
      <c r="N218" s="2659"/>
      <c r="O218" s="2659"/>
      <c r="P218" s="2659"/>
      <c r="Q218" s="2659"/>
      <c r="R218" s="2659"/>
      <c r="T218" s="2658"/>
      <c r="U218" s="2658"/>
      <c r="V218" s="2658"/>
      <c r="W218" s="2658"/>
      <c r="X218" s="2658"/>
      <c r="Y218" s="2658"/>
      <c r="Z218" s="1346"/>
      <c r="AA218" s="1346"/>
      <c r="AB218" s="2656">
        <f t="shared" si="0"/>
        <v>0</v>
      </c>
      <c r="AC218" s="2656"/>
      <c r="AD218" s="2656"/>
      <c r="AE218" s="2656"/>
      <c r="AF218" s="2656"/>
      <c r="AG218" s="2656"/>
      <c r="AH218" s="1313"/>
      <c r="AI218" s="1313"/>
      <c r="AJ218" s="1313"/>
      <c r="AK218" s="1003"/>
    </row>
    <row r="219" spans="1:37">
      <c r="A219" s="995"/>
      <c r="B219" s="2698" t="s">
        <v>1326</v>
      </c>
      <c r="C219" s="2698"/>
      <c r="D219" s="2698"/>
      <c r="E219" s="2698"/>
      <c r="F219" s="2698"/>
      <c r="G219" s="2698"/>
      <c r="I219" s="2662"/>
      <c r="J219" s="2662"/>
      <c r="K219" s="2662"/>
      <c r="L219" s="1644"/>
      <c r="N219" s="2659"/>
      <c r="O219" s="2659"/>
      <c r="P219" s="2659"/>
      <c r="Q219" s="2659"/>
      <c r="R219" s="2659"/>
      <c r="T219" s="2658"/>
      <c r="U219" s="2658"/>
      <c r="V219" s="2658"/>
      <c r="W219" s="2658"/>
      <c r="X219" s="2658"/>
      <c r="Y219" s="2658"/>
      <c r="Z219" s="1346"/>
      <c r="AA219" s="1346"/>
      <c r="AB219" s="2656">
        <f t="shared" si="0"/>
        <v>0</v>
      </c>
      <c r="AC219" s="2656"/>
      <c r="AD219" s="2656"/>
      <c r="AE219" s="2656"/>
      <c r="AF219" s="2656"/>
      <c r="AG219" s="2656"/>
      <c r="AH219" s="1313"/>
      <c r="AI219" s="1313"/>
      <c r="AJ219" s="1313"/>
      <c r="AK219" s="1003"/>
    </row>
    <row r="220" spans="1:37">
      <c r="A220" s="995"/>
      <c r="B220" s="2698" t="s">
        <v>1326</v>
      </c>
      <c r="C220" s="2698"/>
      <c r="D220" s="2698"/>
      <c r="E220" s="2698"/>
      <c r="F220" s="2698"/>
      <c r="G220" s="2698"/>
      <c r="I220" s="2662"/>
      <c r="J220" s="2662"/>
      <c r="K220" s="2662"/>
      <c r="L220" s="1644"/>
      <c r="N220" s="2659"/>
      <c r="O220" s="2659"/>
      <c r="P220" s="2659"/>
      <c r="Q220" s="2659"/>
      <c r="R220" s="2659"/>
      <c r="T220" s="2658"/>
      <c r="U220" s="2658"/>
      <c r="V220" s="2658"/>
      <c r="W220" s="2658"/>
      <c r="X220" s="2658"/>
      <c r="Y220" s="2658"/>
      <c r="Z220" s="1346"/>
      <c r="AA220" s="1346"/>
      <c r="AB220" s="2656">
        <f t="shared" si="0"/>
        <v>0</v>
      </c>
      <c r="AC220" s="2656"/>
      <c r="AD220" s="2656"/>
      <c r="AE220" s="2656"/>
      <c r="AF220" s="2656"/>
      <c r="AG220" s="2656"/>
      <c r="AH220" s="1313"/>
      <c r="AI220" s="1313"/>
      <c r="AJ220" s="1313"/>
      <c r="AK220" s="1003"/>
    </row>
    <row r="221" spans="1:37">
      <c r="A221" s="995"/>
      <c r="B221" s="2698" t="s">
        <v>1326</v>
      </c>
      <c r="C221" s="2698"/>
      <c r="D221" s="2698"/>
      <c r="E221" s="2698"/>
      <c r="F221" s="2698"/>
      <c r="G221" s="2698"/>
      <c r="I221" s="2662"/>
      <c r="J221" s="2662"/>
      <c r="K221" s="2662"/>
      <c r="L221" s="1644"/>
      <c r="N221" s="2659"/>
      <c r="O221" s="2659"/>
      <c r="P221" s="2659"/>
      <c r="Q221" s="2659"/>
      <c r="R221" s="2659"/>
      <c r="T221" s="2658"/>
      <c r="U221" s="2658"/>
      <c r="V221" s="2658"/>
      <c r="W221" s="2658"/>
      <c r="X221" s="2658"/>
      <c r="Y221" s="2658"/>
      <c r="Z221" s="1346"/>
      <c r="AA221" s="1346"/>
      <c r="AB221" s="2656">
        <f t="shared" si="0"/>
        <v>0</v>
      </c>
      <c r="AC221" s="2656"/>
      <c r="AD221" s="2656"/>
      <c r="AE221" s="2656"/>
      <c r="AF221" s="2656"/>
      <c r="AG221" s="2656"/>
      <c r="AH221" s="1313"/>
      <c r="AI221" s="1313"/>
      <c r="AJ221" s="1313"/>
      <c r="AK221" s="1003"/>
    </row>
    <row r="222" spans="1:37">
      <c r="A222" s="995"/>
      <c r="B222" s="2698" t="s">
        <v>1326</v>
      </c>
      <c r="C222" s="2698"/>
      <c r="D222" s="2698"/>
      <c r="E222" s="2698"/>
      <c r="F222" s="2698"/>
      <c r="G222" s="2698"/>
      <c r="I222" s="2860"/>
      <c r="J222" s="2860"/>
      <c r="K222" s="2860"/>
      <c r="L222" s="1644"/>
      <c r="N222" s="2659"/>
      <c r="O222" s="2659"/>
      <c r="P222" s="2659"/>
      <c r="Q222" s="2659"/>
      <c r="R222" s="2659"/>
      <c r="T222" s="2658"/>
      <c r="U222" s="2658"/>
      <c r="V222" s="2658"/>
      <c r="W222" s="2658"/>
      <c r="X222" s="2658"/>
      <c r="Y222" s="2658"/>
      <c r="Z222" s="1346"/>
      <c r="AA222" s="1346"/>
      <c r="AB222" s="2664">
        <f t="shared" si="0"/>
        <v>0</v>
      </c>
      <c r="AC222" s="2664"/>
      <c r="AD222" s="2664"/>
      <c r="AE222" s="2664"/>
      <c r="AF222" s="2664"/>
      <c r="AG222" s="2664"/>
      <c r="AH222" s="1313"/>
      <c r="AI222" s="1313"/>
      <c r="AJ222" s="1313"/>
      <c r="AK222" s="1003"/>
    </row>
    <row r="223" spans="1:37">
      <c r="A223" s="995"/>
      <c r="B223" s="977"/>
      <c r="C223" s="1347"/>
      <c r="D223" s="973"/>
      <c r="K223" s="906"/>
      <c r="L223" s="906"/>
      <c r="M223" s="906"/>
      <c r="N223" s="906"/>
      <c r="O223" s="906"/>
      <c r="P223" s="906"/>
      <c r="Q223" s="906"/>
      <c r="R223" s="906"/>
      <c r="S223" s="906"/>
      <c r="T223" s="906"/>
      <c r="U223" s="906"/>
      <c r="V223" s="906"/>
      <c r="W223" s="906"/>
      <c r="X223" s="906"/>
      <c r="Y223" s="1348" t="s">
        <v>1782</v>
      </c>
      <c r="AA223" s="1631"/>
      <c r="AB223" s="2656">
        <f>SUM(AB213:AB222)</f>
        <v>400128</v>
      </c>
      <c r="AC223" s="2656"/>
      <c r="AD223" s="2656"/>
      <c r="AE223" s="2656"/>
      <c r="AF223" s="2656"/>
      <c r="AG223" s="2656"/>
      <c r="AH223" s="1313"/>
      <c r="AI223" s="1313"/>
      <c r="AJ223" s="1313"/>
      <c r="AK223" s="1003"/>
    </row>
    <row r="224" spans="1:37">
      <c r="A224" s="995"/>
      <c r="B224" s="995"/>
      <c r="C224" s="1085"/>
      <c r="D224" s="1313"/>
      <c r="E224" s="1313"/>
      <c r="F224" s="1313"/>
      <c r="G224" s="1313"/>
      <c r="H224" s="1313"/>
      <c r="I224" s="1313"/>
      <c r="J224" s="1313"/>
      <c r="K224" s="922"/>
      <c r="L224" s="922"/>
      <c r="M224" s="922"/>
      <c r="N224" s="922"/>
      <c r="O224" s="922"/>
      <c r="P224" s="922"/>
      <c r="Q224" s="922"/>
      <c r="R224" s="922"/>
      <c r="S224" s="922"/>
      <c r="T224" s="922"/>
      <c r="U224" s="922"/>
      <c r="V224" s="922"/>
      <c r="W224" s="922"/>
      <c r="X224" s="922"/>
      <c r="Y224" s="1059"/>
      <c r="Z224" s="1059"/>
      <c r="AA224" s="1059"/>
      <c r="AB224" s="1059"/>
      <c r="AC224" s="922"/>
      <c r="AD224" s="922"/>
      <c r="AE224" s="1003"/>
      <c r="AF224" s="1003"/>
      <c r="AG224" s="1003"/>
      <c r="AH224" s="1003"/>
      <c r="AI224" s="1003"/>
      <c r="AJ224" s="1003"/>
      <c r="AK224" s="1003"/>
    </row>
    <row r="225" spans="1:37">
      <c r="A225" s="1827" t="s">
        <v>1772</v>
      </c>
      <c r="C225" s="1085"/>
      <c r="D225" s="1313"/>
      <c r="E225" s="1313"/>
      <c r="F225" s="1313"/>
      <c r="G225" s="1313"/>
      <c r="H225" s="1313"/>
      <c r="I225" s="1313"/>
      <c r="J225" s="1313"/>
      <c r="K225" s="906"/>
      <c r="L225" s="906"/>
      <c r="M225" s="906"/>
      <c r="N225" s="906"/>
      <c r="O225" s="906"/>
      <c r="P225" s="906"/>
      <c r="Q225" s="906"/>
      <c r="R225" s="906"/>
      <c r="S225" s="906"/>
      <c r="T225" s="906"/>
      <c r="U225" s="906"/>
      <c r="V225" s="906"/>
      <c r="W225" s="906"/>
      <c r="X225" s="906"/>
      <c r="Y225" s="1059"/>
      <c r="Z225" s="1059"/>
      <c r="AA225" s="1059"/>
      <c r="AB225" s="1059"/>
      <c r="AC225" s="906"/>
      <c r="AD225" s="906"/>
      <c r="AE225" s="1003"/>
      <c r="AF225" s="1003"/>
      <c r="AG225" s="1003"/>
      <c r="AH225" s="1003"/>
      <c r="AI225" s="1003"/>
      <c r="AJ225" s="1003"/>
      <c r="AK225" s="1003"/>
    </row>
    <row r="226" spans="1:37">
      <c r="A226" s="995"/>
      <c r="B226" s="977" t="s">
        <v>1800</v>
      </c>
      <c r="C226" s="1085"/>
      <c r="D226" s="1313"/>
      <c r="E226" s="1313"/>
      <c r="F226" s="1313"/>
      <c r="G226" s="1313"/>
      <c r="H226" s="1313"/>
      <c r="I226" s="1313"/>
      <c r="J226" s="1313"/>
      <c r="K226" s="906"/>
      <c r="L226" s="906"/>
      <c r="M226" s="906"/>
      <c r="N226" s="906"/>
      <c r="O226" s="906"/>
      <c r="P226" s="906"/>
      <c r="Q226" s="906"/>
      <c r="R226" s="906"/>
      <c r="S226" s="906"/>
      <c r="T226" s="906"/>
      <c r="U226" s="906"/>
      <c r="V226" s="906"/>
      <c r="W226" s="906"/>
      <c r="X226" s="906"/>
      <c r="Y226" s="1059"/>
      <c r="Z226" s="1059"/>
      <c r="AA226" s="1059"/>
      <c r="AB226" s="1059"/>
      <c r="AC226" s="906"/>
      <c r="AD226" s="906"/>
      <c r="AE226" s="1003"/>
      <c r="AF226" s="1003"/>
      <c r="AG226" s="1003"/>
      <c r="AH226" s="1003"/>
      <c r="AI226" s="1003"/>
      <c r="AJ226" s="1003"/>
      <c r="AK226" s="1003"/>
    </row>
    <row r="227" spans="1:37">
      <c r="A227" s="995"/>
      <c r="B227" s="977"/>
      <c r="C227" s="1085"/>
      <c r="D227" s="1313"/>
      <c r="E227" s="1313"/>
      <c r="F227" s="1313"/>
      <c r="G227" s="1313"/>
      <c r="H227" s="1313"/>
      <c r="I227" s="1313"/>
      <c r="J227" s="1313"/>
      <c r="K227" s="906"/>
      <c r="L227" s="906"/>
      <c r="M227" s="906"/>
      <c r="N227" s="906"/>
      <c r="O227" s="906"/>
      <c r="P227" s="906"/>
      <c r="Q227" s="906"/>
      <c r="R227" s="906"/>
      <c r="S227" s="906"/>
      <c r="T227" s="906"/>
      <c r="U227" s="906"/>
      <c r="V227" s="906"/>
      <c r="W227" s="906"/>
      <c r="X227" s="906"/>
      <c r="Y227" s="1059"/>
      <c r="Z227" s="1059"/>
      <c r="AA227" s="1059"/>
      <c r="AB227" s="1059"/>
      <c r="AC227" s="906"/>
      <c r="AD227" s="906"/>
      <c r="AE227" s="1003"/>
      <c r="AF227" s="1003"/>
      <c r="AG227" s="1003"/>
      <c r="AH227" s="1003"/>
      <c r="AI227" s="1003"/>
      <c r="AJ227" s="1003"/>
      <c r="AK227" s="1003"/>
    </row>
    <row r="228" spans="1:37">
      <c r="A228" s="995"/>
      <c r="B228" s="1323" t="s">
        <v>1798</v>
      </c>
      <c r="C228" s="1085"/>
      <c r="D228" s="1313"/>
      <c r="E228" s="1313"/>
      <c r="F228" s="1313"/>
      <c r="G228" s="1313"/>
      <c r="H228" s="1313"/>
      <c r="I228" s="1313"/>
      <c r="J228" s="1313"/>
      <c r="K228" s="906"/>
      <c r="L228" s="906"/>
      <c r="M228" s="906"/>
      <c r="N228" s="906"/>
      <c r="O228" s="906"/>
      <c r="P228" s="906"/>
      <c r="Q228" s="906"/>
      <c r="R228" s="906"/>
      <c r="S228" s="906"/>
      <c r="T228" s="906"/>
      <c r="U228" s="906"/>
      <c r="V228" s="906"/>
      <c r="W228" s="906"/>
      <c r="X228" s="906"/>
      <c r="Y228" s="1059"/>
      <c r="Z228" s="1059"/>
      <c r="AA228" s="1059"/>
      <c r="AB228" s="1059"/>
      <c r="AC228" s="906"/>
      <c r="AD228" s="906"/>
      <c r="AE228" s="1003"/>
      <c r="AF228" s="1003"/>
      <c r="AG228" s="1003"/>
      <c r="AH228" s="1003"/>
      <c r="AI228" s="1003"/>
      <c r="AJ228" s="1003"/>
      <c r="AK228" s="1003"/>
    </row>
    <row r="229" spans="1:37">
      <c r="A229" s="995"/>
      <c r="B229" s="1323" t="s">
        <v>1792</v>
      </c>
      <c r="C229" s="1085"/>
      <c r="D229" s="1313"/>
      <c r="E229" s="1313"/>
      <c r="F229" s="1313"/>
      <c r="G229" s="1313"/>
      <c r="H229" s="1313"/>
      <c r="I229" s="1313"/>
      <c r="J229" s="1313"/>
      <c r="K229" s="906"/>
      <c r="L229" s="906"/>
      <c r="M229" s="906"/>
      <c r="N229" s="906"/>
      <c r="O229" s="906"/>
      <c r="P229" s="906"/>
      <c r="Q229" s="906"/>
      <c r="R229" s="906"/>
      <c r="S229" s="906"/>
      <c r="T229" s="906"/>
      <c r="U229" s="906"/>
      <c r="V229" s="906"/>
      <c r="W229" s="906"/>
      <c r="X229" s="906"/>
      <c r="Y229" s="1059"/>
      <c r="Z229" s="1059"/>
      <c r="AA229" s="1059"/>
      <c r="AB229" s="2700"/>
      <c r="AC229" s="2700"/>
      <c r="AD229" s="2700"/>
      <c r="AE229" s="2700"/>
      <c r="AF229" s="2700"/>
      <c r="AG229" s="2700"/>
      <c r="AH229" s="1003"/>
      <c r="AI229" s="1003"/>
      <c r="AJ229" s="1003"/>
      <c r="AK229" s="1003"/>
    </row>
    <row r="230" spans="1:37">
      <c r="A230" s="995"/>
      <c r="B230" s="1325" t="s">
        <v>1797</v>
      </c>
      <c r="C230" s="1014"/>
      <c r="D230" s="1321"/>
      <c r="E230" s="1313"/>
      <c r="F230" s="1313"/>
      <c r="G230" s="1313"/>
      <c r="H230" s="1313"/>
      <c r="I230" s="1313"/>
      <c r="J230" s="1313"/>
      <c r="K230" s="906"/>
      <c r="L230" s="906"/>
      <c r="M230" s="906"/>
      <c r="N230" s="906"/>
      <c r="O230" s="906"/>
      <c r="P230" s="906"/>
      <c r="Q230" s="906"/>
      <c r="R230" s="906"/>
      <c r="S230" s="906"/>
      <c r="T230" s="906"/>
      <c r="U230" s="906"/>
      <c r="V230" s="906"/>
      <c r="W230" s="906"/>
      <c r="X230" s="906"/>
      <c r="Y230" s="1059"/>
      <c r="Z230" s="1059"/>
      <c r="AA230" s="1059"/>
      <c r="AB230" s="1059"/>
      <c r="AC230" s="906"/>
      <c r="AD230" s="906"/>
      <c r="AE230" s="1003"/>
      <c r="AF230" s="1003"/>
      <c r="AG230" s="1003"/>
      <c r="AH230" s="1003"/>
      <c r="AI230" s="1003"/>
      <c r="AJ230" s="1003"/>
      <c r="AK230" s="1003"/>
    </row>
    <row r="231" spans="1:37">
      <c r="A231" s="995"/>
      <c r="B231" s="1326" t="s">
        <v>1799</v>
      </c>
      <c r="C231" s="1085"/>
      <c r="D231" s="1313"/>
      <c r="E231" s="1313"/>
      <c r="F231" s="1313"/>
      <c r="G231" s="1313"/>
      <c r="H231" s="1313"/>
      <c r="I231" s="1313"/>
      <c r="J231" s="1313"/>
      <c r="K231" s="906"/>
      <c r="L231" s="906"/>
      <c r="M231" s="906"/>
      <c r="N231" s="906"/>
      <c r="O231" s="906"/>
      <c r="P231" s="906"/>
      <c r="Q231" s="906"/>
      <c r="R231" s="906"/>
      <c r="S231" s="906"/>
      <c r="T231" s="906"/>
      <c r="U231" s="906"/>
      <c r="V231" s="906"/>
      <c r="W231" s="906"/>
      <c r="X231" s="906"/>
      <c r="Y231" s="1059"/>
      <c r="Z231" s="1059"/>
      <c r="AA231" s="1059"/>
      <c r="AB231" s="1059"/>
      <c r="AC231" s="906"/>
      <c r="AD231" s="906"/>
      <c r="AE231" s="1003"/>
      <c r="AF231" s="1003"/>
      <c r="AG231" s="1003"/>
      <c r="AH231" s="1003"/>
      <c r="AI231" s="1003"/>
      <c r="AJ231" s="1003"/>
      <c r="AK231" s="1003"/>
    </row>
    <row r="232" spans="1:37">
      <c r="A232" s="995"/>
      <c r="B232" s="1326" t="s">
        <v>1793</v>
      </c>
      <c r="C232" s="1085"/>
      <c r="D232" s="1313"/>
      <c r="E232" s="1313"/>
      <c r="F232" s="1313"/>
      <c r="G232" s="1313"/>
      <c r="H232" s="1313"/>
      <c r="I232" s="1313"/>
      <c r="J232" s="1313"/>
      <c r="K232" s="906"/>
      <c r="L232" s="906"/>
      <c r="M232" s="906"/>
      <c r="N232" s="906"/>
      <c r="O232" s="906"/>
      <c r="P232" s="906"/>
      <c r="Q232" s="906"/>
      <c r="R232" s="906"/>
      <c r="S232" s="906"/>
      <c r="T232" s="906"/>
      <c r="U232" s="906"/>
      <c r="V232" s="906"/>
      <c r="W232" s="906"/>
      <c r="X232" s="906"/>
      <c r="Y232" s="1059"/>
      <c r="Z232" s="1059"/>
      <c r="AA232" s="1059"/>
      <c r="AB232" s="2700"/>
      <c r="AC232" s="2700"/>
      <c r="AD232" s="2700"/>
      <c r="AE232" s="2700"/>
      <c r="AF232" s="2700"/>
      <c r="AG232" s="2700"/>
      <c r="AH232" s="1003"/>
      <c r="AI232" s="1003"/>
      <c r="AJ232" s="1003"/>
      <c r="AK232" s="1003"/>
    </row>
    <row r="233" spans="1:37">
      <c r="A233" s="995"/>
      <c r="B233" s="1326" t="s">
        <v>1794</v>
      </c>
      <c r="C233" s="1085"/>
      <c r="D233" s="1313"/>
      <c r="E233" s="1313"/>
      <c r="F233" s="1313"/>
      <c r="G233" s="1313"/>
      <c r="H233" s="1313"/>
      <c r="I233" s="1313"/>
      <c r="J233" s="1313"/>
      <c r="K233" s="906"/>
      <c r="L233" s="906"/>
      <c r="M233" s="906"/>
      <c r="N233" s="906"/>
      <c r="O233" s="906"/>
      <c r="P233" s="906"/>
      <c r="Q233" s="906"/>
      <c r="R233" s="906"/>
      <c r="S233" s="906"/>
      <c r="T233" s="906"/>
      <c r="U233" s="906"/>
      <c r="V233" s="906"/>
      <c r="W233" s="906"/>
      <c r="X233" s="906"/>
      <c r="Y233" s="1059"/>
      <c r="Z233" s="1059"/>
      <c r="AA233" s="1059"/>
      <c r="AB233" s="2655"/>
      <c r="AC233" s="2655"/>
      <c r="AD233" s="2655"/>
      <c r="AE233" s="2655"/>
      <c r="AF233" s="2655"/>
      <c r="AG233" s="2655"/>
      <c r="AH233" s="1003"/>
      <c r="AI233" s="1003"/>
      <c r="AJ233" s="1003"/>
      <c r="AK233" s="1003"/>
    </row>
    <row r="234" spans="1:37">
      <c r="A234" s="995"/>
      <c r="B234" s="1326" t="s">
        <v>1795</v>
      </c>
      <c r="C234" s="1085"/>
      <c r="D234" s="1313"/>
      <c r="E234" s="1313"/>
      <c r="F234" s="1313"/>
      <c r="G234" s="1313"/>
      <c r="H234" s="1313"/>
      <c r="I234" s="1313"/>
      <c r="J234" s="1313"/>
      <c r="K234" s="906"/>
      <c r="L234" s="906"/>
      <c r="M234" s="906"/>
      <c r="N234" s="906"/>
      <c r="O234" s="906"/>
      <c r="P234" s="906"/>
      <c r="Q234" s="906"/>
      <c r="R234" s="906"/>
      <c r="S234" s="906"/>
      <c r="T234" s="906"/>
      <c r="U234" s="906"/>
      <c r="V234" s="906"/>
      <c r="W234" s="906"/>
      <c r="X234" s="906"/>
      <c r="Y234" s="1059"/>
      <c r="Z234" s="1059"/>
      <c r="AA234" s="1059"/>
      <c r="AB234" s="2665">
        <f>IFERROR(AB232/AB233,0)</f>
        <v>0</v>
      </c>
      <c r="AC234" s="2665"/>
      <c r="AD234" s="2665"/>
      <c r="AE234" s="2665"/>
      <c r="AF234" s="2665"/>
      <c r="AG234" s="2665"/>
      <c r="AH234" s="1003"/>
      <c r="AI234" s="1003"/>
      <c r="AJ234" s="1003"/>
      <c r="AK234" s="1003"/>
    </row>
    <row r="235" spans="1:37">
      <c r="A235" s="995"/>
      <c r="B235" s="1324"/>
      <c r="C235" s="1085"/>
      <c r="D235" s="1313"/>
      <c r="E235" s="1313"/>
      <c r="F235" s="1313"/>
      <c r="G235" s="1313"/>
      <c r="H235" s="1313"/>
      <c r="I235" s="1313"/>
      <c r="J235" s="1313"/>
      <c r="K235" s="906"/>
      <c r="L235" s="906"/>
      <c r="M235" s="906"/>
      <c r="N235" s="906"/>
      <c r="O235" s="906"/>
      <c r="P235" s="906"/>
      <c r="Q235" s="906"/>
      <c r="R235" s="906"/>
      <c r="S235" s="906"/>
      <c r="T235" s="906"/>
      <c r="U235" s="906"/>
      <c r="V235" s="906"/>
      <c r="W235" s="906"/>
      <c r="X235" s="906"/>
      <c r="Y235" s="1059"/>
      <c r="Z235" s="1059"/>
      <c r="AA235" s="1059"/>
      <c r="AB235" s="1059"/>
      <c r="AC235" s="970"/>
      <c r="AD235" s="970"/>
      <c r="AE235" s="1003"/>
      <c r="AF235" s="1003"/>
      <c r="AG235" s="1003"/>
      <c r="AH235" s="1003"/>
      <c r="AI235" s="1003"/>
      <c r="AJ235" s="1003"/>
      <c r="AK235" s="1003"/>
    </row>
    <row r="236" spans="1:37">
      <c r="A236" s="995"/>
      <c r="B236" s="1327" t="s">
        <v>1796</v>
      </c>
      <c r="C236" s="1085"/>
      <c r="D236" s="1313"/>
      <c r="E236" s="1313"/>
      <c r="F236" s="1313"/>
      <c r="G236" s="1313"/>
      <c r="H236" s="1313"/>
      <c r="I236" s="1313"/>
      <c r="J236" s="1313"/>
      <c r="K236" s="906"/>
      <c r="L236" s="906"/>
      <c r="M236" s="906"/>
      <c r="N236" s="906"/>
      <c r="O236" s="906"/>
      <c r="P236" s="906"/>
      <c r="Q236" s="906"/>
      <c r="R236" s="906"/>
      <c r="S236" s="906"/>
      <c r="T236" s="906"/>
      <c r="U236" s="906"/>
      <c r="V236" s="906"/>
      <c r="W236" s="906"/>
      <c r="X236" s="906"/>
      <c r="Y236" s="1059"/>
      <c r="Z236" s="1059"/>
      <c r="AA236" s="1059"/>
      <c r="AB236" s="2694">
        <f>MAX(AB229,AB234)</f>
        <v>0</v>
      </c>
      <c r="AC236" s="2694"/>
      <c r="AD236" s="2694"/>
      <c r="AE236" s="2694"/>
      <c r="AF236" s="2694"/>
      <c r="AG236" s="2694"/>
      <c r="AH236" s="1003"/>
      <c r="AI236" s="1003"/>
      <c r="AJ236" s="1003"/>
      <c r="AK236" s="1003"/>
    </row>
    <row r="237" spans="1:37">
      <c r="A237" s="995"/>
      <c r="B237" s="1327"/>
      <c r="C237" s="1085"/>
      <c r="D237" s="1313"/>
      <c r="E237" s="1313"/>
      <c r="F237" s="1313"/>
      <c r="G237" s="1313"/>
      <c r="H237" s="1313"/>
      <c r="I237" s="1313"/>
      <c r="J237" s="1313"/>
      <c r="K237" s="906"/>
      <c r="L237" s="906"/>
      <c r="M237" s="906"/>
      <c r="N237" s="906"/>
      <c r="O237" s="906"/>
      <c r="P237" s="906"/>
      <c r="Q237" s="906"/>
      <c r="R237" s="906"/>
      <c r="S237" s="906"/>
      <c r="T237" s="906"/>
      <c r="U237" s="906"/>
      <c r="V237" s="906"/>
      <c r="W237" s="906"/>
      <c r="X237" s="906"/>
      <c r="Y237" s="1059"/>
      <c r="Z237" s="1059"/>
      <c r="AA237" s="1059"/>
      <c r="AB237" s="1059"/>
      <c r="AC237" s="906"/>
      <c r="AD237" s="906"/>
      <c r="AE237" s="1003"/>
      <c r="AF237" s="1003"/>
      <c r="AG237" s="1003"/>
      <c r="AH237" s="1003"/>
      <c r="AI237" s="1003"/>
      <c r="AJ237" s="1003"/>
      <c r="AK237" s="1003"/>
    </row>
    <row r="238" spans="1:37">
      <c r="A238" s="995"/>
      <c r="B238" s="1327"/>
      <c r="C238" s="1085"/>
      <c r="D238" s="1313"/>
      <c r="E238" s="1313"/>
      <c r="F238" s="1313"/>
      <c r="G238" s="1313"/>
      <c r="H238" s="1313"/>
      <c r="I238" s="1313"/>
      <c r="J238" s="1313"/>
      <c r="K238" s="906"/>
      <c r="L238" s="906"/>
      <c r="M238" s="906"/>
      <c r="N238" s="906"/>
      <c r="O238" s="906"/>
      <c r="P238" s="906"/>
      <c r="Q238" s="906"/>
      <c r="R238" s="906"/>
      <c r="S238" s="906"/>
      <c r="T238" s="906"/>
      <c r="U238" s="906"/>
      <c r="V238" s="906"/>
      <c r="W238" s="906"/>
      <c r="X238" s="906"/>
      <c r="Y238" s="1059"/>
      <c r="Z238" s="1059"/>
      <c r="AA238" s="1059"/>
      <c r="AB238" s="1059"/>
      <c r="AC238" s="906"/>
      <c r="AD238" s="906"/>
      <c r="AE238" s="1003"/>
      <c r="AF238" s="1003"/>
      <c r="AG238" s="1003"/>
      <c r="AH238" s="1003"/>
      <c r="AI238" s="1003"/>
      <c r="AJ238" s="1003"/>
      <c r="AK238" s="1003"/>
    </row>
    <row r="239" spans="1:37">
      <c r="A239" s="995"/>
      <c r="B239" s="977" t="s">
        <v>1785</v>
      </c>
      <c r="C239" s="1085"/>
      <c r="D239" s="1313"/>
      <c r="E239" s="1313"/>
      <c r="F239" s="1313"/>
      <c r="G239" s="1313"/>
      <c r="H239" s="1313"/>
      <c r="I239" s="1313"/>
      <c r="J239" s="1313"/>
      <c r="K239" s="906"/>
      <c r="L239" s="906"/>
      <c r="M239" s="906"/>
      <c r="N239" s="906"/>
      <c r="O239" s="906"/>
      <c r="P239" s="906"/>
      <c r="Q239" s="906"/>
      <c r="R239" s="906"/>
      <c r="S239" s="906"/>
      <c r="U239" s="1328"/>
      <c r="V239" s="1328"/>
      <c r="W239" s="1328"/>
      <c r="X239" s="1328"/>
      <c r="Y239" s="1328"/>
      <c r="Z239" s="1059"/>
      <c r="AA239" s="1059"/>
      <c r="AB239" s="2663">
        <f>AB223+AB236</f>
        <v>400128</v>
      </c>
      <c r="AC239" s="2663"/>
      <c r="AD239" s="2663"/>
      <c r="AE239" s="2663"/>
      <c r="AF239" s="2663"/>
      <c r="AG239" s="2663"/>
      <c r="AH239" s="1003"/>
      <c r="AI239" s="1003"/>
      <c r="AJ239" s="1003"/>
      <c r="AK239" s="1003"/>
    </row>
    <row r="240" spans="1:37">
      <c r="A240" s="995"/>
      <c r="B240" s="977" t="s">
        <v>866</v>
      </c>
      <c r="C240" s="1085"/>
      <c r="D240" s="1313"/>
      <c r="E240" s="1313"/>
      <c r="F240" s="1313"/>
      <c r="G240" s="1313"/>
      <c r="H240" s="1313"/>
      <c r="I240" s="1313"/>
      <c r="J240" s="1313"/>
      <c r="K240" s="906"/>
      <c r="L240" s="906"/>
      <c r="M240" s="906"/>
      <c r="N240" s="906"/>
      <c r="O240" s="906"/>
      <c r="P240" s="906"/>
      <c r="Q240" s="906"/>
      <c r="R240" s="906"/>
      <c r="S240" s="906"/>
      <c r="T240" s="1041"/>
      <c r="U240" s="1329"/>
      <c r="V240" s="1329"/>
      <c r="W240" s="1329"/>
      <c r="X240" s="1329"/>
      <c r="Y240" s="1329"/>
      <c r="Z240" s="1059"/>
      <c r="AA240" s="1059"/>
      <c r="AB240" s="2842">
        <v>0.05</v>
      </c>
      <c r="AC240" s="2842"/>
      <c r="AD240" s="2842"/>
      <c r="AE240" s="2842"/>
      <c r="AF240" s="2842"/>
      <c r="AG240" s="2842"/>
      <c r="AH240" s="1003"/>
      <c r="AI240" s="1003"/>
      <c r="AJ240" s="1003"/>
      <c r="AK240" s="1003"/>
    </row>
    <row r="241" spans="1:37">
      <c r="A241" s="995"/>
      <c r="B241" s="977" t="s">
        <v>1786</v>
      </c>
      <c r="C241" s="1085"/>
      <c r="D241" s="1313"/>
      <c r="E241" s="1313"/>
      <c r="F241" s="1313"/>
      <c r="G241" s="1313"/>
      <c r="H241" s="1313"/>
      <c r="I241" s="1313"/>
      <c r="J241" s="1313"/>
      <c r="K241" s="906"/>
      <c r="L241" s="906"/>
      <c r="M241" s="906"/>
      <c r="N241" s="906"/>
      <c r="O241" s="906"/>
      <c r="P241" s="906"/>
      <c r="Q241" s="906"/>
      <c r="R241" s="906"/>
      <c r="S241" s="906"/>
      <c r="T241" s="1041"/>
      <c r="U241" s="1330"/>
      <c r="V241" s="1330"/>
      <c r="W241" s="1330"/>
      <c r="X241" s="1330"/>
      <c r="Y241" s="1330"/>
      <c r="Z241" s="1059"/>
      <c r="AA241" s="1059"/>
      <c r="AB241" s="2843">
        <f>AB239-(AB239*AB240)</f>
        <v>380121.59999999998</v>
      </c>
      <c r="AC241" s="2843"/>
      <c r="AD241" s="2843"/>
      <c r="AE241" s="2843"/>
      <c r="AF241" s="2843"/>
      <c r="AG241" s="2843"/>
      <c r="AH241" s="1003"/>
      <c r="AI241" s="1003"/>
      <c r="AJ241" s="1003"/>
      <c r="AK241" s="1003"/>
    </row>
    <row r="242" spans="1:37">
      <c r="A242" s="995"/>
      <c r="B242" s="977" t="s">
        <v>1787</v>
      </c>
      <c r="C242" s="1085"/>
      <c r="D242" s="1313"/>
      <c r="E242" s="1313"/>
      <c r="F242" s="1313"/>
      <c r="G242" s="1313"/>
      <c r="H242" s="1313"/>
      <c r="I242" s="1313"/>
      <c r="J242" s="1313"/>
      <c r="K242" s="906"/>
      <c r="L242" s="906"/>
      <c r="M242" s="906"/>
      <c r="N242" s="906"/>
      <c r="O242" s="906"/>
      <c r="P242" s="906"/>
      <c r="Q242" s="906"/>
      <c r="R242" s="906"/>
      <c r="S242" s="906"/>
      <c r="T242" s="1041"/>
      <c r="U242" s="985"/>
      <c r="V242" s="985"/>
      <c r="W242" s="985"/>
      <c r="X242" s="985"/>
      <c r="Y242" s="1331"/>
      <c r="Z242" s="1059"/>
      <c r="AA242" s="1059"/>
      <c r="AB242" s="906"/>
      <c r="AC242" s="906"/>
      <c r="AD242" s="906"/>
      <c r="AE242" s="1003"/>
      <c r="AF242" s="1003"/>
      <c r="AG242" s="1003"/>
      <c r="AH242" s="1003"/>
      <c r="AI242" s="1003"/>
      <c r="AJ242" s="1003"/>
      <c r="AK242" s="1003"/>
    </row>
    <row r="243" spans="1:37">
      <c r="A243" s="995"/>
      <c r="B243" s="977" t="s">
        <v>1788</v>
      </c>
      <c r="C243" s="1085"/>
      <c r="D243" s="1313"/>
      <c r="E243" s="1313"/>
      <c r="F243" s="1313"/>
      <c r="G243" s="1313"/>
      <c r="H243" s="1313"/>
      <c r="I243" s="1313"/>
      <c r="J243" s="1313"/>
      <c r="K243" s="906"/>
      <c r="L243" s="906"/>
      <c r="M243" s="906"/>
      <c r="N243" s="906"/>
      <c r="O243" s="906"/>
      <c r="P243" s="906"/>
      <c r="Q243" s="906"/>
      <c r="R243" s="906"/>
      <c r="S243" s="906"/>
      <c r="T243" s="1041"/>
      <c r="U243" s="1330"/>
      <c r="V243" s="1330"/>
      <c r="W243" s="1330"/>
      <c r="X243" s="1330"/>
      <c r="Y243" s="1330"/>
      <c r="Z243" s="1059"/>
      <c r="AA243" s="1059"/>
      <c r="AB243" s="2663">
        <f>AB241/AB247</f>
        <v>330540.52173913043</v>
      </c>
      <c r="AC243" s="2663"/>
      <c r="AD243" s="2663"/>
      <c r="AE243" s="2663"/>
      <c r="AF243" s="2663"/>
      <c r="AG243" s="2663"/>
      <c r="AH243" s="1003"/>
      <c r="AI243" s="1003"/>
      <c r="AJ243" s="1003"/>
      <c r="AK243" s="1003"/>
    </row>
    <row r="244" spans="1:37">
      <c r="A244" s="995"/>
      <c r="B244" s="977"/>
      <c r="C244" s="1085"/>
      <c r="D244" s="1313"/>
      <c r="E244" s="1313"/>
      <c r="F244" s="1313"/>
      <c r="G244" s="1313"/>
      <c r="H244" s="1313"/>
      <c r="I244" s="1313"/>
      <c r="J244" s="1313"/>
      <c r="K244" s="906"/>
      <c r="L244" s="906"/>
      <c r="M244" s="906"/>
      <c r="N244" s="906"/>
      <c r="O244" s="906"/>
      <c r="P244" s="906"/>
      <c r="Q244" s="906"/>
      <c r="R244" s="906"/>
      <c r="S244" s="906"/>
      <c r="T244" s="1041"/>
      <c r="U244" s="985"/>
      <c r="V244" s="985"/>
      <c r="W244" s="985"/>
      <c r="X244" s="985"/>
      <c r="Y244" s="1332"/>
      <c r="Z244" s="1059"/>
      <c r="AA244" s="1059"/>
      <c r="AB244" s="906"/>
      <c r="AC244" s="906"/>
      <c r="AD244" s="906"/>
      <c r="AE244" s="1003"/>
      <c r="AF244" s="1003"/>
      <c r="AG244" s="1003"/>
      <c r="AH244" s="1003"/>
      <c r="AI244" s="1003"/>
      <c r="AJ244" s="1003"/>
      <c r="AK244" s="1003"/>
    </row>
    <row r="245" spans="1:37">
      <c r="A245" s="995"/>
      <c r="B245" s="977" t="s">
        <v>1789</v>
      </c>
      <c r="C245" s="1085"/>
      <c r="D245" s="1313"/>
      <c r="E245" s="1313"/>
      <c r="F245" s="1313"/>
      <c r="G245" s="1313"/>
      <c r="H245" s="1313"/>
      <c r="I245" s="1313"/>
      <c r="J245" s="1313"/>
      <c r="K245" s="906"/>
      <c r="L245" s="906"/>
      <c r="M245" s="906"/>
      <c r="N245" s="906"/>
      <c r="O245" s="906"/>
      <c r="P245" s="906"/>
      <c r="Q245" s="906"/>
      <c r="R245" s="906"/>
      <c r="S245" s="906"/>
      <c r="T245" s="1041"/>
      <c r="U245" s="1333"/>
      <c r="V245" s="1333"/>
      <c r="W245" s="1333"/>
      <c r="X245" s="1333"/>
      <c r="Y245" s="1333"/>
      <c r="Z245" s="1059"/>
      <c r="AA245" s="1059"/>
      <c r="AB245" s="2856">
        <v>15</v>
      </c>
      <c r="AC245" s="2856"/>
      <c r="AD245" s="2856"/>
      <c r="AE245" s="2856"/>
      <c r="AF245" s="2856"/>
      <c r="AG245" s="2856"/>
      <c r="AH245" s="1003"/>
      <c r="AI245" s="1003"/>
      <c r="AJ245" s="1003"/>
      <c r="AK245" s="1003"/>
    </row>
    <row r="246" spans="1:37">
      <c r="A246" s="995"/>
      <c r="B246" s="977" t="s">
        <v>1790</v>
      </c>
      <c r="C246" s="1085"/>
      <c r="D246" s="1313"/>
      <c r="E246" s="1313"/>
      <c r="F246" s="1313"/>
      <c r="G246" s="1313"/>
      <c r="H246" s="1313"/>
      <c r="I246" s="1313"/>
      <c r="J246" s="1313"/>
      <c r="K246" s="906"/>
      <c r="L246" s="906"/>
      <c r="M246" s="906"/>
      <c r="N246" s="906"/>
      <c r="O246" s="906"/>
      <c r="P246" s="906"/>
      <c r="Q246" s="906"/>
      <c r="R246" s="906"/>
      <c r="S246" s="906"/>
      <c r="T246" s="1041"/>
      <c r="U246" s="1329"/>
      <c r="V246" s="1329"/>
      <c r="W246" s="1329"/>
      <c r="X246" s="1329"/>
      <c r="Y246" s="1329"/>
      <c r="Z246" s="1059"/>
      <c r="AA246" s="1059"/>
      <c r="AB246" s="2845">
        <v>0.04</v>
      </c>
      <c r="AC246" s="2845"/>
      <c r="AD246" s="2845"/>
      <c r="AE246" s="2845"/>
      <c r="AF246" s="2845"/>
      <c r="AG246" s="2845"/>
      <c r="AH246" s="1003"/>
      <c r="AI246" s="1003"/>
      <c r="AJ246" s="1003"/>
      <c r="AK246" s="1003"/>
    </row>
    <row r="247" spans="1:37">
      <c r="A247" s="995"/>
      <c r="B247" s="977" t="s">
        <v>878</v>
      </c>
      <c r="C247" s="1085"/>
      <c r="D247" s="1313"/>
      <c r="E247" s="1313"/>
      <c r="F247" s="1313"/>
      <c r="G247" s="1313"/>
      <c r="H247" s="1313"/>
      <c r="I247" s="1313"/>
      <c r="J247" s="1313"/>
      <c r="K247" s="906"/>
      <c r="L247" s="906"/>
      <c r="M247" s="906"/>
      <c r="N247" s="906"/>
      <c r="O247" s="906"/>
      <c r="P247" s="906"/>
      <c r="Q247" s="906"/>
      <c r="R247" s="906"/>
      <c r="S247" s="906"/>
      <c r="T247" s="1041"/>
      <c r="U247" s="1334"/>
      <c r="V247" s="1334"/>
      <c r="W247" s="1334"/>
      <c r="X247" s="1334"/>
      <c r="Y247" s="1334"/>
      <c r="Z247" s="1059"/>
      <c r="AA247" s="1059"/>
      <c r="AB247" s="2846">
        <v>1.1499999999999999</v>
      </c>
      <c r="AC247" s="2846"/>
      <c r="AD247" s="2846"/>
      <c r="AE247" s="2846"/>
      <c r="AF247" s="2846"/>
      <c r="AG247" s="2846"/>
      <c r="AH247" s="1003"/>
      <c r="AI247" s="1003"/>
      <c r="AJ247" s="1003"/>
      <c r="AK247" s="1003"/>
    </row>
    <row r="248" spans="1:37">
      <c r="A248" s="995"/>
      <c r="B248" s="973"/>
      <c r="C248" s="1085"/>
      <c r="D248" s="1313"/>
      <c r="E248" s="1313"/>
      <c r="F248" s="1313"/>
      <c r="G248" s="1313"/>
      <c r="H248" s="1313"/>
      <c r="I248" s="1313"/>
      <c r="J248" s="1313"/>
      <c r="K248" s="906"/>
      <c r="L248" s="906"/>
      <c r="M248" s="906"/>
      <c r="N248" s="906"/>
      <c r="O248" s="906"/>
      <c r="P248" s="906"/>
      <c r="Q248" s="906"/>
      <c r="R248" s="906"/>
      <c r="S248" s="906"/>
      <c r="T248" s="1041"/>
      <c r="U248" s="985"/>
      <c r="V248" s="985"/>
      <c r="W248" s="985"/>
      <c r="X248" s="985"/>
      <c r="Y248" s="1335"/>
      <c r="Z248" s="1059"/>
      <c r="AA248" s="1059"/>
      <c r="AB248" s="906"/>
      <c r="AC248" s="906"/>
      <c r="AD248" s="906"/>
      <c r="AE248" s="1003"/>
      <c r="AF248" s="1003"/>
      <c r="AG248" s="1003"/>
      <c r="AH248" s="1003"/>
      <c r="AI248" s="1003"/>
      <c r="AJ248" s="1003"/>
      <c r="AK248" s="1003"/>
    </row>
    <row r="249" spans="1:37">
      <c r="A249" s="995"/>
      <c r="B249" s="1350" t="s">
        <v>1791</v>
      </c>
      <c r="C249" s="1085"/>
      <c r="D249" s="1313"/>
      <c r="E249" s="1313"/>
      <c r="F249" s="1313"/>
      <c r="G249" s="1313"/>
      <c r="H249" s="1313"/>
      <c r="I249" s="1313"/>
      <c r="J249" s="1313"/>
      <c r="K249" s="906"/>
      <c r="L249" s="906"/>
      <c r="M249" s="906"/>
      <c r="N249" s="906"/>
      <c r="O249" s="906"/>
      <c r="P249" s="906"/>
      <c r="Q249" s="906"/>
      <c r="R249" s="906"/>
      <c r="S249" s="906"/>
      <c r="T249" s="1041"/>
      <c r="U249" s="1336"/>
      <c r="V249" s="1336"/>
      <c r="W249" s="1336"/>
      <c r="X249" s="1336"/>
      <c r="Y249" s="1336"/>
      <c r="Z249" s="1059"/>
      <c r="AA249" s="1059"/>
      <c r="AB249" s="2835">
        <f>PV(AB246/12,AB245*12,-AB243/12, ,0)</f>
        <v>3723873.6127229542</v>
      </c>
      <c r="AC249" s="2836"/>
      <c r="AD249" s="2836"/>
      <c r="AE249" s="2836"/>
      <c r="AF249" s="2836"/>
      <c r="AG249" s="2837"/>
      <c r="AH249" s="1003"/>
      <c r="AI249" s="1003"/>
      <c r="AJ249" s="1003"/>
      <c r="AK249" s="1003"/>
    </row>
    <row r="250" spans="1:37">
      <c r="A250" s="995"/>
      <c r="B250" s="1350"/>
      <c r="C250" s="1085"/>
      <c r="D250" s="1313"/>
      <c r="E250" s="1313"/>
      <c r="F250" s="1313"/>
      <c r="G250" s="1313"/>
      <c r="H250" s="1313"/>
      <c r="I250" s="1313"/>
      <c r="J250" s="1313"/>
      <c r="K250" s="906"/>
      <c r="L250" s="906"/>
      <c r="M250" s="906"/>
      <c r="N250" s="906"/>
      <c r="O250" s="906"/>
      <c r="P250" s="906"/>
      <c r="Q250" s="906"/>
      <c r="R250" s="906"/>
      <c r="S250" s="906"/>
      <c r="T250" s="1041"/>
      <c r="U250" s="1336"/>
      <c r="V250" s="1336"/>
      <c r="W250" s="1336"/>
      <c r="X250" s="1336"/>
      <c r="Y250" s="1336"/>
      <c r="Z250" s="1059"/>
      <c r="AA250" s="1059"/>
      <c r="AB250" s="1351"/>
      <c r="AC250" s="1351"/>
      <c r="AD250" s="1351"/>
      <c r="AE250" s="1351"/>
      <c r="AF250" s="1351"/>
      <c r="AG250" s="1351"/>
      <c r="AH250" s="1003"/>
      <c r="AI250" s="1003"/>
      <c r="AJ250" s="1003"/>
      <c r="AK250" s="1003"/>
    </row>
    <row r="251" spans="1:37">
      <c r="A251" s="995"/>
      <c r="B251" s="1350"/>
      <c r="C251" s="1085"/>
      <c r="D251" s="1313"/>
      <c r="E251" s="1313"/>
      <c r="F251" s="1313"/>
      <c r="G251" s="1313"/>
      <c r="H251" s="1313"/>
      <c r="I251" s="1313"/>
      <c r="J251" s="1313"/>
      <c r="K251" s="906"/>
      <c r="L251" s="906"/>
      <c r="M251" s="906"/>
      <c r="N251" s="906"/>
      <c r="O251" s="906"/>
      <c r="P251" s="906"/>
      <c r="Q251" s="906"/>
      <c r="R251" s="906"/>
      <c r="S251" s="906"/>
      <c r="T251" s="1041"/>
      <c r="U251" s="1336"/>
      <c r="V251" s="1336"/>
      <c r="W251" s="1336"/>
      <c r="X251" s="1336"/>
      <c r="Y251" s="1336"/>
      <c r="Z251" s="1059"/>
      <c r="AA251" s="1059"/>
      <c r="AB251" s="1351"/>
      <c r="AC251" s="1351"/>
      <c r="AD251" s="1351"/>
      <c r="AE251" s="1351"/>
      <c r="AF251" s="1351"/>
      <c r="AG251" s="1351"/>
      <c r="AH251" s="1003"/>
      <c r="AI251" s="1003"/>
      <c r="AJ251" s="1003"/>
      <c r="AK251" s="1003"/>
    </row>
    <row r="252" spans="1:37">
      <c r="A252" s="995"/>
      <c r="B252" s="1340" t="s">
        <v>1767</v>
      </c>
      <c r="C252" s="1340"/>
      <c r="D252" s="1313"/>
      <c r="E252" s="1313"/>
      <c r="F252" s="1313"/>
      <c r="G252" s="1313"/>
      <c r="H252" s="1313"/>
      <c r="I252" s="1313"/>
      <c r="J252" s="1313"/>
      <c r="K252" s="906"/>
      <c r="L252" s="906"/>
      <c r="M252" s="906"/>
      <c r="N252" s="906"/>
      <c r="O252" s="906"/>
      <c r="P252" s="906"/>
      <c r="Q252" s="906"/>
      <c r="R252" s="906"/>
      <c r="S252" s="906"/>
      <c r="T252" s="906"/>
      <c r="U252" s="906"/>
      <c r="V252" s="906"/>
      <c r="W252" s="906"/>
      <c r="X252" s="906"/>
      <c r="Y252" s="1059"/>
      <c r="Z252" s="1059"/>
      <c r="AA252" s="1059"/>
      <c r="AB252" s="1059"/>
      <c r="AC252" s="906"/>
      <c r="AD252" s="906"/>
      <c r="AE252" s="1003"/>
      <c r="AF252" s="1003"/>
      <c r="AG252" s="1003"/>
      <c r="AH252" s="1003"/>
      <c r="AI252" s="1003"/>
      <c r="AJ252" s="1003"/>
      <c r="AK252" s="1003"/>
    </row>
    <row r="253" spans="1:37">
      <c r="A253" s="995"/>
      <c r="B253" s="995" t="s">
        <v>1770</v>
      </c>
      <c r="C253" s="1085"/>
      <c r="D253" s="1313"/>
      <c r="E253" s="1313"/>
      <c r="F253" s="1313"/>
      <c r="G253" s="1313"/>
      <c r="H253" s="1313"/>
      <c r="I253" s="1313"/>
      <c r="J253" s="1313"/>
      <c r="K253" s="906"/>
      <c r="L253" s="906"/>
      <c r="M253" s="906"/>
      <c r="N253" s="906"/>
      <c r="O253" s="906"/>
      <c r="P253" s="906"/>
      <c r="Q253" s="906"/>
      <c r="R253" s="906"/>
      <c r="S253" s="906"/>
      <c r="T253" s="906"/>
      <c r="U253" s="906"/>
      <c r="V253" s="906"/>
      <c r="W253" s="906"/>
      <c r="X253" s="906"/>
      <c r="Y253" s="1059"/>
      <c r="Z253" s="1059"/>
      <c r="AA253" s="1059"/>
      <c r="AB253" s="1059"/>
      <c r="AC253" s="906"/>
      <c r="AD253" s="906"/>
      <c r="AE253" s="1003"/>
      <c r="AF253" s="1003"/>
      <c r="AG253" s="1003"/>
      <c r="AH253" s="1003"/>
      <c r="AI253" s="1003"/>
      <c r="AJ253" s="1003"/>
      <c r="AK253" s="1003"/>
    </row>
    <row r="254" spans="1:37">
      <c r="A254" s="995"/>
      <c r="B254" s="995" t="s">
        <v>1769</v>
      </c>
      <c r="C254" s="1085"/>
      <c r="D254" s="1313"/>
      <c r="E254" s="1313"/>
      <c r="F254" s="1313"/>
      <c r="G254" s="1313"/>
      <c r="H254" s="1313"/>
      <c r="I254" s="1313"/>
      <c r="J254" s="1313"/>
      <c r="K254" s="906"/>
      <c r="L254" s="906"/>
      <c r="M254" s="906"/>
      <c r="N254" s="906"/>
      <c r="O254" s="906"/>
      <c r="P254" s="906"/>
      <c r="Q254" s="906"/>
      <c r="R254" s="906"/>
      <c r="S254" s="906"/>
      <c r="T254" s="906"/>
      <c r="U254" s="906"/>
      <c r="V254" s="906"/>
      <c r="W254" s="906"/>
      <c r="X254" s="906"/>
      <c r="Y254" s="1059"/>
      <c r="Z254" s="1059"/>
      <c r="AA254" s="1059"/>
      <c r="AB254" s="1059"/>
      <c r="AC254" s="906"/>
      <c r="AD254" s="906"/>
      <c r="AE254" s="1003"/>
      <c r="AF254" s="1003"/>
      <c r="AG254" s="1003"/>
      <c r="AH254" s="1003"/>
      <c r="AI254" s="1003"/>
      <c r="AJ254" s="1003"/>
      <c r="AK254" s="1003"/>
    </row>
    <row r="255" spans="1:37">
      <c r="A255" s="995"/>
      <c r="B255" s="995" t="s">
        <v>1768</v>
      </c>
      <c r="C255" s="1085"/>
      <c r="D255" s="1313"/>
      <c r="E255" s="1313"/>
      <c r="F255" s="1313"/>
      <c r="G255" s="1313"/>
      <c r="H255" s="1313"/>
      <c r="I255" s="1313"/>
      <c r="J255" s="1313"/>
      <c r="K255" s="906"/>
      <c r="L255" s="906"/>
      <c r="M255" s="906"/>
      <c r="N255" s="906"/>
      <c r="O255" s="906"/>
      <c r="P255" s="906"/>
      <c r="Q255" s="906"/>
      <c r="R255" s="906"/>
      <c r="S255" s="906"/>
      <c r="T255" s="906"/>
      <c r="U255" s="906"/>
      <c r="V255" s="906"/>
      <c r="W255" s="906"/>
      <c r="X255" s="906"/>
      <c r="Y255" s="1059"/>
      <c r="Z255" s="1059"/>
      <c r="AA255" s="1059"/>
      <c r="AB255" s="2839">
        <f>IFERROR(('Sources and Uses Budget'!D105/'Sources and Uses Budget'!B105),0)</f>
        <v>0</v>
      </c>
      <c r="AC255" s="2840"/>
      <c r="AD255" s="2840"/>
      <c r="AE255" s="2840"/>
      <c r="AF255" s="2840"/>
      <c r="AG255" s="2841"/>
      <c r="AH255" s="1353"/>
      <c r="AI255" s="1353"/>
      <c r="AJ255" s="1353"/>
      <c r="AK255" s="1003"/>
    </row>
    <row r="256" spans="1:37">
      <c r="A256" s="995"/>
      <c r="B256" s="977"/>
      <c r="C256" s="1085"/>
      <c r="D256" s="1313"/>
      <c r="E256" s="1313"/>
      <c r="F256" s="1313"/>
      <c r="G256" s="1313"/>
      <c r="H256" s="1313"/>
      <c r="I256" s="1313"/>
      <c r="J256" s="1313"/>
      <c r="K256" s="906"/>
      <c r="L256" s="906"/>
      <c r="M256" s="906"/>
      <c r="N256" s="906"/>
      <c r="O256" s="906"/>
      <c r="P256" s="906"/>
      <c r="Q256" s="906"/>
      <c r="R256" s="906"/>
      <c r="S256" s="906"/>
      <c r="T256" s="906"/>
      <c r="U256" s="906"/>
      <c r="V256" s="906"/>
      <c r="W256" s="906"/>
      <c r="X256" s="906"/>
      <c r="Y256" s="1059"/>
      <c r="Z256" s="1059"/>
      <c r="AA256" s="1059"/>
      <c r="AB256" s="1059"/>
      <c r="AC256" s="906"/>
      <c r="AD256" s="906"/>
      <c r="AE256" s="1003"/>
      <c r="AF256" s="1003"/>
      <c r="AG256" s="1003"/>
      <c r="AH256" s="1003"/>
      <c r="AI256" s="1003"/>
      <c r="AJ256" s="1003"/>
      <c r="AK256" s="1003"/>
    </row>
    <row r="257" spans="1:81">
      <c r="A257" s="1024"/>
      <c r="B257" s="903" t="s">
        <v>1544</v>
      </c>
      <c r="C257" s="1025"/>
      <c r="D257" s="1025"/>
      <c r="E257" s="1026"/>
      <c r="F257" s="1026"/>
      <c r="H257" s="1027"/>
      <c r="I257" s="1027"/>
      <c r="J257" s="1027"/>
      <c r="K257" s="1027"/>
      <c r="L257" s="1027"/>
      <c r="M257" s="1027"/>
      <c r="N257" s="1027"/>
      <c r="O257" s="1027"/>
      <c r="P257" s="1027"/>
      <c r="Q257" s="1027"/>
      <c r="R257" s="1027"/>
      <c r="Y257" s="1027"/>
      <c r="Z257" s="1027"/>
      <c r="AA257" s="1027"/>
      <c r="AB257" s="1024"/>
      <c r="AC257" s="1024"/>
      <c r="AD257" s="1024"/>
      <c r="AE257" s="1024"/>
      <c r="AG257" s="2671">
        <f>AD200*(1-AB255)</f>
        <v>15176448.612722954</v>
      </c>
      <c r="AH257" s="2671"/>
      <c r="AI257" s="2671"/>
      <c r="AJ257" s="2671"/>
      <c r="AK257" s="2671"/>
    </row>
    <row r="258" spans="1:81">
      <c r="A258" s="1024"/>
      <c r="B258" s="1028" t="s">
        <v>1545</v>
      </c>
      <c r="C258" s="1029"/>
      <c r="D258" s="1027"/>
      <c r="E258" s="1027"/>
      <c r="F258" s="1029"/>
      <c r="G258" s="1029"/>
      <c r="H258" s="1029"/>
      <c r="I258" s="1029"/>
      <c r="J258" s="1029"/>
      <c r="K258" s="1029"/>
      <c r="L258" s="1029"/>
      <c r="M258" s="1027"/>
      <c r="N258" s="1029"/>
      <c r="O258" s="1029"/>
      <c r="P258" s="1029"/>
      <c r="Q258" s="1029"/>
      <c r="R258" s="1029"/>
      <c r="Y258" s="1027"/>
      <c r="Z258" s="1027"/>
      <c r="AA258" s="1027"/>
      <c r="AB258" s="1024"/>
      <c r="AC258" s="1024"/>
      <c r="AD258" s="1024"/>
      <c r="AE258" s="1024"/>
      <c r="AG258" s="2671">
        <f>'Sources and Uses Budget'!C105</f>
        <v>44255888</v>
      </c>
      <c r="AH258" s="2671"/>
      <c r="AI258" s="2671"/>
      <c r="AJ258" s="2671"/>
      <c r="AK258" s="2671"/>
    </row>
    <row r="259" spans="1:81">
      <c r="A259" s="1024"/>
      <c r="B259" s="1027" t="s">
        <v>13</v>
      </c>
      <c r="C259" s="1027"/>
      <c r="D259" s="1027"/>
      <c r="E259" s="1027"/>
      <c r="F259" s="1027"/>
      <c r="G259" s="1027"/>
      <c r="H259" s="1027"/>
      <c r="I259" s="1027"/>
      <c r="J259" s="1027"/>
      <c r="K259" s="1027"/>
      <c r="L259" s="1027"/>
      <c r="M259" s="1027"/>
      <c r="N259" s="1027"/>
      <c r="O259" s="1027"/>
      <c r="P259" s="1027"/>
      <c r="Q259" s="1027"/>
      <c r="R259" s="1027"/>
      <c r="Y259" s="1027"/>
      <c r="Z259" s="1027"/>
      <c r="AA259" s="1027"/>
      <c r="AB259" s="1024"/>
      <c r="AC259" s="1024"/>
      <c r="AD259" s="1024"/>
      <c r="AE259" s="1024"/>
      <c r="AG259" s="2831">
        <f>ROUNDDOWN(IF(AND(C281="Yes",AK78=10),((AG257*2)/AG258),AG257/AG258),2)</f>
        <v>0.34</v>
      </c>
      <c r="AH259" s="2831"/>
      <c r="AI259" s="2831"/>
      <c r="AJ259" s="2831"/>
      <c r="AK259" s="2831"/>
    </row>
    <row r="260" spans="1:81">
      <c r="A260" s="1024"/>
      <c r="B260" s="1536" t="s">
        <v>1995</v>
      </c>
      <c r="C260" s="1027"/>
      <c r="D260" s="1027"/>
      <c r="E260" s="1027"/>
      <c r="F260" s="1027"/>
      <c r="G260" s="1027"/>
      <c r="H260" s="1027"/>
      <c r="I260" s="1027"/>
      <c r="J260" s="1027"/>
      <c r="K260" s="1027"/>
      <c r="L260" s="1027"/>
      <c r="M260" s="1027"/>
      <c r="N260" s="1027"/>
      <c r="O260" s="1027"/>
      <c r="P260" s="1027"/>
      <c r="Q260" s="1027"/>
      <c r="R260" s="1027"/>
      <c r="Y260" s="1027"/>
      <c r="Z260" s="1027"/>
      <c r="AA260" s="1027"/>
      <c r="AB260" s="1024"/>
      <c r="AC260" s="1024"/>
      <c r="AD260" s="1024"/>
      <c r="AE260" s="1024"/>
      <c r="AG260" s="1535"/>
      <c r="AH260" s="1535"/>
      <c r="AI260" s="1535"/>
      <c r="AJ260" s="1535"/>
      <c r="AK260" s="1535"/>
    </row>
    <row r="261" spans="1:81">
      <c r="A261" s="1030"/>
      <c r="B261" s="1030"/>
      <c r="C261" s="1030"/>
      <c r="D261" s="1030"/>
      <c r="E261" s="1030"/>
      <c r="F261" s="1030"/>
      <c r="G261" s="1030"/>
      <c r="H261" s="1030"/>
      <c r="I261" s="1030"/>
      <c r="J261" s="1030"/>
      <c r="K261" s="1030"/>
      <c r="L261" s="1030"/>
      <c r="M261" s="1030"/>
      <c r="N261" s="1030"/>
      <c r="O261" s="1030"/>
      <c r="P261" s="1030"/>
      <c r="Q261" s="1030"/>
      <c r="R261" s="1030"/>
      <c r="S261" s="1030"/>
      <c r="T261" s="1030"/>
      <c r="U261" s="1030"/>
      <c r="V261" s="1030"/>
      <c r="W261" s="1030"/>
      <c r="X261" s="1030"/>
      <c r="Y261" s="1030"/>
      <c r="Z261" s="1030"/>
      <c r="AA261" s="1030"/>
      <c r="AB261" s="1030"/>
      <c r="AC261" s="1030"/>
      <c r="AD261" s="1030"/>
      <c r="AE261" s="1030"/>
      <c r="AF261" s="1030"/>
      <c r="AG261" s="1030"/>
      <c r="AH261" s="1030"/>
      <c r="AI261" s="1030"/>
      <c r="AJ261" s="1030"/>
    </row>
    <row r="262" spans="1:81">
      <c r="A262" s="1031"/>
      <c r="B262" s="1031"/>
      <c r="C262" s="1031"/>
      <c r="D262" s="1031"/>
      <c r="E262" s="1031"/>
      <c r="F262" s="1031"/>
      <c r="G262" s="1031"/>
      <c r="H262" s="1031"/>
      <c r="I262" s="1031"/>
      <c r="J262" s="1031"/>
      <c r="K262" s="1031"/>
      <c r="L262" s="1031"/>
      <c r="M262" s="1031"/>
      <c r="N262" s="1031"/>
      <c r="O262" s="1031"/>
      <c r="P262" s="1031"/>
      <c r="Q262" s="1031"/>
      <c r="R262" s="1031"/>
      <c r="S262" s="1031"/>
      <c r="T262" s="1031"/>
      <c r="U262" s="1031"/>
      <c r="V262" s="1031"/>
      <c r="W262" s="1031"/>
      <c r="X262" s="1031"/>
      <c r="Y262" s="1031"/>
      <c r="Z262" s="1031"/>
      <c r="AA262" s="1031"/>
      <c r="AB262" s="1031"/>
      <c r="AC262" s="1031"/>
      <c r="AD262" s="1031"/>
      <c r="AE262" s="1031"/>
      <c r="AF262" s="1031"/>
      <c r="AG262" s="1031"/>
      <c r="AH262" s="1032"/>
      <c r="AI262" s="938"/>
      <c r="AJ262" s="938" t="s">
        <v>1546</v>
      </c>
      <c r="AK262" s="2820">
        <f>IFERROR(IF(AG259=0,0,IF((AG259*100)&gt;8,8,(AG259*100))),0)</f>
        <v>8</v>
      </c>
      <c r="AL262" s="2820"/>
      <c r="AM262" s="2821"/>
    </row>
    <row r="263" spans="1:81" ht="13.5" thickBot="1"/>
    <row r="264" spans="1:81" s="922" customFormat="1" ht="12.75" customHeight="1" thickTop="1">
      <c r="A264" s="1033"/>
      <c r="B264" s="1034"/>
      <c r="C264" s="1034"/>
      <c r="D264" s="1034"/>
      <c r="E264" s="1034"/>
      <c r="F264" s="1034"/>
      <c r="G264" s="1034"/>
      <c r="H264" s="1034"/>
      <c r="I264" s="1034"/>
      <c r="J264" s="1034"/>
      <c r="K264" s="1034"/>
      <c r="L264" s="1034"/>
      <c r="M264" s="1034"/>
      <c r="N264" s="1034"/>
      <c r="O264" s="1034"/>
      <c r="P264" s="1034"/>
      <c r="Q264" s="1034"/>
      <c r="R264" s="1034"/>
      <c r="S264" s="1034"/>
      <c r="T264" s="1034"/>
      <c r="U264" s="1034"/>
      <c r="V264" s="1034"/>
      <c r="W264" s="1034"/>
      <c r="X264" s="1034"/>
      <c r="Y264" s="1034"/>
      <c r="Z264" s="1034"/>
      <c r="AA264" s="1034"/>
      <c r="AB264" s="1034"/>
      <c r="AC264" s="1035"/>
      <c r="AD264" s="1034"/>
      <c r="AE264" s="1034"/>
      <c r="AF264" s="1034"/>
      <c r="AG264" s="1034"/>
      <c r="AH264" s="1008"/>
      <c r="AI264" s="1036"/>
      <c r="AJ264" s="1036"/>
      <c r="AK264" s="1037"/>
      <c r="AL264" s="1037"/>
      <c r="AM264" s="1038"/>
      <c r="AN264" s="979"/>
      <c r="AO264" s="1005"/>
      <c r="AP264" s="985"/>
      <c r="AQ264" s="985"/>
      <c r="AR264" s="985"/>
      <c r="AS264" s="985"/>
      <c r="AT264" s="985"/>
      <c r="AU264" s="985"/>
      <c r="AV264" s="985"/>
      <c r="AW264" s="985"/>
      <c r="AX264" s="985"/>
      <c r="AY264" s="985"/>
      <c r="AZ264" s="985"/>
      <c r="BA264" s="1005"/>
      <c r="BB264" s="1005"/>
      <c r="BC264" s="1005"/>
      <c r="BD264" s="1005"/>
      <c r="BE264" s="1005"/>
      <c r="BF264" s="1005"/>
      <c r="BG264" s="1005"/>
      <c r="BH264" s="1005"/>
      <c r="BI264" s="1005"/>
      <c r="BJ264" s="1005"/>
      <c r="BK264" s="1005"/>
      <c r="BL264" s="1005"/>
      <c r="BM264" s="1005"/>
      <c r="BN264" s="1005"/>
      <c r="BO264" s="1005"/>
      <c r="BP264" s="1005"/>
      <c r="BQ264" s="1005"/>
      <c r="BR264" s="1005"/>
      <c r="BS264" s="1005"/>
      <c r="BT264" s="1005"/>
      <c r="BU264" s="1005"/>
      <c r="BV264" s="1005"/>
      <c r="BW264" s="1005"/>
      <c r="BX264" s="1005"/>
      <c r="BY264" s="1005"/>
      <c r="BZ264" s="1005"/>
      <c r="CA264" s="1005"/>
      <c r="CB264" s="1005"/>
      <c r="CC264" s="1005"/>
    </row>
    <row r="265" spans="1:81">
      <c r="A265" s="967" t="s">
        <v>1547</v>
      </c>
      <c r="B265" s="967" t="s">
        <v>1548</v>
      </c>
      <c r="C265" s="991"/>
      <c r="D265" s="922"/>
      <c r="E265" s="1039"/>
      <c r="F265" s="1005"/>
      <c r="G265" s="1005"/>
      <c r="H265" s="1005"/>
      <c r="I265" s="1005"/>
      <c r="J265" s="1005"/>
      <c r="K265" s="1005"/>
      <c r="L265" s="1005"/>
      <c r="M265" s="1005"/>
      <c r="N265" s="1005"/>
      <c r="O265" s="1005"/>
      <c r="P265" s="1005"/>
      <c r="Q265" s="1005"/>
      <c r="R265" s="1005"/>
      <c r="S265" s="1005"/>
      <c r="T265" s="1005"/>
      <c r="U265" s="1005"/>
      <c r="V265" s="1005"/>
      <c r="W265" s="1005"/>
      <c r="X265" s="1005"/>
      <c r="Y265" s="1005"/>
      <c r="Z265" s="1005"/>
      <c r="AA265" s="1005"/>
      <c r="AB265" s="1005"/>
      <c r="AC265" s="1005"/>
      <c r="AD265" s="1005"/>
      <c r="AE265" s="1005"/>
      <c r="AF265" s="1005"/>
      <c r="AG265" s="1005"/>
      <c r="AH265" s="1013" t="s">
        <v>1485</v>
      </c>
      <c r="AI265" s="1005"/>
      <c r="AJ265" s="922"/>
      <c r="AK265" s="1005"/>
      <c r="AL265" s="1005"/>
      <c r="AM265" s="1005"/>
      <c r="AN265" s="1040"/>
      <c r="AO265" s="1005"/>
      <c r="AP265" s="1041"/>
      <c r="AQ265" s="1041"/>
      <c r="AR265" s="1042"/>
      <c r="AS265" s="1042"/>
      <c r="AT265" s="1042"/>
      <c r="AU265" s="1041"/>
      <c r="AV265" s="1041"/>
      <c r="AW265" s="1041"/>
      <c r="AX265" s="1041"/>
      <c r="AY265" s="1041"/>
      <c r="AZ265" s="1041"/>
      <c r="BA265" s="1041"/>
      <c r="BB265" s="1041"/>
      <c r="BC265" s="1041"/>
      <c r="BD265" s="1043"/>
      <c r="BE265" s="1043"/>
      <c r="BF265" s="1043"/>
      <c r="BG265" s="1043"/>
      <c r="BH265" s="1043"/>
      <c r="BI265" s="1041"/>
      <c r="BJ265" s="1041"/>
      <c r="BK265" s="1041"/>
      <c r="BL265" s="1041"/>
      <c r="BM265" s="1041"/>
      <c r="BN265" s="1041"/>
      <c r="BO265" s="1041"/>
      <c r="BP265" s="1041"/>
      <c r="BQ265" s="1041"/>
      <c r="BR265" s="1041"/>
      <c r="BS265" s="1041"/>
      <c r="BT265" s="1041"/>
      <c r="BU265" s="1041"/>
      <c r="BV265" s="1041"/>
      <c r="BW265" s="1041"/>
      <c r="BX265" s="1041"/>
      <c r="BY265" s="1041"/>
      <c r="BZ265" s="1041"/>
      <c r="CA265" s="1041"/>
      <c r="CB265" s="1041"/>
      <c r="CC265" s="1041"/>
    </row>
    <row r="266" spans="1:81" ht="14.25" customHeight="1">
      <c r="A266" s="1013"/>
      <c r="AI266" s="923"/>
      <c r="AJ266" s="922"/>
      <c r="AK266" s="1005"/>
      <c r="AL266" s="1005"/>
      <c r="AM266" s="1005"/>
      <c r="AN266" s="1040"/>
      <c r="AO266" s="1005"/>
      <c r="AP266" s="1041"/>
      <c r="AQ266" s="1041"/>
      <c r="AR266" s="1042"/>
      <c r="AS266" s="1042"/>
      <c r="AT266" s="1042"/>
      <c r="AU266" s="1041"/>
      <c r="AV266" s="1041"/>
      <c r="AW266" s="1041"/>
      <c r="AX266" s="1041"/>
      <c r="AY266" s="1041"/>
      <c r="AZ266" s="1041"/>
      <c r="BA266" s="1041"/>
      <c r="BB266" s="1041"/>
      <c r="BC266" s="1041"/>
      <c r="BD266" s="1043"/>
      <c r="BE266" s="1043"/>
      <c r="BF266" s="1043"/>
      <c r="BG266" s="1043"/>
      <c r="BH266" s="1043"/>
      <c r="BI266" s="1041"/>
      <c r="BJ266" s="1041"/>
      <c r="BK266" s="1041"/>
      <c r="BL266" s="1041"/>
      <c r="BM266" s="1041"/>
      <c r="BN266" s="1041"/>
      <c r="BO266" s="1041"/>
      <c r="BP266" s="1041"/>
      <c r="BQ266" s="1041"/>
      <c r="BR266" s="1041"/>
      <c r="BS266" s="1041"/>
      <c r="BT266" s="1041"/>
      <c r="BU266" s="1041"/>
      <c r="BV266" s="1041"/>
      <c r="BW266" s="1041"/>
      <c r="BX266" s="1041"/>
      <c r="BY266" s="1041"/>
      <c r="BZ266" s="1041"/>
      <c r="CA266" s="1041"/>
      <c r="CB266" s="1041"/>
      <c r="CC266" s="1041"/>
    </row>
    <row r="267" spans="1:81" ht="13.7" customHeight="1">
      <c r="A267" s="1039"/>
      <c r="B267" s="1044"/>
      <c r="C267" s="2689" t="s">
        <v>554</v>
      </c>
      <c r="D267" s="2689"/>
      <c r="E267" s="919"/>
      <c r="F267" s="2639" t="s">
        <v>2412</v>
      </c>
      <c r="G267" s="2640"/>
      <c r="H267" s="2640"/>
      <c r="I267" s="2640"/>
      <c r="J267" s="2640"/>
      <c r="K267" s="2640"/>
      <c r="L267" s="2640"/>
      <c r="M267" s="2640"/>
      <c r="N267" s="2640"/>
      <c r="O267" s="2640"/>
      <c r="P267" s="2640"/>
      <c r="Q267" s="2640"/>
      <c r="R267" s="2640"/>
      <c r="S267" s="2640"/>
      <c r="T267" s="2640"/>
      <c r="U267" s="2640"/>
      <c r="V267" s="2640"/>
      <c r="W267" s="2640"/>
      <c r="X267" s="2640"/>
      <c r="Y267" s="2640"/>
      <c r="Z267" s="2640"/>
      <c r="AA267" s="2640"/>
      <c r="AB267" s="2640"/>
      <c r="AC267" s="2640"/>
      <c r="AD267" s="2641"/>
      <c r="AE267" s="922"/>
      <c r="AF267" s="1045"/>
      <c r="AG267" s="2829" t="s">
        <v>1534</v>
      </c>
      <c r="AH267" s="2829"/>
      <c r="AI267" s="2829"/>
      <c r="AJ267" s="2829"/>
      <c r="AK267" s="1005"/>
      <c r="AL267" s="1005"/>
      <c r="AM267" s="1005"/>
      <c r="AN267" s="1040"/>
      <c r="AO267" s="922"/>
      <c r="AS267" s="21"/>
      <c r="AT267" s="21"/>
    </row>
    <row r="268" spans="1:81" ht="13.7" customHeight="1">
      <c r="A268" s="1039"/>
      <c r="B268" s="1044"/>
      <c r="C268" s="1046"/>
      <c r="D268" s="922"/>
      <c r="E268" s="919"/>
      <c r="F268" s="2642"/>
      <c r="G268" s="2643"/>
      <c r="H268" s="2643"/>
      <c r="I268" s="2643"/>
      <c r="J268" s="2643"/>
      <c r="K268" s="2643"/>
      <c r="L268" s="2643"/>
      <c r="M268" s="2643"/>
      <c r="N268" s="2643"/>
      <c r="O268" s="2643"/>
      <c r="P268" s="2643"/>
      <c r="Q268" s="2643"/>
      <c r="R268" s="2643"/>
      <c r="S268" s="2643"/>
      <c r="T268" s="2643"/>
      <c r="U268" s="2643"/>
      <c r="V268" s="2643"/>
      <c r="W268" s="2643"/>
      <c r="X268" s="2643"/>
      <c r="Y268" s="2643"/>
      <c r="Z268" s="2643"/>
      <c r="AA268" s="2643"/>
      <c r="AB268" s="2643"/>
      <c r="AC268" s="2643"/>
      <c r="AD268" s="2644"/>
      <c r="AE268" s="922"/>
      <c r="AF268" s="1045"/>
      <c r="AG268" s="1045"/>
      <c r="AH268" s="1045"/>
      <c r="AI268" s="1045"/>
      <c r="AJ268" s="922"/>
      <c r="AK268" s="1005"/>
      <c r="AL268" s="1005"/>
      <c r="AM268" s="1005"/>
      <c r="AN268" s="1040"/>
      <c r="AO268" s="922"/>
      <c r="AS268" s="21"/>
      <c r="AT268" s="21"/>
    </row>
    <row r="269" spans="1:81">
      <c r="A269" s="1039"/>
      <c r="B269" s="1044"/>
      <c r="C269" s="1046"/>
      <c r="D269" s="922"/>
      <c r="E269" s="919"/>
      <c r="F269" s="2642"/>
      <c r="G269" s="2643"/>
      <c r="H269" s="2643"/>
      <c r="I269" s="2643"/>
      <c r="J269" s="2643"/>
      <c r="K269" s="2643"/>
      <c r="L269" s="2643"/>
      <c r="M269" s="2643"/>
      <c r="N269" s="2643"/>
      <c r="O269" s="2643"/>
      <c r="P269" s="2643"/>
      <c r="Q269" s="2643"/>
      <c r="R269" s="2643"/>
      <c r="S269" s="2643"/>
      <c r="T269" s="2643"/>
      <c r="U269" s="2643"/>
      <c r="V269" s="2643"/>
      <c r="W269" s="2643"/>
      <c r="X269" s="2643"/>
      <c r="Y269" s="2643"/>
      <c r="Z269" s="2643"/>
      <c r="AA269" s="2643"/>
      <c r="AB269" s="2643"/>
      <c r="AC269" s="2643"/>
      <c r="AD269" s="2644"/>
      <c r="AE269" s="922"/>
      <c r="AF269" s="1045"/>
      <c r="AG269" s="1045"/>
      <c r="AH269" s="1045"/>
      <c r="AI269" s="1045"/>
      <c r="AJ269" s="922"/>
      <c r="AK269" s="1005"/>
      <c r="AL269" s="1005"/>
      <c r="AM269" s="1005"/>
      <c r="AN269" s="1040"/>
      <c r="AO269" s="922"/>
      <c r="AP269" s="1047"/>
      <c r="AS269" s="21"/>
      <c r="AT269" s="21"/>
    </row>
    <row r="270" spans="1:81">
      <c r="A270" s="1039"/>
      <c r="B270" s="1044"/>
      <c r="C270" s="1046"/>
      <c r="D270" s="922"/>
      <c r="E270" s="919"/>
      <c r="F270" s="2642"/>
      <c r="G270" s="2643"/>
      <c r="H270" s="2643"/>
      <c r="I270" s="2643"/>
      <c r="J270" s="2643"/>
      <c r="K270" s="2643"/>
      <c r="L270" s="2643"/>
      <c r="M270" s="2643"/>
      <c r="N270" s="2643"/>
      <c r="O270" s="2643"/>
      <c r="P270" s="2643"/>
      <c r="Q270" s="2643"/>
      <c r="R270" s="2643"/>
      <c r="S270" s="2643"/>
      <c r="T270" s="2643"/>
      <c r="U270" s="2643"/>
      <c r="V270" s="2643"/>
      <c r="W270" s="2643"/>
      <c r="X270" s="2643"/>
      <c r="Y270" s="2643"/>
      <c r="Z270" s="2643"/>
      <c r="AA270" s="2643"/>
      <c r="AB270" s="2643"/>
      <c r="AC270" s="2643"/>
      <c r="AD270" s="2644"/>
      <c r="AE270" s="922"/>
      <c r="AF270" s="1045"/>
      <c r="AG270" s="1045"/>
      <c r="AH270" s="1045"/>
      <c r="AI270" s="1045"/>
      <c r="AJ270" s="922"/>
      <c r="AK270" s="1005"/>
      <c r="AL270" s="1005"/>
      <c r="AM270" s="1005"/>
      <c r="AN270" s="1040"/>
      <c r="AO270" s="922"/>
      <c r="AP270" s="1047"/>
      <c r="AS270" s="21"/>
      <c r="AT270" s="21"/>
    </row>
    <row r="271" spans="1:81" ht="13.7" customHeight="1">
      <c r="A271" s="1039"/>
      <c r="B271" s="1044"/>
      <c r="C271" s="2830"/>
      <c r="D271" s="2830"/>
      <c r="E271" s="919"/>
      <c r="F271" s="2645"/>
      <c r="G271" s="2646"/>
      <c r="H271" s="2646"/>
      <c r="I271" s="2646"/>
      <c r="J271" s="2646"/>
      <c r="K271" s="2646"/>
      <c r="L271" s="2646"/>
      <c r="M271" s="2646"/>
      <c r="N271" s="2646"/>
      <c r="O271" s="2646"/>
      <c r="P271" s="2646"/>
      <c r="Q271" s="2646"/>
      <c r="R271" s="2646"/>
      <c r="S271" s="2646"/>
      <c r="T271" s="2646"/>
      <c r="U271" s="2646"/>
      <c r="V271" s="2646"/>
      <c r="W271" s="2646"/>
      <c r="X271" s="2646"/>
      <c r="Y271" s="2646"/>
      <c r="Z271" s="2646"/>
      <c r="AA271" s="2646"/>
      <c r="AB271" s="2646"/>
      <c r="AC271" s="2646"/>
      <c r="AD271" s="2647"/>
      <c r="AE271" s="922"/>
      <c r="AF271" s="1045"/>
      <c r="AG271" s="2829"/>
      <c r="AH271" s="2829"/>
      <c r="AI271" s="2829"/>
      <c r="AJ271" s="2829"/>
      <c r="AK271" s="1005"/>
      <c r="AL271" s="1005"/>
      <c r="AM271" s="1005"/>
      <c r="AN271" s="1040"/>
      <c r="AS271" s="21"/>
      <c r="AT271" s="21"/>
    </row>
    <row r="272" spans="1:81" ht="13.7" hidden="1" customHeight="1">
      <c r="A272" s="1039"/>
      <c r="C272" s="1048"/>
      <c r="D272" s="1048"/>
      <c r="E272" s="1048"/>
      <c r="F272" s="1661"/>
      <c r="G272" s="1662"/>
      <c r="H272" s="1662"/>
      <c r="I272" s="1662"/>
      <c r="J272" s="1662"/>
      <c r="K272" s="1662"/>
      <c r="L272" s="1662"/>
      <c r="M272" s="1662"/>
      <c r="N272" s="1662"/>
      <c r="O272" s="1662"/>
      <c r="P272" s="1662"/>
      <c r="Q272" s="1662"/>
      <c r="R272" s="1662"/>
      <c r="S272" s="1662"/>
      <c r="T272" s="1662"/>
      <c r="U272" s="1662"/>
      <c r="V272" s="1662"/>
      <c r="W272" s="1662"/>
      <c r="X272" s="1662"/>
      <c r="Y272" s="1662"/>
      <c r="Z272" s="1662"/>
      <c r="AA272" s="1662"/>
      <c r="AB272" s="1662"/>
      <c r="AC272" s="1662"/>
      <c r="AD272" s="1663"/>
      <c r="AE272" s="1048"/>
      <c r="AF272" s="1048"/>
      <c r="AG272" s="1048"/>
      <c r="AH272" s="1048"/>
      <c r="AI272" s="1045"/>
      <c r="AJ272" s="922"/>
      <c r="AK272" s="1005"/>
      <c r="AL272" s="1005"/>
      <c r="AM272" s="1005"/>
      <c r="AN272" s="1040"/>
      <c r="AQ272" s="21"/>
      <c r="AR272" s="21"/>
      <c r="AS272" s="21"/>
      <c r="AT272" s="21"/>
    </row>
    <row r="273" spans="1:53">
      <c r="A273" s="1049"/>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c r="AF273" s="1048"/>
      <c r="AG273" s="1048"/>
      <c r="AH273" s="1048"/>
      <c r="AI273" s="1048"/>
      <c r="AJ273" s="1048"/>
      <c r="AK273" s="1048"/>
      <c r="AL273" s="1005"/>
      <c r="AM273" s="1005"/>
      <c r="AN273" s="110"/>
      <c r="AR273" s="21"/>
    </row>
    <row r="274" spans="1:53">
      <c r="A274" s="1050"/>
      <c r="B274" s="937"/>
      <c r="C274" s="997"/>
      <c r="D274" s="997"/>
      <c r="E274" s="937"/>
      <c r="F274" s="997"/>
      <c r="G274" s="997"/>
      <c r="H274" s="997"/>
      <c r="I274" s="997"/>
      <c r="J274" s="997"/>
      <c r="K274" s="997"/>
      <c r="L274" s="997"/>
      <c r="M274" s="997"/>
      <c r="N274" s="997"/>
      <c r="O274" s="997"/>
      <c r="P274" s="997"/>
      <c r="Q274" s="997"/>
      <c r="R274" s="997"/>
      <c r="S274" s="997"/>
      <c r="T274" s="997"/>
      <c r="U274" s="997"/>
      <c r="V274" s="997"/>
      <c r="W274" s="997"/>
      <c r="X274" s="997"/>
      <c r="Y274" s="997"/>
      <c r="Z274" s="997"/>
      <c r="AA274" s="997"/>
      <c r="AB274" s="997"/>
      <c r="AC274" s="997"/>
      <c r="AD274" s="997"/>
      <c r="AE274" s="997"/>
      <c r="AF274" s="997"/>
      <c r="AG274" s="997"/>
      <c r="AH274" s="997"/>
      <c r="AI274" s="938"/>
      <c r="AJ274" s="938" t="s">
        <v>1550</v>
      </c>
      <c r="AK274" s="2820">
        <f>IF($C$267="yes",10,0)</f>
        <v>10</v>
      </c>
      <c r="AL274" s="2820"/>
      <c r="AM274" s="2821"/>
      <c r="AN274" s="110"/>
      <c r="AR274" s="21"/>
    </row>
    <row r="275" spans="1:53" ht="13.5" thickBot="1"/>
    <row r="276" spans="1:53" ht="13.5" thickTop="1">
      <c r="A276" s="1051"/>
      <c r="B276" s="1051"/>
      <c r="C276" s="1051"/>
      <c r="D276" s="1051"/>
      <c r="E276" s="1051"/>
      <c r="F276" s="1051"/>
      <c r="G276" s="1051"/>
      <c r="H276" s="1051"/>
      <c r="I276" s="1051"/>
      <c r="J276" s="1051"/>
      <c r="K276" s="1051"/>
      <c r="L276" s="1051"/>
      <c r="M276" s="1051"/>
      <c r="N276" s="1051"/>
      <c r="O276" s="1051"/>
      <c r="P276" s="1051"/>
      <c r="Q276" s="1051"/>
      <c r="R276" s="1051"/>
      <c r="S276" s="1051"/>
      <c r="T276" s="1051"/>
      <c r="U276" s="1051"/>
      <c r="V276" s="1051"/>
      <c r="W276" s="1051"/>
      <c r="X276" s="1051"/>
      <c r="Y276" s="1051"/>
      <c r="Z276" s="1051"/>
      <c r="AA276" s="1051"/>
      <c r="AB276" s="1051"/>
      <c r="AC276" s="1051"/>
      <c r="AD276" s="1051"/>
      <c r="AE276" s="1051"/>
      <c r="AF276" s="1051"/>
      <c r="AG276" s="1051"/>
      <c r="AH276" s="1051"/>
      <c r="AI276" s="1051"/>
      <c r="AJ276" s="1051"/>
      <c r="AK276" s="1051"/>
      <c r="AL276" s="1051"/>
      <c r="AM276" s="1052"/>
    </row>
    <row r="277" spans="1:53">
      <c r="A277" s="967" t="s">
        <v>1551</v>
      </c>
      <c r="B277" s="967" t="s">
        <v>2110</v>
      </c>
      <c r="AH277" s="1013" t="s">
        <v>1485</v>
      </c>
    </row>
    <row r="278" spans="1:53" ht="15" customHeight="1">
      <c r="B278" s="911"/>
    </row>
    <row r="279" spans="1:53" ht="15" customHeight="1">
      <c r="B279" s="911" t="s">
        <v>1982</v>
      </c>
    </row>
    <row r="280" spans="1:53">
      <c r="B280" s="922"/>
      <c r="C280" s="1053"/>
      <c r="D280" s="922"/>
      <c r="E280" s="922"/>
      <c r="F280" s="922"/>
      <c r="G280" s="922"/>
      <c r="H280" s="922"/>
      <c r="I280" s="922"/>
      <c r="J280" s="922"/>
      <c r="K280" s="922"/>
      <c r="L280" s="922"/>
      <c r="M280" s="922"/>
      <c r="N280" s="922"/>
      <c r="O280" s="922"/>
      <c r="P280" s="922"/>
      <c r="Q280" s="922"/>
      <c r="R280" s="922"/>
      <c r="S280" s="922"/>
      <c r="T280" s="922"/>
      <c r="U280" s="922"/>
      <c r="V280" s="922"/>
      <c r="W280" s="922"/>
      <c r="X280" s="922"/>
      <c r="Y280" s="922"/>
      <c r="Z280" s="922"/>
      <c r="AA280" s="922"/>
      <c r="AB280" s="922"/>
      <c r="AC280" s="922"/>
      <c r="AD280" s="922"/>
      <c r="AG280" s="922"/>
      <c r="AI280" s="922"/>
      <c r="AJ280" s="922"/>
      <c r="AK280" s="1005"/>
      <c r="AL280" s="1005"/>
      <c r="AM280" s="1005"/>
      <c r="AN280" s="110"/>
      <c r="AO280" s="51"/>
      <c r="AP280" s="1054"/>
      <c r="AQ280" s="1055"/>
      <c r="AR280" s="1054"/>
      <c r="AS280" s="1054"/>
      <c r="AT280" s="1054"/>
      <c r="AU280" s="1054"/>
      <c r="AV280" s="1056"/>
      <c r="AW280" s="1056"/>
      <c r="AX280" s="112"/>
      <c r="AY280" s="112"/>
      <c r="AZ280" s="112"/>
      <c r="BA280" s="112"/>
    </row>
    <row r="281" spans="1:53" ht="12.75" customHeight="1">
      <c r="A281" s="2796" t="s">
        <v>1553</v>
      </c>
      <c r="B281" s="2796"/>
      <c r="C281" s="2792" t="s">
        <v>600</v>
      </c>
      <c r="D281" s="2689"/>
      <c r="E281" s="919"/>
      <c r="F281" s="2822" t="s">
        <v>1554</v>
      </c>
      <c r="G281" s="2823"/>
      <c r="H281" s="2823"/>
      <c r="I281" s="2823"/>
      <c r="J281" s="2823"/>
      <c r="K281" s="2823"/>
      <c r="L281" s="2823"/>
      <c r="M281" s="2823"/>
      <c r="N281" s="2823"/>
      <c r="O281" s="2823"/>
      <c r="P281" s="2823"/>
      <c r="Q281" s="2823"/>
      <c r="R281" s="2823"/>
      <c r="S281" s="2823"/>
      <c r="T281" s="2823"/>
      <c r="U281" s="2823"/>
      <c r="V281" s="2823"/>
      <c r="W281" s="2823"/>
      <c r="X281" s="2823"/>
      <c r="Y281" s="2823"/>
      <c r="Z281" s="2823"/>
      <c r="AA281" s="2823"/>
      <c r="AB281" s="2823"/>
      <c r="AC281" s="2823"/>
      <c r="AD281" s="2824"/>
      <c r="AE281" s="1057"/>
      <c r="AF281" s="922"/>
      <c r="AG281" s="2825" t="s">
        <v>2405</v>
      </c>
      <c r="AH281" s="2825"/>
      <c r="AI281" s="2825"/>
      <c r="AJ281" s="2825"/>
      <c r="AK281" s="2825"/>
      <c r="AL281" s="1005"/>
      <c r="AM281" s="1005"/>
      <c r="AN281" s="110"/>
      <c r="AO281" s="51"/>
      <c r="AP281" s="126"/>
      <c r="AS281" s="1054"/>
      <c r="AT281" s="1054"/>
      <c r="AU281" s="1054"/>
      <c r="AV281" s="1056"/>
      <c r="AW281" s="1056"/>
      <c r="AX281" s="112"/>
      <c r="AY281" s="112"/>
      <c r="AZ281" s="112"/>
      <c r="BA281" s="112"/>
    </row>
    <row r="282" spans="1:53">
      <c r="A282" s="1053"/>
      <c r="B282" s="1044"/>
      <c r="F282" s="2813"/>
      <c r="G282" s="2693"/>
      <c r="H282" s="2693"/>
      <c r="I282" s="2693"/>
      <c r="J282" s="2693"/>
      <c r="K282" s="2693"/>
      <c r="L282" s="2693"/>
      <c r="M282" s="2693"/>
      <c r="N282" s="2693"/>
      <c r="O282" s="2693"/>
      <c r="P282" s="2693"/>
      <c r="Q282" s="2693"/>
      <c r="R282" s="2693"/>
      <c r="S282" s="2693"/>
      <c r="T282" s="2693"/>
      <c r="U282" s="2693"/>
      <c r="V282" s="2693"/>
      <c r="W282" s="2693"/>
      <c r="X282" s="2693"/>
      <c r="Y282" s="2693"/>
      <c r="Z282" s="2693"/>
      <c r="AA282" s="2693"/>
      <c r="AB282" s="2693"/>
      <c r="AC282" s="2693"/>
      <c r="AD282" s="2814"/>
      <c r="AE282" s="1057"/>
      <c r="AF282" s="923"/>
      <c r="AH282" s="923"/>
      <c r="AI282" s="923"/>
      <c r="AJ282" s="922"/>
      <c r="AK282" s="1005"/>
      <c r="AL282" s="1005"/>
      <c r="AM282" s="1005"/>
      <c r="AN282" s="110"/>
      <c r="AO282" s="51"/>
      <c r="AP282" s="922">
        <f>IF($C$281="yes",10,IF(C281="50% Met",9,0))</f>
        <v>0</v>
      </c>
      <c r="AR282" s="21"/>
      <c r="AS282" s="1054"/>
      <c r="AT282" s="1054"/>
      <c r="AU282" s="1054"/>
      <c r="AV282" s="1056"/>
      <c r="AW282" s="1056"/>
      <c r="AX282" s="112"/>
      <c r="AY282" s="112"/>
      <c r="AZ282" s="112"/>
      <c r="BA282" s="112"/>
    </row>
    <row r="283" spans="1:53" ht="15" customHeight="1">
      <c r="A283" s="1053"/>
      <c r="B283" s="1044"/>
      <c r="F283" s="2813"/>
      <c r="G283" s="2693"/>
      <c r="H283" s="2693"/>
      <c r="I283" s="2693"/>
      <c r="J283" s="2693"/>
      <c r="K283" s="2693"/>
      <c r="L283" s="2693"/>
      <c r="M283" s="2693"/>
      <c r="N283" s="2693"/>
      <c r="O283" s="2693"/>
      <c r="P283" s="2693"/>
      <c r="Q283" s="2693"/>
      <c r="R283" s="2693"/>
      <c r="S283" s="2693"/>
      <c r="T283" s="2693"/>
      <c r="U283" s="2693"/>
      <c r="V283" s="2693"/>
      <c r="W283" s="2693"/>
      <c r="X283" s="2693"/>
      <c r="Y283" s="2693"/>
      <c r="Z283" s="2693"/>
      <c r="AA283" s="2693"/>
      <c r="AB283" s="2693"/>
      <c r="AC283" s="2693"/>
      <c r="AD283" s="2814"/>
      <c r="AE283" s="1057"/>
      <c r="AF283" s="923"/>
      <c r="AH283" s="923"/>
      <c r="AI283" s="923"/>
      <c r="AJ283" s="922"/>
      <c r="AK283" s="1005"/>
      <c r="AL283" s="1005"/>
      <c r="AM283" s="1005"/>
      <c r="AN283" s="110"/>
      <c r="AO283" s="51"/>
      <c r="AP283" s="922">
        <f>IF($C$291="yes",9,0)</f>
        <v>9</v>
      </c>
      <c r="AR283" s="21"/>
      <c r="AS283" s="1054"/>
      <c r="AT283" s="1054"/>
      <c r="AU283" s="1054"/>
      <c r="AV283" s="1056"/>
      <c r="AW283" s="1056"/>
      <c r="AX283" s="112"/>
      <c r="AY283" s="112"/>
      <c r="AZ283" s="112"/>
      <c r="BA283" s="112"/>
    </row>
    <row r="284" spans="1:53" ht="12.75" customHeight="1">
      <c r="A284" s="1053"/>
      <c r="B284" s="1044"/>
      <c r="F284" s="2813" t="s">
        <v>2413</v>
      </c>
      <c r="G284" s="2693"/>
      <c r="H284" s="2693"/>
      <c r="I284" s="2693"/>
      <c r="J284" s="2693"/>
      <c r="K284" s="2693"/>
      <c r="L284" s="2693"/>
      <c r="M284" s="2693"/>
      <c r="N284" s="2693"/>
      <c r="O284" s="2693"/>
      <c r="P284" s="2693"/>
      <c r="Q284" s="2693"/>
      <c r="R284" s="2693"/>
      <c r="S284" s="2693"/>
      <c r="T284" s="2693"/>
      <c r="U284" s="2693"/>
      <c r="V284" s="2693"/>
      <c r="W284" s="2693"/>
      <c r="X284" s="2693"/>
      <c r="Y284" s="2693"/>
      <c r="Z284" s="2693"/>
      <c r="AA284" s="2693"/>
      <c r="AB284" s="2693"/>
      <c r="AC284" s="2693"/>
      <c r="AD284" s="2814"/>
      <c r="AE284" s="1057"/>
      <c r="AF284" s="923"/>
      <c r="AH284" s="923"/>
      <c r="AI284" s="923"/>
      <c r="AJ284" s="922"/>
      <c r="AK284" s="1005"/>
      <c r="AL284" s="1005"/>
      <c r="AM284" s="1005"/>
      <c r="AN284" s="110"/>
      <c r="AO284" s="51"/>
      <c r="AP284" s="1058">
        <f>MAX(AP282,AP283)</f>
        <v>9</v>
      </c>
      <c r="AQ284" s="947" t="s">
        <v>1487</v>
      </c>
      <c r="AR284" s="21"/>
      <c r="AS284" s="1054"/>
      <c r="AT284" s="1054"/>
      <c r="AU284" s="1054"/>
      <c r="AV284" s="1056"/>
      <c r="AW284" s="1056"/>
      <c r="AX284" s="112"/>
      <c r="AY284" s="112"/>
      <c r="AZ284" s="112"/>
      <c r="BA284" s="112"/>
    </row>
    <row r="285" spans="1:53">
      <c r="A285" s="1053"/>
      <c r="B285" s="1044"/>
      <c r="F285" s="2813"/>
      <c r="G285" s="2693"/>
      <c r="H285" s="2693"/>
      <c r="I285" s="2693"/>
      <c r="J285" s="2693"/>
      <c r="K285" s="2693"/>
      <c r="L285" s="2693"/>
      <c r="M285" s="2693"/>
      <c r="N285" s="2693"/>
      <c r="O285" s="2693"/>
      <c r="P285" s="2693"/>
      <c r="Q285" s="2693"/>
      <c r="R285" s="2693"/>
      <c r="S285" s="2693"/>
      <c r="T285" s="2693"/>
      <c r="U285" s="2693"/>
      <c r="V285" s="2693"/>
      <c r="W285" s="2693"/>
      <c r="X285" s="2693"/>
      <c r="Y285" s="2693"/>
      <c r="Z285" s="2693"/>
      <c r="AA285" s="2693"/>
      <c r="AB285" s="2693"/>
      <c r="AC285" s="2693"/>
      <c r="AD285" s="2814"/>
      <c r="AE285" s="1057"/>
      <c r="AF285" s="923"/>
      <c r="AH285" s="923"/>
      <c r="AI285" s="923"/>
      <c r="AJ285" s="922"/>
      <c r="AK285" s="1005"/>
      <c r="AL285" s="1005"/>
      <c r="AM285" s="1005"/>
      <c r="AN285" s="110"/>
      <c r="AO285" s="51"/>
      <c r="AP285" s="922"/>
      <c r="AR285" s="21"/>
      <c r="AS285" s="1054"/>
      <c r="AT285" s="1054"/>
      <c r="AU285" s="1054"/>
      <c r="AV285" s="1056"/>
      <c r="AW285" s="1056"/>
      <c r="AX285" s="112"/>
      <c r="AY285" s="112"/>
      <c r="AZ285" s="112"/>
      <c r="BA285" s="112"/>
    </row>
    <row r="286" spans="1:53" ht="12.75" customHeight="1">
      <c r="A286" s="1039"/>
      <c r="B286" s="923"/>
      <c r="C286" s="922"/>
      <c r="D286" s="923"/>
      <c r="E286" s="922"/>
      <c r="F286" s="2813" t="s">
        <v>1555</v>
      </c>
      <c r="G286" s="2693"/>
      <c r="H286" s="2693"/>
      <c r="I286" s="2693"/>
      <c r="J286" s="2693"/>
      <c r="K286" s="2693"/>
      <c r="L286" s="2693"/>
      <c r="M286" s="2693"/>
      <c r="N286" s="2693"/>
      <c r="O286" s="2693"/>
      <c r="P286" s="2693"/>
      <c r="Q286" s="2693"/>
      <c r="R286" s="2693"/>
      <c r="S286" s="2693"/>
      <c r="T286" s="2693"/>
      <c r="U286" s="2693"/>
      <c r="V286" s="2693"/>
      <c r="W286" s="2693"/>
      <c r="X286" s="2693"/>
      <c r="Y286" s="2693"/>
      <c r="Z286" s="2693"/>
      <c r="AA286" s="2693"/>
      <c r="AB286" s="2693"/>
      <c r="AC286" s="2693"/>
      <c r="AD286" s="2814"/>
      <c r="AE286" s="1057"/>
      <c r="AF286" s="923"/>
      <c r="AG286" s="923"/>
      <c r="AH286" s="923"/>
      <c r="AI286" s="923"/>
      <c r="AJ286" s="922"/>
      <c r="AK286" s="1005"/>
      <c r="AL286" s="1005"/>
      <c r="AM286" s="1005"/>
      <c r="AN286" s="110"/>
      <c r="AO286" s="51"/>
      <c r="AR286" s="21"/>
      <c r="AS286" s="1054"/>
      <c r="AT286" s="1054"/>
      <c r="AU286" s="1054"/>
      <c r="AV286" s="1056"/>
      <c r="AW286" s="1056"/>
      <c r="AX286" s="112"/>
      <c r="AY286" s="112"/>
      <c r="AZ286" s="112"/>
      <c r="BA286" s="112"/>
    </row>
    <row r="287" spans="1:53" ht="15" customHeight="1">
      <c r="A287" s="1039"/>
      <c r="B287" s="923"/>
      <c r="C287" s="923"/>
      <c r="D287" s="923"/>
      <c r="E287" s="923"/>
      <c r="F287" s="2813"/>
      <c r="G287" s="2693"/>
      <c r="H287" s="2693"/>
      <c r="I287" s="2693"/>
      <c r="J287" s="2693"/>
      <c r="K287" s="2693"/>
      <c r="L287" s="2693"/>
      <c r="M287" s="2693"/>
      <c r="N287" s="2693"/>
      <c r="O287" s="2693"/>
      <c r="P287" s="2693"/>
      <c r="Q287" s="2693"/>
      <c r="R287" s="2693"/>
      <c r="S287" s="2693"/>
      <c r="T287" s="2693"/>
      <c r="U287" s="2693"/>
      <c r="V287" s="2693"/>
      <c r="W287" s="2693"/>
      <c r="X287" s="2693"/>
      <c r="Y287" s="2693"/>
      <c r="Z287" s="2693"/>
      <c r="AA287" s="2693"/>
      <c r="AB287" s="2693"/>
      <c r="AC287" s="2693"/>
      <c r="AD287" s="2814"/>
      <c r="AE287" s="1057"/>
      <c r="AF287" s="923"/>
      <c r="AG287" s="923"/>
      <c r="AH287" s="923"/>
      <c r="AI287" s="923"/>
      <c r="AJ287" s="922"/>
      <c r="AK287" s="1005"/>
      <c r="AL287" s="1005"/>
      <c r="AM287" s="1005"/>
      <c r="AN287" s="110"/>
      <c r="AO287" s="51"/>
      <c r="AR287" s="21"/>
      <c r="AS287" s="1054"/>
      <c r="AT287" s="1054"/>
      <c r="AU287" s="1054"/>
      <c r="AV287" s="1056"/>
      <c r="AW287" s="1056"/>
      <c r="AX287" s="112"/>
      <c r="AY287" s="112"/>
      <c r="AZ287" s="112"/>
      <c r="BA287" s="112"/>
    </row>
    <row r="288" spans="1:53" ht="12.75" customHeight="1">
      <c r="A288" s="1039"/>
      <c r="B288" s="923"/>
      <c r="C288" s="923"/>
      <c r="D288" s="923"/>
      <c r="E288" s="923"/>
      <c r="F288" s="2813" t="s">
        <v>1556</v>
      </c>
      <c r="G288" s="2693"/>
      <c r="H288" s="2693"/>
      <c r="I288" s="2693"/>
      <c r="J288" s="2693"/>
      <c r="K288" s="2693"/>
      <c r="L288" s="2693"/>
      <c r="M288" s="2693"/>
      <c r="N288" s="2693"/>
      <c r="O288" s="2693"/>
      <c r="P288" s="2693"/>
      <c r="Q288" s="2693"/>
      <c r="R288" s="2693"/>
      <c r="S288" s="2693"/>
      <c r="T288" s="2693"/>
      <c r="U288" s="2693"/>
      <c r="V288" s="2693"/>
      <c r="W288" s="2693"/>
      <c r="X288" s="2693"/>
      <c r="Y288" s="2693"/>
      <c r="Z288" s="2693"/>
      <c r="AA288" s="2693"/>
      <c r="AB288" s="2693"/>
      <c r="AC288" s="2693"/>
      <c r="AD288" s="2814"/>
      <c r="AE288" s="1059"/>
      <c r="AF288" s="923"/>
      <c r="AG288" s="923"/>
      <c r="AH288" s="923"/>
      <c r="AI288" s="923"/>
      <c r="AJ288" s="922"/>
      <c r="AK288" s="1005"/>
      <c r="AL288" s="1005"/>
      <c r="AM288" s="1005"/>
      <c r="AN288" s="110"/>
      <c r="AO288" s="51"/>
      <c r="AP288" s="922"/>
      <c r="AR288" s="21"/>
      <c r="AS288" s="1054"/>
      <c r="AT288" s="1054"/>
      <c r="AU288" s="1054"/>
      <c r="AV288" s="1056"/>
      <c r="AW288" s="1056"/>
      <c r="AX288" s="112"/>
      <c r="AY288" s="112"/>
      <c r="AZ288" s="112"/>
      <c r="BA288" s="112"/>
    </row>
    <row r="289" spans="1:60">
      <c r="A289" s="1039"/>
      <c r="B289" s="923"/>
      <c r="C289" s="923"/>
      <c r="D289" s="923"/>
      <c r="E289" s="923"/>
      <c r="F289" s="2817"/>
      <c r="G289" s="2818"/>
      <c r="H289" s="2818"/>
      <c r="I289" s="2818"/>
      <c r="J289" s="2818"/>
      <c r="K289" s="2818"/>
      <c r="L289" s="2818"/>
      <c r="M289" s="2818"/>
      <c r="N289" s="2818"/>
      <c r="O289" s="2818"/>
      <c r="P289" s="2818"/>
      <c r="Q289" s="2818"/>
      <c r="R289" s="2818"/>
      <c r="S289" s="2818"/>
      <c r="T289" s="2818"/>
      <c r="U289" s="2818"/>
      <c r="V289" s="2818"/>
      <c r="W289" s="2818"/>
      <c r="X289" s="2818"/>
      <c r="Y289" s="2818"/>
      <c r="Z289" s="2818"/>
      <c r="AA289" s="2818"/>
      <c r="AB289" s="2818"/>
      <c r="AC289" s="2818"/>
      <c r="AD289" s="2819"/>
      <c r="AE289" s="1059"/>
      <c r="AF289" s="923"/>
      <c r="AG289" s="923"/>
      <c r="AH289" s="923"/>
      <c r="AI289" s="923"/>
      <c r="AJ289" s="922"/>
      <c r="AK289" s="1005"/>
      <c r="AL289" s="1005"/>
      <c r="AM289" s="1005"/>
      <c r="AN289" s="110"/>
      <c r="AO289" s="51"/>
      <c r="AP289" s="922"/>
      <c r="AR289" s="21"/>
      <c r="AS289" s="1054"/>
      <c r="AT289" s="1054"/>
      <c r="AU289" s="1054"/>
      <c r="AV289" s="1056"/>
      <c r="AW289" s="1056"/>
      <c r="AX289" s="112"/>
      <c r="AY289" s="112"/>
      <c r="AZ289" s="112"/>
      <c r="BA289" s="112"/>
    </row>
    <row r="290" spans="1:60">
      <c r="A290" s="1039"/>
      <c r="B290" s="923"/>
      <c r="C290" s="923"/>
      <c r="D290" s="923"/>
      <c r="E290" s="923"/>
      <c r="F290" s="1059"/>
      <c r="G290" s="1059"/>
      <c r="H290" s="1059"/>
      <c r="I290" s="1059"/>
      <c r="J290" s="1059"/>
      <c r="K290" s="1059"/>
      <c r="L290" s="1059"/>
      <c r="M290" s="1059"/>
      <c r="N290" s="1059"/>
      <c r="O290" s="1059"/>
      <c r="P290" s="1059"/>
      <c r="Q290" s="1059"/>
      <c r="R290" s="1059"/>
      <c r="S290" s="1059"/>
      <c r="T290" s="1059"/>
      <c r="U290" s="1059"/>
      <c r="V290" s="1059"/>
      <c r="W290" s="1059"/>
      <c r="X290" s="1059"/>
      <c r="Y290" s="1059"/>
      <c r="Z290" s="1059"/>
      <c r="AA290" s="1059"/>
      <c r="AB290" s="1059"/>
      <c r="AC290" s="1059"/>
      <c r="AD290" s="1059"/>
      <c r="AE290" s="923"/>
      <c r="AF290" s="923"/>
      <c r="AG290" s="923"/>
      <c r="AH290" s="923"/>
      <c r="AI290" s="923"/>
      <c r="AJ290" s="922"/>
      <c r="AK290" s="1005"/>
      <c r="AL290" s="1005"/>
      <c r="AM290" s="1005"/>
      <c r="AN290" s="110"/>
      <c r="AO290" s="51"/>
      <c r="AR290" s="21"/>
      <c r="AS290" s="1060"/>
      <c r="AT290" s="1060"/>
      <c r="AU290" s="1060"/>
      <c r="AV290" s="54"/>
      <c r="AW290" s="54"/>
    </row>
    <row r="291" spans="1:60" ht="15" customHeight="1">
      <c r="A291" s="2796" t="s">
        <v>1557</v>
      </c>
      <c r="B291" s="2796"/>
      <c r="C291" s="2689" t="s">
        <v>554</v>
      </c>
      <c r="D291" s="2689"/>
      <c r="E291" s="919"/>
      <c r="F291" s="1061" t="s">
        <v>2406</v>
      </c>
      <c r="G291" s="1062"/>
      <c r="H291" s="1062"/>
      <c r="I291" s="1062"/>
      <c r="J291" s="1062"/>
      <c r="K291" s="1062"/>
      <c r="L291" s="1062"/>
      <c r="M291" s="1062"/>
      <c r="N291" s="1062"/>
      <c r="O291" s="1062"/>
      <c r="P291" s="1062"/>
      <c r="Q291" s="1062"/>
      <c r="R291" s="1062"/>
      <c r="S291" s="1062"/>
      <c r="T291" s="1062"/>
      <c r="U291" s="1062"/>
      <c r="V291" s="1062"/>
      <c r="W291" s="1062"/>
      <c r="X291" s="1062"/>
      <c r="Y291" s="1062"/>
      <c r="Z291" s="1062"/>
      <c r="AA291" s="1062"/>
      <c r="AB291" s="1062"/>
      <c r="AC291" s="1062"/>
      <c r="AD291" s="1063"/>
      <c r="AE291" s="923"/>
      <c r="AF291" s="923"/>
      <c r="AG291" s="965" t="s">
        <v>1559</v>
      </c>
      <c r="AH291" s="923"/>
      <c r="AI291" s="923"/>
      <c r="AJ291" s="922"/>
      <c r="AK291" s="1005"/>
      <c r="AL291" s="1005"/>
      <c r="AM291" s="1005"/>
      <c r="AN291" s="1064"/>
      <c r="AO291" s="51"/>
      <c r="AR291" s="21"/>
    </row>
    <row r="292" spans="1:60">
      <c r="A292" s="1039"/>
      <c r="B292" s="923"/>
      <c r="C292" s="922"/>
      <c r="D292" s="923"/>
      <c r="E292" s="922"/>
      <c r="F292" s="2800" t="s">
        <v>2407</v>
      </c>
      <c r="G292" s="2801"/>
      <c r="H292" s="2801"/>
      <c r="I292" s="2801"/>
      <c r="J292" s="2801"/>
      <c r="K292" s="2801"/>
      <c r="L292" s="2801"/>
      <c r="M292" s="2801"/>
      <c r="N292" s="2801"/>
      <c r="O292" s="2801"/>
      <c r="P292" s="2801"/>
      <c r="Q292" s="2801"/>
      <c r="R292" s="2801"/>
      <c r="S292" s="2801"/>
      <c r="T292" s="2801"/>
      <c r="U292" s="2801"/>
      <c r="V292" s="2801"/>
      <c r="W292" s="2801"/>
      <c r="X292" s="2801"/>
      <c r="Y292" s="2801"/>
      <c r="Z292" s="2801"/>
      <c r="AA292" s="2801"/>
      <c r="AB292" s="2801"/>
      <c r="AC292" s="2801"/>
      <c r="AD292" s="2802"/>
      <c r="AE292" s="923"/>
      <c r="AF292" s="923"/>
      <c r="AG292" s="923"/>
      <c r="AH292" s="923"/>
      <c r="AI292" s="923"/>
      <c r="AJ292" s="922"/>
      <c r="AK292" s="1005"/>
      <c r="AL292" s="1005"/>
      <c r="AM292" s="1005"/>
      <c r="AR292" s="1065"/>
    </row>
    <row r="293" spans="1:60" ht="15" customHeight="1">
      <c r="A293" s="1039"/>
      <c r="B293" s="923"/>
      <c r="C293" s="922"/>
      <c r="D293" s="923"/>
      <c r="E293" s="922"/>
      <c r="F293" s="2800"/>
      <c r="G293" s="2801"/>
      <c r="H293" s="2801"/>
      <c r="I293" s="2801"/>
      <c r="J293" s="2801"/>
      <c r="K293" s="2801"/>
      <c r="L293" s="2801"/>
      <c r="M293" s="2801"/>
      <c r="N293" s="2801"/>
      <c r="O293" s="2801"/>
      <c r="P293" s="2801"/>
      <c r="Q293" s="2801"/>
      <c r="R293" s="2801"/>
      <c r="S293" s="2801"/>
      <c r="T293" s="2801"/>
      <c r="U293" s="2801"/>
      <c r="V293" s="2801"/>
      <c r="W293" s="2801"/>
      <c r="X293" s="2801"/>
      <c r="Y293" s="2801"/>
      <c r="Z293" s="2801"/>
      <c r="AA293" s="2801"/>
      <c r="AB293" s="2801"/>
      <c r="AC293" s="2801"/>
      <c r="AD293" s="2802"/>
      <c r="AE293" s="923"/>
      <c r="AF293" s="923"/>
      <c r="AG293" s="923"/>
      <c r="AH293" s="923"/>
      <c r="AI293" s="923"/>
      <c r="AJ293" s="922"/>
      <c r="AK293" s="1005"/>
      <c r="AL293" s="1005"/>
      <c r="AM293" s="1005"/>
      <c r="AR293" s="1065"/>
    </row>
    <row r="294" spans="1:60">
      <c r="A294" s="1039"/>
      <c r="B294" s="923"/>
      <c r="C294" s="922"/>
      <c r="D294" s="923"/>
      <c r="E294" s="922"/>
      <c r="F294" s="2800"/>
      <c r="G294" s="2801"/>
      <c r="H294" s="2801"/>
      <c r="I294" s="2801"/>
      <c r="J294" s="2801"/>
      <c r="K294" s="2801"/>
      <c r="L294" s="2801"/>
      <c r="M294" s="2801"/>
      <c r="N294" s="2801"/>
      <c r="O294" s="2801"/>
      <c r="P294" s="2801"/>
      <c r="Q294" s="2801"/>
      <c r="R294" s="2801"/>
      <c r="S294" s="2801"/>
      <c r="T294" s="2801"/>
      <c r="U294" s="2801"/>
      <c r="V294" s="2801"/>
      <c r="W294" s="2801"/>
      <c r="X294" s="2801"/>
      <c r="Y294" s="2801"/>
      <c r="Z294" s="2801"/>
      <c r="AA294" s="2801"/>
      <c r="AB294" s="2801"/>
      <c r="AC294" s="2801"/>
      <c r="AD294" s="2802"/>
      <c r="AE294" s="923"/>
      <c r="AF294" s="923"/>
      <c r="AG294" s="923"/>
      <c r="AH294" s="923"/>
      <c r="AI294" s="923"/>
      <c r="AJ294" s="922"/>
      <c r="AK294" s="1005"/>
      <c r="AL294" s="1005"/>
      <c r="AM294" s="1005"/>
      <c r="AP294" s="1058"/>
      <c r="AQ294" s="947"/>
      <c r="AR294" s="1065"/>
    </row>
    <row r="295" spans="1:60" ht="15" customHeight="1">
      <c r="A295" s="1039"/>
      <c r="B295" s="923"/>
      <c r="C295" s="922"/>
      <c r="D295" s="923"/>
      <c r="E295" s="922"/>
      <c r="F295" s="2826"/>
      <c r="G295" s="2827"/>
      <c r="H295" s="2827"/>
      <c r="I295" s="2827"/>
      <c r="J295" s="2827"/>
      <c r="K295" s="2827"/>
      <c r="L295" s="2827"/>
      <c r="M295" s="2827"/>
      <c r="N295" s="2827"/>
      <c r="O295" s="2827"/>
      <c r="P295" s="2827"/>
      <c r="Q295" s="2827"/>
      <c r="R295" s="2827"/>
      <c r="S295" s="2827"/>
      <c r="T295" s="2827"/>
      <c r="U295" s="2827"/>
      <c r="V295" s="2827"/>
      <c r="W295" s="2827"/>
      <c r="X295" s="2827"/>
      <c r="Y295" s="2827"/>
      <c r="Z295" s="2827"/>
      <c r="AA295" s="2827"/>
      <c r="AB295" s="2827"/>
      <c r="AC295" s="2827"/>
      <c r="AD295" s="2828"/>
      <c r="AE295" s="923"/>
      <c r="AF295" s="923"/>
      <c r="AG295" s="923"/>
      <c r="AH295" s="923"/>
      <c r="AI295" s="923"/>
      <c r="AJ295" s="922"/>
      <c r="AK295" s="1005"/>
      <c r="AL295" s="1005"/>
      <c r="AM295" s="1005"/>
      <c r="AP295" s="1058"/>
      <c r="AQ295" s="947"/>
      <c r="AR295" s="1065"/>
    </row>
    <row r="296" spans="1:60">
      <c r="A296" s="1039"/>
      <c r="B296" s="923"/>
      <c r="C296" s="923"/>
      <c r="D296" s="923"/>
      <c r="E296" s="923"/>
      <c r="F296" s="923"/>
      <c r="G296" s="923"/>
      <c r="H296" s="923"/>
      <c r="I296" s="923"/>
      <c r="J296" s="923"/>
      <c r="K296" s="923"/>
      <c r="L296" s="923"/>
      <c r="M296" s="923"/>
      <c r="N296" s="923"/>
      <c r="O296" s="923"/>
      <c r="P296" s="923"/>
      <c r="Q296" s="923"/>
      <c r="R296" s="923"/>
      <c r="S296" s="923"/>
      <c r="T296" s="923"/>
      <c r="U296" s="923"/>
      <c r="V296" s="923"/>
      <c r="W296" s="923"/>
      <c r="X296" s="923"/>
      <c r="Y296" s="923"/>
      <c r="Z296" s="923"/>
      <c r="AA296" s="923"/>
      <c r="AB296" s="923"/>
      <c r="AC296" s="923"/>
      <c r="AD296" s="923"/>
      <c r="AE296" s="923"/>
      <c r="AF296" s="923"/>
      <c r="AG296" s="923"/>
      <c r="AH296" s="923"/>
      <c r="AI296" s="923"/>
      <c r="AJ296" s="922"/>
      <c r="AK296" s="1005"/>
      <c r="AL296" s="1005"/>
      <c r="AM296" s="1005"/>
      <c r="AP296" s="1058"/>
      <c r="AQ296" s="947"/>
      <c r="AR296" s="1065"/>
    </row>
    <row r="297" spans="1:60" hidden="1">
      <c r="A297" s="1039"/>
      <c r="B297" s="923"/>
      <c r="C297" s="923"/>
      <c r="D297" s="923"/>
      <c r="E297" s="923"/>
      <c r="F297" s="923"/>
      <c r="G297" s="923"/>
      <c r="H297" s="923"/>
      <c r="I297" s="923"/>
      <c r="J297" s="923"/>
      <c r="K297" s="923"/>
      <c r="L297" s="923"/>
      <c r="M297" s="923"/>
      <c r="N297" s="923"/>
      <c r="O297" s="923"/>
      <c r="P297" s="923"/>
      <c r="Q297" s="923"/>
      <c r="R297" s="923"/>
      <c r="S297" s="923"/>
      <c r="T297" s="923"/>
      <c r="U297" s="923"/>
      <c r="V297" s="923"/>
      <c r="W297" s="923"/>
      <c r="X297" s="923"/>
      <c r="Y297" s="923"/>
      <c r="Z297" s="923"/>
      <c r="AA297" s="923"/>
      <c r="AB297" s="923"/>
      <c r="AC297" s="923"/>
      <c r="AD297" s="923"/>
      <c r="AE297" s="923"/>
      <c r="AF297" s="923"/>
      <c r="AG297" s="923"/>
      <c r="AH297" s="923"/>
      <c r="AI297" s="923"/>
      <c r="AJ297" s="922"/>
      <c r="AK297" s="1005"/>
      <c r="AL297" s="1005"/>
      <c r="AM297" s="1005"/>
      <c r="AP297" s="1058"/>
      <c r="AQ297" s="947"/>
      <c r="AR297" s="1065"/>
    </row>
    <row r="298" spans="1:60" hidden="1">
      <c r="A298" s="1039"/>
      <c r="B298" s="923"/>
      <c r="C298" s="923"/>
      <c r="D298" s="923"/>
      <c r="E298" s="923"/>
      <c r="F298" s="923"/>
      <c r="G298" s="923"/>
      <c r="H298" s="923"/>
      <c r="I298" s="923"/>
      <c r="J298" s="923"/>
      <c r="K298" s="923"/>
      <c r="L298" s="923"/>
      <c r="M298" s="923"/>
      <c r="N298" s="923"/>
      <c r="O298" s="923"/>
      <c r="P298" s="923"/>
      <c r="Q298" s="923"/>
      <c r="R298" s="923"/>
      <c r="S298" s="923"/>
      <c r="T298" s="923"/>
      <c r="U298" s="923"/>
      <c r="V298" s="923"/>
      <c r="W298" s="923"/>
      <c r="X298" s="923"/>
      <c r="Y298" s="923"/>
      <c r="Z298" s="923"/>
      <c r="AA298" s="923"/>
      <c r="AB298" s="923"/>
      <c r="AC298" s="923"/>
      <c r="AD298" s="923"/>
      <c r="AE298" s="923"/>
      <c r="AF298" s="923"/>
      <c r="AG298" s="923"/>
      <c r="AH298" s="923"/>
      <c r="AI298" s="923"/>
      <c r="AJ298" s="922"/>
      <c r="AK298" s="1005"/>
      <c r="AL298" s="1005"/>
      <c r="AM298" s="1005"/>
      <c r="AN298" s="110"/>
      <c r="AO298" s="51"/>
      <c r="AR298" s="21"/>
    </row>
    <row r="299" spans="1:60" hidden="1">
      <c r="A299" s="2796" t="s">
        <v>1560</v>
      </c>
      <c r="B299" s="2796"/>
      <c r="C299" s="2689" t="s">
        <v>600</v>
      </c>
      <c r="D299" s="2689"/>
      <c r="E299" s="919"/>
      <c r="F299" s="1061" t="s">
        <v>1558</v>
      </c>
      <c r="G299" s="1066"/>
      <c r="H299" s="1066"/>
      <c r="I299" s="1066"/>
      <c r="J299" s="1066"/>
      <c r="K299" s="1066"/>
      <c r="L299" s="1066"/>
      <c r="M299" s="1066"/>
      <c r="N299" s="1066"/>
      <c r="O299" s="1066"/>
      <c r="P299" s="1066"/>
      <c r="Q299" s="1066"/>
      <c r="R299" s="1066"/>
      <c r="S299" s="1066"/>
      <c r="T299" s="1066"/>
      <c r="U299" s="1066"/>
      <c r="V299" s="1066"/>
      <c r="W299" s="1066"/>
      <c r="X299" s="1066"/>
      <c r="Y299" s="1066"/>
      <c r="Z299" s="1066"/>
      <c r="AA299" s="1066"/>
      <c r="AB299" s="1066"/>
      <c r="AC299" s="1066"/>
      <c r="AD299" s="1067"/>
      <c r="AE299" s="923"/>
      <c r="AF299" s="923"/>
      <c r="AG299" s="991" t="s">
        <v>1559</v>
      </c>
      <c r="AH299" s="923"/>
      <c r="AI299" s="923"/>
      <c r="AJ299" s="922"/>
      <c r="AK299" s="1005"/>
      <c r="AL299" s="1005"/>
      <c r="AM299" s="1005"/>
      <c r="AN299" s="110"/>
      <c r="AO299" s="51"/>
      <c r="AR299" s="21"/>
    </row>
    <row r="300" spans="1:60" hidden="1">
      <c r="A300" s="1629"/>
      <c r="B300" s="1629"/>
      <c r="C300" s="1625"/>
      <c r="D300" s="1625"/>
      <c r="E300" s="919"/>
      <c r="F300" s="2813" t="s">
        <v>2414</v>
      </c>
      <c r="G300" s="2693"/>
      <c r="H300" s="2693"/>
      <c r="I300" s="2693"/>
      <c r="J300" s="2693"/>
      <c r="K300" s="2693"/>
      <c r="L300" s="2693"/>
      <c r="M300" s="2693"/>
      <c r="N300" s="2693"/>
      <c r="O300" s="2693"/>
      <c r="P300" s="2693"/>
      <c r="Q300" s="2693"/>
      <c r="R300" s="2693"/>
      <c r="S300" s="2693"/>
      <c r="T300" s="2693"/>
      <c r="U300" s="2693"/>
      <c r="V300" s="2693"/>
      <c r="W300" s="2693"/>
      <c r="X300" s="2693"/>
      <c r="Y300" s="2693"/>
      <c r="Z300" s="2693"/>
      <c r="AA300" s="2693"/>
      <c r="AB300" s="2693"/>
      <c r="AC300" s="2693"/>
      <c r="AD300" s="2814"/>
      <c r="AE300" s="923"/>
      <c r="AF300" s="923"/>
      <c r="AG300" s="991"/>
      <c r="AH300" s="923"/>
      <c r="AI300" s="923"/>
      <c r="AJ300" s="922"/>
      <c r="AK300" s="1005"/>
      <c r="AL300" s="1005"/>
      <c r="AM300" s="1005"/>
      <c r="AN300" s="110"/>
      <c r="AO300" s="51"/>
      <c r="AP300" s="929" t="s">
        <v>1326</v>
      </c>
      <c r="AR300" s="21"/>
    </row>
    <row r="301" spans="1:60" s="21" customFormat="1" hidden="1">
      <c r="F301" s="2813"/>
      <c r="G301" s="2693"/>
      <c r="H301" s="2693"/>
      <c r="I301" s="2693"/>
      <c r="J301" s="2693"/>
      <c r="K301" s="2693"/>
      <c r="L301" s="2693"/>
      <c r="M301" s="2693"/>
      <c r="N301" s="2693"/>
      <c r="O301" s="2693"/>
      <c r="P301" s="2693"/>
      <c r="Q301" s="2693"/>
      <c r="R301" s="2693"/>
      <c r="S301" s="2693"/>
      <c r="T301" s="2693"/>
      <c r="U301" s="2693"/>
      <c r="V301" s="2693"/>
      <c r="W301" s="2693"/>
      <c r="X301" s="2693"/>
      <c r="Y301" s="2693"/>
      <c r="Z301" s="2693"/>
      <c r="AA301" s="2693"/>
      <c r="AB301" s="2693"/>
      <c r="AC301" s="2693"/>
      <c r="AD301" s="2814"/>
      <c r="AE301" s="923"/>
      <c r="AF301" s="923"/>
      <c r="AH301" s="923"/>
      <c r="AI301" s="923"/>
      <c r="AJ301" s="1068"/>
      <c r="AK301" s="1039"/>
      <c r="AL301" s="1039"/>
      <c r="AM301" s="1039"/>
      <c r="AN301" s="1069"/>
      <c r="AP301" s="1070" t="s">
        <v>1984</v>
      </c>
      <c r="BD301" s="1071"/>
      <c r="BE301" s="1071"/>
      <c r="BF301" s="1071"/>
      <c r="BG301" s="1071"/>
      <c r="BH301" s="1071"/>
    </row>
    <row r="302" spans="1:60" hidden="1">
      <c r="A302" s="1039"/>
      <c r="B302" s="923"/>
      <c r="C302" s="1625"/>
      <c r="D302" s="1625"/>
      <c r="E302" s="919"/>
      <c r="F302" s="1073" t="s">
        <v>1561</v>
      </c>
      <c r="G302" s="1085"/>
      <c r="H302" s="1085"/>
      <c r="I302" s="1085"/>
      <c r="J302" s="1085"/>
      <c r="K302" s="1085"/>
      <c r="L302" s="1085"/>
      <c r="M302" s="1085"/>
      <c r="N302" s="1085"/>
      <c r="O302" s="1085"/>
      <c r="P302" s="1085"/>
      <c r="Q302" s="1085"/>
      <c r="R302" s="1085"/>
      <c r="S302" s="1085"/>
      <c r="T302" s="1085"/>
      <c r="U302" s="1085"/>
      <c r="V302" s="1085"/>
      <c r="W302" s="1085"/>
      <c r="X302" s="1085"/>
      <c r="Y302" s="1085"/>
      <c r="Z302" s="1085"/>
      <c r="AA302" s="1085"/>
      <c r="AB302" s="1085"/>
      <c r="AC302" s="1085"/>
      <c r="AD302" s="1652"/>
      <c r="AE302" s="923"/>
      <c r="AF302" s="923"/>
      <c r="AG302" s="965"/>
      <c r="AH302" s="923"/>
      <c r="AI302" s="923"/>
      <c r="AJ302" s="922"/>
      <c r="AK302" s="1005"/>
      <c r="AL302" s="1005"/>
      <c r="AM302" s="1005"/>
      <c r="AN302" s="110"/>
      <c r="AO302" s="51"/>
      <c r="AP302" s="1070" t="s">
        <v>1986</v>
      </c>
      <c r="AR302" s="21"/>
    </row>
    <row r="303" spans="1:60" hidden="1">
      <c r="A303" s="1039"/>
      <c r="B303" s="923"/>
      <c r="C303" s="1625"/>
      <c r="D303" s="1625"/>
      <c r="E303" s="919"/>
      <c r="F303" s="1073"/>
      <c r="G303" s="1085"/>
      <c r="H303" s="1085"/>
      <c r="I303" s="1085"/>
      <c r="J303" s="1085"/>
      <c r="K303" s="1085"/>
      <c r="L303" s="1085"/>
      <c r="M303" s="1085"/>
      <c r="N303" s="1085"/>
      <c r="O303" s="1085"/>
      <c r="P303" s="1085"/>
      <c r="Q303" s="1085"/>
      <c r="R303" s="1085"/>
      <c r="S303" s="1085"/>
      <c r="T303" s="1085"/>
      <c r="U303" s="1085"/>
      <c r="V303" s="1085"/>
      <c r="W303" s="1085"/>
      <c r="X303" s="1085"/>
      <c r="Y303" s="1085"/>
      <c r="Z303" s="1085"/>
      <c r="AA303" s="1085"/>
      <c r="AB303" s="1085"/>
      <c r="AC303" s="1085"/>
      <c r="AD303" s="1652"/>
      <c r="AE303" s="923"/>
      <c r="AF303" s="923"/>
      <c r="AG303" s="965"/>
      <c r="AH303" s="923"/>
      <c r="AI303" s="923"/>
      <c r="AJ303" s="1004"/>
      <c r="AK303" s="1005"/>
      <c r="AL303" s="1005"/>
      <c r="AM303" s="1005"/>
      <c r="AN303" s="110"/>
      <c r="AO303" s="51"/>
      <c r="AP303" s="1070" t="s">
        <v>2112</v>
      </c>
      <c r="AR303" s="21"/>
    </row>
    <row r="304" spans="1:60" ht="12.75" hidden="1" customHeight="1">
      <c r="A304" s="1039"/>
      <c r="B304" s="923"/>
      <c r="C304" s="1625"/>
      <c r="D304" s="1625"/>
      <c r="E304" s="919"/>
      <c r="F304" s="1073"/>
      <c r="G304" s="1057"/>
      <c r="H304" s="1057"/>
      <c r="I304" s="1057"/>
      <c r="J304" s="1057"/>
      <c r="K304" s="1057"/>
      <c r="L304" s="1057"/>
      <c r="M304" s="1057"/>
      <c r="N304" s="1057"/>
      <c r="O304" s="1057"/>
      <c r="P304" s="1057"/>
      <c r="Q304" s="1057"/>
      <c r="R304" s="1057"/>
      <c r="S304" s="1057"/>
      <c r="T304" s="1057"/>
      <c r="U304" s="1057"/>
      <c r="V304" s="1057"/>
      <c r="W304" s="1057"/>
      <c r="X304" s="1057"/>
      <c r="Y304" s="1057"/>
      <c r="Z304" s="1057"/>
      <c r="AA304" s="1057"/>
      <c r="AB304" s="1057"/>
      <c r="AC304" s="1057"/>
      <c r="AD304" s="1074"/>
      <c r="AE304" s="923"/>
      <c r="AF304" s="923"/>
      <c r="AG304" s="965"/>
      <c r="AH304" s="923"/>
      <c r="AI304" s="923"/>
      <c r="AJ304" s="1005"/>
      <c r="AK304" s="1005"/>
      <c r="AL304" s="1005"/>
      <c r="AM304" s="1005"/>
      <c r="AN304" s="110"/>
      <c r="AO304" s="51"/>
      <c r="AP304" s="126"/>
      <c r="AR304" s="21"/>
    </row>
    <row r="305" spans="1:60" ht="12.75" hidden="1" customHeight="1">
      <c r="A305" s="1039"/>
      <c r="B305" s="923"/>
      <c r="C305" s="1625"/>
      <c r="D305" s="1625"/>
      <c r="E305" s="919"/>
      <c r="F305" s="2803" t="s">
        <v>1326</v>
      </c>
      <c r="G305" s="2804"/>
      <c r="H305" s="2804"/>
      <c r="I305" s="2804"/>
      <c r="J305" s="2804"/>
      <c r="K305" s="2804"/>
      <c r="L305" s="2804"/>
      <c r="M305" s="2804"/>
      <c r="N305" s="2804"/>
      <c r="O305" s="2804"/>
      <c r="P305" s="2804"/>
      <c r="Q305" s="2804"/>
      <c r="R305" s="2804"/>
      <c r="S305" s="2804"/>
      <c r="T305" s="2804"/>
      <c r="U305" s="2804"/>
      <c r="V305" s="2804"/>
      <c r="W305" s="2804"/>
      <c r="X305" s="2804"/>
      <c r="Y305" s="2804"/>
      <c r="Z305" s="2804"/>
      <c r="AA305" s="2804"/>
      <c r="AB305" s="2804"/>
      <c r="AC305" s="2804"/>
      <c r="AD305" s="2805"/>
      <c r="AE305" s="1057"/>
      <c r="AF305" s="1057"/>
      <c r="AG305" s="1057"/>
      <c r="AH305" s="1057"/>
      <c r="AI305" s="1057"/>
      <c r="AJ305" s="1057"/>
      <c r="AK305" s="1057"/>
      <c r="AL305" s="1005"/>
      <c r="AM305" s="1005"/>
      <c r="AN305" s="110"/>
      <c r="AO305" s="51"/>
      <c r="AP305" s="126"/>
      <c r="AR305" s="21"/>
    </row>
    <row r="306" spans="1:60" hidden="1">
      <c r="A306" s="1039"/>
      <c r="B306" s="923"/>
      <c r="C306" s="1625"/>
      <c r="D306" s="1625"/>
      <c r="E306" s="919"/>
      <c r="F306" s="2803"/>
      <c r="G306" s="2804"/>
      <c r="H306" s="2804"/>
      <c r="I306" s="2804"/>
      <c r="J306" s="2804"/>
      <c r="K306" s="2804"/>
      <c r="L306" s="2804"/>
      <c r="M306" s="2804"/>
      <c r="N306" s="2804"/>
      <c r="O306" s="2804"/>
      <c r="P306" s="2804"/>
      <c r="Q306" s="2804"/>
      <c r="R306" s="2804"/>
      <c r="S306" s="2804"/>
      <c r="T306" s="2804"/>
      <c r="U306" s="2804"/>
      <c r="V306" s="2804"/>
      <c r="W306" s="2804"/>
      <c r="X306" s="2804"/>
      <c r="Y306" s="2804"/>
      <c r="Z306" s="2804"/>
      <c r="AA306" s="2804"/>
      <c r="AB306" s="2804"/>
      <c r="AC306" s="2804"/>
      <c r="AD306" s="2805"/>
      <c r="AE306" s="923"/>
      <c r="AF306" s="923"/>
      <c r="AG306" s="965"/>
      <c r="AH306" s="923"/>
      <c r="AI306" s="923"/>
      <c r="AJ306" s="1005"/>
      <c r="AK306" s="1005"/>
      <c r="AL306" s="1005"/>
      <c r="AM306" s="1005"/>
      <c r="AN306" s="110"/>
      <c r="AO306" s="51"/>
      <c r="AP306" s="126"/>
      <c r="AR306" s="21"/>
    </row>
    <row r="307" spans="1:60" hidden="1">
      <c r="A307" s="1039"/>
      <c r="B307" s="923"/>
      <c r="C307" s="1625"/>
      <c r="D307" s="1625"/>
      <c r="E307" s="919"/>
      <c r="F307" s="2803"/>
      <c r="G307" s="2804"/>
      <c r="H307" s="2804"/>
      <c r="I307" s="2804"/>
      <c r="J307" s="2804"/>
      <c r="K307" s="2804"/>
      <c r="L307" s="2804"/>
      <c r="M307" s="2804"/>
      <c r="N307" s="2804"/>
      <c r="O307" s="2804"/>
      <c r="P307" s="2804"/>
      <c r="Q307" s="2804"/>
      <c r="R307" s="2804"/>
      <c r="S307" s="2804"/>
      <c r="T307" s="2804"/>
      <c r="U307" s="2804"/>
      <c r="V307" s="2804"/>
      <c r="W307" s="2804"/>
      <c r="X307" s="2804"/>
      <c r="Y307" s="2804"/>
      <c r="Z307" s="2804"/>
      <c r="AA307" s="2804"/>
      <c r="AB307" s="2804"/>
      <c r="AC307" s="2804"/>
      <c r="AD307" s="2805"/>
      <c r="AE307" s="923"/>
      <c r="AF307" s="923"/>
      <c r="AG307" s="965"/>
      <c r="AH307" s="923"/>
      <c r="AI307" s="923"/>
      <c r="AJ307" s="1005"/>
      <c r="AK307" s="1005"/>
      <c r="AL307" s="1005"/>
      <c r="AM307" s="1005"/>
      <c r="AN307" s="110"/>
      <c r="AO307" s="51"/>
      <c r="AP307" s="126"/>
      <c r="AR307" s="21"/>
    </row>
    <row r="308" spans="1:60" hidden="1">
      <c r="A308" s="1039"/>
      <c r="B308" s="923"/>
      <c r="C308" s="1625"/>
      <c r="D308" s="1625"/>
      <c r="E308" s="919"/>
      <c r="F308" s="2803"/>
      <c r="G308" s="2804"/>
      <c r="H308" s="2804"/>
      <c r="I308" s="2804"/>
      <c r="J308" s="2804"/>
      <c r="K308" s="2804"/>
      <c r="L308" s="2804"/>
      <c r="M308" s="2804"/>
      <c r="N308" s="2804"/>
      <c r="O308" s="2804"/>
      <c r="P308" s="2804"/>
      <c r="Q308" s="2804"/>
      <c r="R308" s="2804"/>
      <c r="S308" s="2804"/>
      <c r="T308" s="2804"/>
      <c r="U308" s="2804"/>
      <c r="V308" s="2804"/>
      <c r="W308" s="2804"/>
      <c r="X308" s="2804"/>
      <c r="Y308" s="2804"/>
      <c r="Z308" s="2804"/>
      <c r="AA308" s="2804"/>
      <c r="AB308" s="2804"/>
      <c r="AC308" s="2804"/>
      <c r="AD308" s="2805"/>
      <c r="AE308" s="923"/>
      <c r="AF308" s="923"/>
      <c r="AG308" s="965"/>
      <c r="AH308" s="923"/>
      <c r="AI308" s="923"/>
      <c r="AJ308" s="1005"/>
      <c r="AK308" s="1005"/>
      <c r="AL308" s="1005"/>
      <c r="AM308" s="1005"/>
      <c r="AN308" s="110"/>
      <c r="AO308" s="51"/>
      <c r="AP308" s="126"/>
      <c r="AR308" s="21"/>
    </row>
    <row r="309" spans="1:60" hidden="1">
      <c r="A309" s="1039"/>
      <c r="B309" s="923"/>
      <c r="C309" s="1625"/>
      <c r="D309" s="1625"/>
      <c r="E309" s="919"/>
      <c r="F309" s="2806"/>
      <c r="G309" s="2807"/>
      <c r="H309" s="2807"/>
      <c r="I309" s="2807"/>
      <c r="J309" s="2807"/>
      <c r="K309" s="2807"/>
      <c r="L309" s="2807"/>
      <c r="M309" s="2807"/>
      <c r="N309" s="2807"/>
      <c r="O309" s="2807"/>
      <c r="P309" s="2807"/>
      <c r="Q309" s="2807"/>
      <c r="R309" s="2807"/>
      <c r="S309" s="2807"/>
      <c r="T309" s="2807"/>
      <c r="U309" s="2807"/>
      <c r="V309" s="2807"/>
      <c r="W309" s="2807"/>
      <c r="X309" s="2807"/>
      <c r="Y309" s="2807"/>
      <c r="Z309" s="2807"/>
      <c r="AA309" s="2807"/>
      <c r="AB309" s="2807"/>
      <c r="AC309" s="2807"/>
      <c r="AD309" s="2808"/>
      <c r="AE309" s="923"/>
      <c r="AF309" s="923"/>
      <c r="AG309" s="965"/>
      <c r="AH309" s="923"/>
      <c r="AI309" s="923"/>
      <c r="AJ309" s="1004"/>
      <c r="AK309" s="1005"/>
      <c r="AL309" s="1005"/>
      <c r="AM309" s="1005"/>
      <c r="AN309" s="110"/>
      <c r="AO309" s="51"/>
      <c r="AP309" s="126"/>
      <c r="AR309" s="21"/>
    </row>
    <row r="310" spans="1:60" s="56" customFormat="1" hidden="1">
      <c r="A310" s="1039"/>
      <c r="B310" s="923"/>
      <c r="C310" s="1625"/>
      <c r="D310" s="1625"/>
      <c r="E310" s="919"/>
      <c r="F310" s="1530"/>
      <c r="G310" s="1057"/>
      <c r="H310" s="1057"/>
      <c r="I310" s="1057"/>
      <c r="J310" s="1057"/>
      <c r="K310" s="1057"/>
      <c r="L310" s="1057"/>
      <c r="M310" s="1057"/>
      <c r="N310" s="1057"/>
      <c r="O310" s="1057"/>
      <c r="P310" s="1057"/>
      <c r="Q310" s="1057"/>
      <c r="R310" s="1057"/>
      <c r="S310" s="1057"/>
      <c r="T310" s="1057"/>
      <c r="U310" s="1057"/>
      <c r="V310" s="1057"/>
      <c r="W310" s="1057"/>
      <c r="X310" s="1057"/>
      <c r="Y310" s="1057"/>
      <c r="Z310" s="1057"/>
      <c r="AA310" s="1057"/>
      <c r="AB310" s="1057"/>
      <c r="AC310" s="1057"/>
      <c r="AD310" s="1074"/>
      <c r="AE310" s="923"/>
      <c r="AF310" s="923"/>
      <c r="AG310" s="965"/>
      <c r="AH310" s="923"/>
      <c r="AI310" s="923"/>
      <c r="AJ310" s="1005"/>
      <c r="AK310" s="1005"/>
      <c r="AL310" s="1005"/>
      <c r="AM310" s="1005"/>
      <c r="AN310" s="1531"/>
      <c r="AP310" s="1532"/>
      <c r="AR310" s="1533"/>
      <c r="BD310" s="55"/>
      <c r="BE310" s="55"/>
      <c r="BF310" s="55"/>
      <c r="BG310" s="55"/>
      <c r="BH310" s="55"/>
    </row>
    <row r="311" spans="1:60" hidden="1">
      <c r="A311" s="1039"/>
      <c r="B311" s="923"/>
      <c r="C311" s="1625"/>
      <c r="D311" s="1625"/>
      <c r="E311" s="919"/>
      <c r="F311" s="1075" t="s">
        <v>1985</v>
      </c>
      <c r="G311" s="923"/>
      <c r="H311" s="923"/>
      <c r="I311" s="923"/>
      <c r="J311" s="923"/>
      <c r="K311" s="923"/>
      <c r="L311" s="923"/>
      <c r="M311" s="923"/>
      <c r="N311" s="923"/>
      <c r="O311" s="923"/>
      <c r="P311" s="923"/>
      <c r="Q311" s="923"/>
      <c r="R311" s="923"/>
      <c r="S311" s="923"/>
      <c r="T311" s="923"/>
      <c r="U311" s="923"/>
      <c r="V311" s="923"/>
      <c r="W311" s="923"/>
      <c r="X311" s="923"/>
      <c r="Y311" s="923"/>
      <c r="Z311" s="923"/>
      <c r="AA311" s="923"/>
      <c r="AB311" s="923"/>
      <c r="AC311" s="923"/>
      <c r="AD311" s="1076"/>
      <c r="AE311" s="923"/>
      <c r="AF311" s="923"/>
      <c r="AG311" s="965"/>
      <c r="AH311" s="923"/>
      <c r="AI311" s="923"/>
      <c r="AJ311" s="922"/>
      <c r="AK311" s="1005"/>
      <c r="AL311" s="1005"/>
      <c r="AM311" s="1005"/>
      <c r="AN311" s="110"/>
      <c r="AO311" s="51"/>
      <c r="AP311" s="126"/>
      <c r="AR311" s="21"/>
    </row>
    <row r="312" spans="1:60" hidden="1">
      <c r="A312" s="1039"/>
      <c r="B312" s="923"/>
      <c r="C312" s="1625"/>
      <c r="D312" s="1625"/>
      <c r="E312" s="919"/>
      <c r="F312" s="1075"/>
      <c r="G312" s="923"/>
      <c r="H312" s="923"/>
      <c r="I312" s="923"/>
      <c r="J312" s="923"/>
      <c r="K312" s="923"/>
      <c r="L312" s="923"/>
      <c r="M312" s="923"/>
      <c r="N312" s="923"/>
      <c r="O312" s="923"/>
      <c r="P312" s="923"/>
      <c r="Q312" s="923"/>
      <c r="R312" s="923"/>
      <c r="S312" s="923"/>
      <c r="T312" s="923"/>
      <c r="U312" s="923"/>
      <c r="V312" s="923"/>
      <c r="W312" s="923"/>
      <c r="X312" s="923"/>
      <c r="Y312" s="923"/>
      <c r="Z312" s="923"/>
      <c r="AA312" s="923"/>
      <c r="AB312" s="923"/>
      <c r="AC312" s="923"/>
      <c r="AD312" s="1076"/>
      <c r="AE312" s="923"/>
      <c r="AF312" s="923"/>
      <c r="AG312" s="965"/>
      <c r="AH312" s="923"/>
      <c r="AI312" s="923"/>
      <c r="AJ312" s="922"/>
      <c r="AK312" s="1005"/>
      <c r="AL312" s="1005"/>
      <c r="AM312" s="1005"/>
      <c r="AN312" s="110"/>
      <c r="AO312" s="51"/>
      <c r="AP312" s="929" t="s">
        <v>1326</v>
      </c>
      <c r="AR312" s="21"/>
    </row>
    <row r="313" spans="1:60" ht="12.75" hidden="1" customHeight="1">
      <c r="A313" s="1039"/>
      <c r="B313" s="923"/>
      <c r="C313" s="1625"/>
      <c r="D313" s="1625"/>
      <c r="E313" s="919"/>
      <c r="F313" s="1077"/>
      <c r="G313" s="948" t="s">
        <v>697</v>
      </c>
      <c r="H313" s="948"/>
      <c r="I313" s="2809" t="s">
        <v>1326</v>
      </c>
      <c r="J313" s="2809"/>
      <c r="K313" s="2809"/>
      <c r="L313" s="2809"/>
      <c r="M313" s="2809"/>
      <c r="N313" s="2809"/>
      <c r="O313" s="2809"/>
      <c r="P313" s="2809"/>
      <c r="Q313" s="2809"/>
      <c r="R313" s="2809"/>
      <c r="S313" s="2809"/>
      <c r="T313" s="2809"/>
      <c r="U313" s="2809"/>
      <c r="V313" s="2809"/>
      <c r="W313" s="2809"/>
      <c r="X313" s="2809"/>
      <c r="Y313" s="2809"/>
      <c r="Z313" s="2809"/>
      <c r="AA313" s="2809"/>
      <c r="AB313" s="2809"/>
      <c r="AC313" s="2809"/>
      <c r="AD313" s="2810"/>
      <c r="AE313" s="923"/>
      <c r="AF313" s="923"/>
      <c r="AG313" s="965"/>
      <c r="AH313" s="923"/>
      <c r="AI313" s="923"/>
      <c r="AJ313" s="922"/>
      <c r="AK313" s="1005"/>
      <c r="AL313" s="1005"/>
      <c r="AM313" s="1005"/>
      <c r="AN313" s="110"/>
      <c r="AO313" s="51"/>
      <c r="AP313" s="929" t="s">
        <v>1816</v>
      </c>
      <c r="AR313" s="21"/>
    </row>
    <row r="314" spans="1:60" hidden="1">
      <c r="A314" s="1039"/>
      <c r="B314" s="923"/>
      <c r="C314" s="1625"/>
      <c r="D314" s="1625"/>
      <c r="E314" s="919"/>
      <c r="F314" s="1077"/>
      <c r="G314" s="948"/>
      <c r="H314" s="948"/>
      <c r="I314" s="2809"/>
      <c r="J314" s="2809"/>
      <c r="K314" s="2809"/>
      <c r="L314" s="2809"/>
      <c r="M314" s="2809"/>
      <c r="N314" s="2809"/>
      <c r="O314" s="2809"/>
      <c r="P314" s="2809"/>
      <c r="Q314" s="2809"/>
      <c r="R314" s="2809"/>
      <c r="S314" s="2809"/>
      <c r="T314" s="2809"/>
      <c r="U314" s="2809"/>
      <c r="V314" s="2809"/>
      <c r="W314" s="2809"/>
      <c r="X314" s="2809"/>
      <c r="Y314" s="2809"/>
      <c r="Z314" s="2809"/>
      <c r="AA314" s="2809"/>
      <c r="AB314" s="2809"/>
      <c r="AC314" s="2809"/>
      <c r="AD314" s="2810"/>
      <c r="AE314" s="923"/>
      <c r="AF314" s="923"/>
      <c r="AG314" s="965"/>
      <c r="AH314" s="923"/>
      <c r="AI314" s="923"/>
      <c r="AJ314" s="922"/>
      <c r="AK314" s="1005"/>
      <c r="AL314" s="1005"/>
      <c r="AM314" s="1005"/>
      <c r="AN314" s="110"/>
      <c r="AO314" s="51"/>
      <c r="AP314" s="929" t="s">
        <v>1987</v>
      </c>
      <c r="AR314" s="21"/>
    </row>
    <row r="315" spans="1:60" hidden="1">
      <c r="A315" s="1039"/>
      <c r="B315" s="923"/>
      <c r="C315" s="1072"/>
      <c r="D315" s="1072"/>
      <c r="E315" s="919"/>
      <c r="F315" s="1077"/>
      <c r="G315" s="948"/>
      <c r="H315" s="948"/>
      <c r="I315" s="2809"/>
      <c r="J315" s="2809"/>
      <c r="K315" s="2809"/>
      <c r="L315" s="2809"/>
      <c r="M315" s="2809"/>
      <c r="N315" s="2809"/>
      <c r="O315" s="2809"/>
      <c r="P315" s="2809"/>
      <c r="Q315" s="2809"/>
      <c r="R315" s="2809"/>
      <c r="S315" s="2809"/>
      <c r="T315" s="2809"/>
      <c r="U315" s="2809"/>
      <c r="V315" s="2809"/>
      <c r="W315" s="2809"/>
      <c r="X315" s="2809"/>
      <c r="Y315" s="2809"/>
      <c r="Z315" s="2809"/>
      <c r="AA315" s="2809"/>
      <c r="AB315" s="2809"/>
      <c r="AC315" s="2809"/>
      <c r="AD315" s="2810"/>
      <c r="AE315" s="923"/>
      <c r="AF315" s="923"/>
      <c r="AG315" s="965"/>
      <c r="AH315" s="923"/>
      <c r="AI315" s="923"/>
      <c r="AJ315" s="922"/>
      <c r="AK315" s="1005"/>
      <c r="AL315" s="1005"/>
      <c r="AM315" s="1005"/>
      <c r="AN315" s="110"/>
      <c r="AO315" s="51"/>
      <c r="AP315" s="929" t="s">
        <v>1989</v>
      </c>
      <c r="AR315" s="21"/>
    </row>
    <row r="316" spans="1:60" hidden="1">
      <c r="A316" s="1039"/>
      <c r="B316" s="923"/>
      <c r="C316" s="1072"/>
      <c r="D316" s="1072"/>
      <c r="E316" s="919"/>
      <c r="F316" s="1075"/>
      <c r="G316" s="923"/>
      <c r="H316" s="923"/>
      <c r="I316" s="2811"/>
      <c r="J316" s="2811"/>
      <c r="K316" s="2811"/>
      <c r="L316" s="2811"/>
      <c r="M316" s="2811"/>
      <c r="N316" s="2811"/>
      <c r="O316" s="2811"/>
      <c r="P316" s="2811"/>
      <c r="Q316" s="2811"/>
      <c r="R316" s="2811"/>
      <c r="S316" s="2811"/>
      <c r="T316" s="2811"/>
      <c r="U316" s="2811"/>
      <c r="V316" s="2811"/>
      <c r="W316" s="2811"/>
      <c r="X316" s="2811"/>
      <c r="Y316" s="2811"/>
      <c r="Z316" s="2811"/>
      <c r="AA316" s="2811"/>
      <c r="AB316" s="2811"/>
      <c r="AC316" s="2811"/>
      <c r="AD316" s="2812"/>
      <c r="AE316" s="923"/>
      <c r="AF316" s="923"/>
      <c r="AG316" s="965"/>
      <c r="AH316" s="923"/>
      <c r="AI316" s="923"/>
      <c r="AJ316" s="922"/>
      <c r="AK316" s="1005"/>
      <c r="AL316" s="1005"/>
      <c r="AM316" s="1005"/>
      <c r="AN316" s="110"/>
      <c r="AO316" s="51"/>
      <c r="AP316" s="929" t="s">
        <v>1988</v>
      </c>
      <c r="AR316" s="21"/>
    </row>
    <row r="317" spans="1:60" hidden="1">
      <c r="A317" s="1039"/>
      <c r="B317" s="923"/>
      <c r="C317" s="1072"/>
      <c r="D317" s="1072"/>
      <c r="E317" s="919"/>
      <c r="F317" s="1075"/>
      <c r="G317" s="923"/>
      <c r="H317" s="923"/>
      <c r="I317" s="923"/>
      <c r="J317" s="923"/>
      <c r="K317" s="923"/>
      <c r="L317" s="923"/>
      <c r="M317" s="923"/>
      <c r="N317" s="923"/>
      <c r="O317" s="923"/>
      <c r="P317" s="923"/>
      <c r="Q317" s="923"/>
      <c r="R317" s="923"/>
      <c r="S317" s="923"/>
      <c r="T317" s="923"/>
      <c r="U317" s="923"/>
      <c r="V317" s="923"/>
      <c r="W317" s="923"/>
      <c r="X317" s="923"/>
      <c r="Y317" s="923"/>
      <c r="Z317" s="923"/>
      <c r="AA317" s="923"/>
      <c r="AB317" s="923"/>
      <c r="AC317" s="923"/>
      <c r="AD317" s="1076"/>
      <c r="AE317" s="923"/>
      <c r="AF317" s="923"/>
      <c r="AG317" s="965"/>
      <c r="AH317" s="923"/>
      <c r="AI317" s="923"/>
      <c r="AJ317" s="922"/>
      <c r="AK317" s="1005"/>
      <c r="AL317" s="1005"/>
      <c r="AM317" s="1005"/>
      <c r="AN317" s="110"/>
      <c r="AO317" s="51"/>
      <c r="AP317" s="126"/>
      <c r="AR317" s="21"/>
    </row>
    <row r="318" spans="1:60" hidden="1">
      <c r="A318" s="1039"/>
      <c r="B318" s="923"/>
      <c r="C318" s="1072"/>
      <c r="D318" s="1072"/>
      <c r="E318" s="919"/>
      <c r="F318" s="1075"/>
      <c r="G318" s="923" t="s">
        <v>518</v>
      </c>
      <c r="H318" s="923"/>
      <c r="I318" s="2809" t="s">
        <v>1326</v>
      </c>
      <c r="J318" s="2809"/>
      <c r="K318" s="2809"/>
      <c r="L318" s="2809"/>
      <c r="M318" s="2809"/>
      <c r="N318" s="2809"/>
      <c r="O318" s="2809"/>
      <c r="P318" s="2809"/>
      <c r="Q318" s="2809"/>
      <c r="R318" s="2809"/>
      <c r="S318" s="2809"/>
      <c r="T318" s="2809"/>
      <c r="U318" s="2809"/>
      <c r="V318" s="2809"/>
      <c r="W318" s="2809"/>
      <c r="X318" s="2809"/>
      <c r="Y318" s="2809"/>
      <c r="Z318" s="2809"/>
      <c r="AA318" s="2809"/>
      <c r="AB318" s="2809"/>
      <c r="AC318" s="2809"/>
      <c r="AD318" s="2810"/>
      <c r="AE318" s="923"/>
      <c r="AF318" s="923"/>
      <c r="AG318" s="965"/>
      <c r="AH318" s="923"/>
      <c r="AI318" s="923"/>
      <c r="AJ318" s="922"/>
      <c r="AK318" s="1005"/>
      <c r="AL318" s="1005"/>
      <c r="AM318" s="1005"/>
      <c r="AN318" s="110"/>
      <c r="AO318" s="51"/>
      <c r="AR318" s="21"/>
    </row>
    <row r="319" spans="1:60" hidden="1">
      <c r="A319" s="1039"/>
      <c r="B319" s="923"/>
      <c r="C319" s="1072"/>
      <c r="D319" s="1072"/>
      <c r="E319" s="919"/>
      <c r="F319" s="1075"/>
      <c r="G319" s="923"/>
      <c r="H319" s="923"/>
      <c r="I319" s="2809"/>
      <c r="J319" s="2809"/>
      <c r="K319" s="2809"/>
      <c r="L319" s="2809"/>
      <c r="M319" s="2809"/>
      <c r="N319" s="2809"/>
      <c r="O319" s="2809"/>
      <c r="P319" s="2809"/>
      <c r="Q319" s="2809"/>
      <c r="R319" s="2809"/>
      <c r="S319" s="2809"/>
      <c r="T319" s="2809"/>
      <c r="U319" s="2809"/>
      <c r="V319" s="2809"/>
      <c r="W319" s="2809"/>
      <c r="X319" s="2809"/>
      <c r="Y319" s="2809"/>
      <c r="Z319" s="2809"/>
      <c r="AA319" s="2809"/>
      <c r="AB319" s="2809"/>
      <c r="AC319" s="2809"/>
      <c r="AD319" s="2810"/>
      <c r="AE319" s="923"/>
      <c r="AF319" s="923"/>
      <c r="AG319" s="965"/>
      <c r="AH319" s="923"/>
      <c r="AI319" s="923"/>
      <c r="AJ319" s="922"/>
      <c r="AK319" s="1005"/>
      <c r="AL319" s="1005"/>
      <c r="AM319" s="1005"/>
      <c r="AN319" s="110"/>
      <c r="AO319" s="51"/>
      <c r="AP319" s="929" t="s">
        <v>1326</v>
      </c>
      <c r="AR319" s="21"/>
    </row>
    <row r="320" spans="1:60" hidden="1">
      <c r="A320" s="1039"/>
      <c r="B320" s="923"/>
      <c r="C320" s="1072"/>
      <c r="D320" s="1072"/>
      <c r="E320" s="919"/>
      <c r="F320" s="1078"/>
      <c r="G320" s="1079"/>
      <c r="H320" s="1079"/>
      <c r="I320" s="2811"/>
      <c r="J320" s="2811"/>
      <c r="K320" s="2811"/>
      <c r="L320" s="2811"/>
      <c r="M320" s="2811"/>
      <c r="N320" s="2811"/>
      <c r="O320" s="2811"/>
      <c r="P320" s="2811"/>
      <c r="Q320" s="2811"/>
      <c r="R320" s="2811"/>
      <c r="S320" s="2811"/>
      <c r="T320" s="2811"/>
      <c r="U320" s="2811"/>
      <c r="V320" s="2811"/>
      <c r="W320" s="2811"/>
      <c r="X320" s="2811"/>
      <c r="Y320" s="2811"/>
      <c r="Z320" s="2811"/>
      <c r="AA320" s="2811"/>
      <c r="AB320" s="2811"/>
      <c r="AC320" s="2811"/>
      <c r="AD320" s="2812"/>
      <c r="AE320" s="923"/>
      <c r="AF320" s="923"/>
      <c r="AG320" s="965"/>
      <c r="AH320" s="923"/>
      <c r="AI320" s="923"/>
      <c r="AJ320" s="922"/>
      <c r="AK320" s="1005"/>
      <c r="AL320" s="1005"/>
      <c r="AM320" s="1005"/>
      <c r="AN320" s="110"/>
      <c r="AO320" s="51"/>
      <c r="AP320" s="929" t="s">
        <v>1562</v>
      </c>
      <c r="AR320" s="21"/>
    </row>
    <row r="321" spans="1:60" hidden="1">
      <c r="A321" s="1039"/>
      <c r="B321" s="923"/>
      <c r="C321" s="922"/>
      <c r="D321" s="923"/>
      <c r="E321" s="922"/>
      <c r="F321" s="1014"/>
      <c r="G321" s="923"/>
      <c r="H321" s="923"/>
      <c r="I321" s="923"/>
      <c r="J321" s="923"/>
      <c r="K321" s="923"/>
      <c r="L321" s="923"/>
      <c r="M321" s="923"/>
      <c r="N321" s="923"/>
      <c r="O321" s="923"/>
      <c r="P321" s="923"/>
      <c r="Q321" s="923"/>
      <c r="R321" s="923"/>
      <c r="S321" s="923"/>
      <c r="T321" s="923"/>
      <c r="U321" s="923"/>
      <c r="V321" s="923"/>
      <c r="W321" s="923"/>
      <c r="X321" s="923"/>
      <c r="Y321" s="923"/>
      <c r="Z321" s="923"/>
      <c r="AA321" s="923"/>
      <c r="AB321" s="923"/>
      <c r="AC321" s="923"/>
      <c r="AD321" s="923"/>
      <c r="AE321" s="923"/>
      <c r="AF321" s="923"/>
      <c r="AG321" s="923"/>
      <c r="AH321" s="923"/>
      <c r="AI321" s="923"/>
      <c r="AJ321" s="922"/>
      <c r="AK321" s="1005"/>
      <c r="AL321" s="1005"/>
      <c r="AM321" s="1005"/>
      <c r="AN321" s="110"/>
      <c r="AO321" s="51"/>
      <c r="AP321" s="929" t="s">
        <v>1817</v>
      </c>
    </row>
    <row r="322" spans="1:60" ht="12.75" hidden="1" customHeight="1">
      <c r="A322" s="2796" t="s">
        <v>1563</v>
      </c>
      <c r="B322" s="2796"/>
      <c r="C322" s="2689" t="s">
        <v>600</v>
      </c>
      <c r="D322" s="2689"/>
      <c r="E322" s="919"/>
      <c r="F322" s="2797" t="s">
        <v>2415</v>
      </c>
      <c r="G322" s="2798"/>
      <c r="H322" s="2798"/>
      <c r="I322" s="2798"/>
      <c r="J322" s="2798"/>
      <c r="K322" s="2798"/>
      <c r="L322" s="2798"/>
      <c r="M322" s="2798"/>
      <c r="N322" s="2798"/>
      <c r="O322" s="2798"/>
      <c r="P322" s="2798"/>
      <c r="Q322" s="2798"/>
      <c r="R322" s="2798"/>
      <c r="S322" s="2798"/>
      <c r="T322" s="2798"/>
      <c r="U322" s="2798"/>
      <c r="V322" s="2798"/>
      <c r="W322" s="2798"/>
      <c r="X322" s="2798"/>
      <c r="Y322" s="2798"/>
      <c r="Z322" s="2798"/>
      <c r="AA322" s="2798"/>
      <c r="AB322" s="2798"/>
      <c r="AC322" s="2798"/>
      <c r="AD322" s="2799"/>
      <c r="AE322" s="923"/>
      <c r="AF322" s="923"/>
      <c r="AG322" s="965" t="s">
        <v>1559</v>
      </c>
      <c r="AH322" s="923"/>
      <c r="AI322" s="923"/>
      <c r="AJ322" s="922"/>
      <c r="AK322" s="1005"/>
      <c r="AL322" s="1005"/>
      <c r="AM322" s="1005"/>
      <c r="AN322" s="110"/>
      <c r="AO322" s="51"/>
    </row>
    <row r="323" spans="1:60" ht="15" hidden="1" customHeight="1">
      <c r="A323" s="1039"/>
      <c r="B323" s="923"/>
      <c r="C323" s="923"/>
      <c r="D323" s="923"/>
      <c r="E323" s="923"/>
      <c r="F323" s="2800"/>
      <c r="G323" s="2801"/>
      <c r="H323" s="2801"/>
      <c r="I323" s="2801"/>
      <c r="J323" s="2801"/>
      <c r="K323" s="2801"/>
      <c r="L323" s="2801"/>
      <c r="M323" s="2801"/>
      <c r="N323" s="2801"/>
      <c r="O323" s="2801"/>
      <c r="P323" s="2801"/>
      <c r="Q323" s="2801"/>
      <c r="R323" s="2801"/>
      <c r="S323" s="2801"/>
      <c r="T323" s="2801"/>
      <c r="U323" s="2801"/>
      <c r="V323" s="2801"/>
      <c r="W323" s="2801"/>
      <c r="X323" s="2801"/>
      <c r="Y323" s="2801"/>
      <c r="Z323" s="2801"/>
      <c r="AA323" s="2801"/>
      <c r="AB323" s="2801"/>
      <c r="AC323" s="2801"/>
      <c r="AD323" s="2802"/>
      <c r="AE323" s="923"/>
      <c r="AF323" s="923"/>
      <c r="AG323" s="923"/>
      <c r="AH323" s="923"/>
      <c r="AI323" s="923"/>
      <c r="AJ323" s="922"/>
      <c r="AK323" s="1005"/>
      <c r="AL323" s="1005"/>
      <c r="AM323" s="1005"/>
      <c r="AN323" s="110"/>
      <c r="AO323" s="51"/>
    </row>
    <row r="324" spans="1:60" ht="15" hidden="1" customHeight="1">
      <c r="A324" s="1039"/>
      <c r="B324" s="923"/>
      <c r="C324" s="923"/>
      <c r="D324" s="923"/>
      <c r="E324" s="923"/>
      <c r="F324" s="2800"/>
      <c r="G324" s="2801"/>
      <c r="H324" s="2801"/>
      <c r="I324" s="2801"/>
      <c r="J324" s="2801"/>
      <c r="K324" s="2801"/>
      <c r="L324" s="2801"/>
      <c r="M324" s="2801"/>
      <c r="N324" s="2801"/>
      <c r="O324" s="2801"/>
      <c r="P324" s="2801"/>
      <c r="Q324" s="2801"/>
      <c r="R324" s="2801"/>
      <c r="S324" s="2801"/>
      <c r="T324" s="2801"/>
      <c r="U324" s="2801"/>
      <c r="V324" s="2801"/>
      <c r="W324" s="2801"/>
      <c r="X324" s="2801"/>
      <c r="Y324" s="2801"/>
      <c r="Z324" s="2801"/>
      <c r="AA324" s="2801"/>
      <c r="AB324" s="2801"/>
      <c r="AC324" s="2801"/>
      <c r="AD324" s="2802"/>
      <c r="AE324" s="923"/>
      <c r="AF324" s="923"/>
      <c r="AG324" s="923"/>
      <c r="AH324" s="923"/>
      <c r="AI324" s="923"/>
      <c r="AJ324" s="922"/>
      <c r="AK324" s="1005"/>
      <c r="AL324" s="1005"/>
      <c r="AM324" s="1080"/>
      <c r="AN324" s="112"/>
      <c r="AO324" s="51"/>
    </row>
    <row r="325" spans="1:60" s="1041" customFormat="1" hidden="1">
      <c r="A325" s="1039"/>
      <c r="B325" s="923"/>
      <c r="C325" s="1005"/>
      <c r="D325" s="923"/>
      <c r="E325" s="1005"/>
      <c r="F325" s="1081" t="s">
        <v>1564</v>
      </c>
      <c r="G325" s="1082"/>
      <c r="H325" s="1082"/>
      <c r="I325" s="1082"/>
      <c r="J325" s="1082"/>
      <c r="K325" s="1082"/>
      <c r="L325" s="1082"/>
      <c r="M325" s="1082"/>
      <c r="N325" s="1082"/>
      <c r="O325" s="1082"/>
      <c r="P325" s="1082"/>
      <c r="Q325" s="1082"/>
      <c r="R325" s="1082"/>
      <c r="S325" s="1082"/>
      <c r="T325" s="1082"/>
      <c r="U325" s="1082"/>
      <c r="V325" s="1082"/>
      <c r="W325" s="1082"/>
      <c r="X325" s="1082"/>
      <c r="Y325" s="1082"/>
      <c r="Z325" s="1082"/>
      <c r="AA325" s="1082"/>
      <c r="AB325" s="1082"/>
      <c r="AC325" s="1082"/>
      <c r="AD325" s="1083"/>
      <c r="AE325" s="923"/>
      <c r="AF325" s="923"/>
      <c r="AG325" s="923"/>
      <c r="AH325" s="923"/>
      <c r="AI325" s="923"/>
      <c r="AJ325" s="1005"/>
      <c r="AK325" s="1005"/>
      <c r="AL325" s="1005"/>
      <c r="AM325" s="1080"/>
      <c r="AN325" s="1084"/>
      <c r="AO325" s="1084"/>
      <c r="BD325" s="1043"/>
      <c r="BE325" s="1043"/>
      <c r="BF325" s="1043"/>
      <c r="BG325" s="1043"/>
      <c r="BH325" s="1043"/>
    </row>
    <row r="326" spans="1:60" s="1041" customFormat="1" hidden="1">
      <c r="A326" s="1039"/>
      <c r="B326" s="923"/>
      <c r="C326" s="1005"/>
      <c r="D326" s="923"/>
      <c r="E326" s="1005"/>
      <c r="F326" s="1085"/>
      <c r="G326" s="1085"/>
      <c r="H326" s="1085"/>
      <c r="I326" s="1085"/>
      <c r="J326" s="1085"/>
      <c r="K326" s="1085"/>
      <c r="L326" s="1085"/>
      <c r="M326" s="1085"/>
      <c r="N326" s="1085"/>
      <c r="O326" s="1085"/>
      <c r="P326" s="1085"/>
      <c r="Q326" s="1085"/>
      <c r="R326" s="1085"/>
      <c r="S326" s="1085"/>
      <c r="T326" s="1085"/>
      <c r="U326" s="1085"/>
      <c r="V326" s="1085"/>
      <c r="W326" s="1085"/>
      <c r="X326" s="1085"/>
      <c r="Y326" s="1085"/>
      <c r="Z326" s="1085"/>
      <c r="AA326" s="1085"/>
      <c r="AB326" s="1085"/>
      <c r="AC326" s="1085"/>
      <c r="AD326" s="1085"/>
      <c r="AE326" s="923"/>
      <c r="AF326" s="923"/>
      <c r="AG326" s="923"/>
      <c r="AH326" s="923"/>
      <c r="AI326" s="923"/>
      <c r="AJ326" s="1005"/>
      <c r="AK326" s="1005"/>
      <c r="AL326" s="1005"/>
      <c r="AM326" s="1080"/>
      <c r="AN326" s="1084"/>
      <c r="AO326" s="1084"/>
      <c r="BD326" s="1043"/>
      <c r="BE326" s="1043"/>
      <c r="BF326" s="1043"/>
      <c r="BG326" s="1043"/>
      <c r="BH326" s="1043"/>
    </row>
    <row r="327" spans="1:60" s="1041" customFormat="1">
      <c r="A327" s="996"/>
      <c r="B327" s="1086"/>
      <c r="C327" s="1086"/>
      <c r="D327" s="1086"/>
      <c r="E327" s="1086"/>
      <c r="F327" s="1086"/>
      <c r="G327" s="1086"/>
      <c r="H327" s="1086"/>
      <c r="I327" s="1086"/>
      <c r="J327" s="1086"/>
      <c r="K327" s="1086"/>
      <c r="L327" s="1086"/>
      <c r="M327" s="1086"/>
      <c r="N327" s="1086"/>
      <c r="O327" s="1086"/>
      <c r="P327" s="1086"/>
      <c r="Q327" s="1086"/>
      <c r="R327" s="1086"/>
      <c r="S327" s="1086"/>
      <c r="T327" s="1086"/>
      <c r="U327" s="1086"/>
      <c r="V327" s="1086"/>
      <c r="W327" s="1086"/>
      <c r="X327" s="1086"/>
      <c r="Y327" s="1086"/>
      <c r="Z327" s="1086"/>
      <c r="AA327" s="1086"/>
      <c r="AB327" s="1086"/>
      <c r="AC327" s="1087"/>
      <c r="AD327" s="1086"/>
      <c r="AE327" s="997"/>
      <c r="AF327" s="997"/>
      <c r="AG327" s="997"/>
      <c r="AH327" s="997"/>
      <c r="AI327" s="938"/>
      <c r="AJ327" s="938" t="s">
        <v>1623</v>
      </c>
      <c r="AK327" s="2674">
        <f>IF(NOT(OR(Application!M354="Yes",Application!M355="Yes")),0,AP284)</f>
        <v>9</v>
      </c>
      <c r="AL327" s="2675"/>
      <c r="AM327" s="2676"/>
      <c r="AN327" s="1084"/>
      <c r="AO327" s="1084"/>
      <c r="BD327" s="1043"/>
      <c r="BE327" s="1043"/>
      <c r="BF327" s="1043"/>
      <c r="BG327" s="1043"/>
      <c r="BH327" s="1043"/>
    </row>
    <row r="328" spans="1:60" s="922" customFormat="1" ht="12.75" customHeight="1" thickBot="1">
      <c r="A328" s="1021"/>
      <c r="B328" s="1021"/>
      <c r="C328" s="1021"/>
      <c r="D328" s="1021"/>
      <c r="E328" s="1023"/>
      <c r="F328" s="1023"/>
      <c r="G328" s="1023"/>
      <c r="H328" s="1023"/>
      <c r="I328" s="1023"/>
      <c r="J328" s="1023"/>
      <c r="K328" s="1023"/>
      <c r="L328" s="1023"/>
      <c r="M328" s="1023"/>
      <c r="N328" s="1023"/>
      <c r="O328" s="1023"/>
      <c r="P328" s="1023"/>
      <c r="Q328" s="1023"/>
      <c r="R328" s="1023"/>
      <c r="S328" s="1023"/>
      <c r="T328" s="1023"/>
      <c r="U328" s="1023"/>
      <c r="V328" s="1023"/>
      <c r="W328" s="1023"/>
      <c r="X328" s="1023"/>
      <c r="Y328" s="1023"/>
      <c r="Z328" s="1023"/>
      <c r="AA328" s="1023"/>
      <c r="AB328" s="1023"/>
      <c r="AC328" s="1023"/>
      <c r="AD328" s="1023"/>
      <c r="AE328" s="1023"/>
      <c r="AF328" s="1023"/>
      <c r="AG328" s="1023"/>
      <c r="AH328" s="1023"/>
      <c r="AI328" s="1023"/>
      <c r="AJ328" s="1023"/>
      <c r="AK328" s="1023"/>
      <c r="AL328" s="1023"/>
      <c r="AM328" s="1023"/>
      <c r="AN328" s="979"/>
    </row>
    <row r="329" spans="1:60" s="92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79"/>
    </row>
    <row r="330" spans="1:60" s="922" customFormat="1" ht="12.75" customHeight="1">
      <c r="A330" s="991" t="s">
        <v>1624</v>
      </c>
      <c r="B330" s="991" t="s">
        <v>873</v>
      </c>
      <c r="C330" s="1002"/>
      <c r="D330" s="1039"/>
      <c r="E330" s="1039"/>
      <c r="F330" s="1005"/>
      <c r="G330" s="1005"/>
      <c r="H330" s="1005"/>
      <c r="I330" s="1005"/>
      <c r="J330" s="1005"/>
      <c r="K330" s="1005"/>
      <c r="L330" s="1005"/>
      <c r="M330" s="1005"/>
      <c r="N330" s="1005"/>
      <c r="O330" s="1005"/>
      <c r="P330" s="1005"/>
      <c r="Q330" s="1005"/>
      <c r="R330" s="1005"/>
      <c r="S330" s="1005"/>
      <c r="T330" s="1005"/>
      <c r="U330" s="1005"/>
      <c r="V330" s="1005"/>
      <c r="W330" s="1005"/>
      <c r="X330" s="1005"/>
      <c r="Y330" s="1005"/>
      <c r="Z330" s="1005"/>
      <c r="AA330" s="1005"/>
      <c r="AB330" s="1005"/>
      <c r="AC330" s="965"/>
      <c r="AD330" s="1005"/>
      <c r="AE330" s="2680" t="s">
        <v>1485</v>
      </c>
      <c r="AF330" s="2680"/>
      <c r="AG330" s="2680"/>
      <c r="AH330" s="2680"/>
      <c r="AI330" s="2680"/>
      <c r="AJ330" s="2680"/>
      <c r="AK330" s="2680"/>
      <c r="AL330" s="991"/>
      <c r="AM330" s="991"/>
      <c r="AN330" s="1126"/>
    </row>
    <row r="331" spans="1:60" s="922" customFormat="1" ht="12.75" customHeight="1">
      <c r="A331" s="991"/>
      <c r="B331" s="991"/>
      <c r="C331" s="1002"/>
      <c r="D331" s="1039"/>
      <c r="E331" s="1039"/>
      <c r="F331" s="1005"/>
      <c r="G331" s="1005"/>
      <c r="H331" s="1005"/>
      <c r="I331" s="1005"/>
      <c r="J331" s="1005"/>
      <c r="K331" s="1005"/>
      <c r="L331" s="1005"/>
      <c r="M331" s="1005"/>
      <c r="N331" s="1005"/>
      <c r="O331" s="1005"/>
      <c r="P331" s="1005"/>
      <c r="Q331" s="1005"/>
      <c r="R331" s="1005"/>
      <c r="S331" s="1005"/>
      <c r="T331" s="1005"/>
      <c r="U331" s="1005"/>
      <c r="V331" s="1005"/>
      <c r="W331" s="1005"/>
      <c r="X331" s="1005"/>
      <c r="Y331" s="1005"/>
      <c r="Z331" s="1005"/>
      <c r="AA331" s="1005"/>
      <c r="AB331" s="1005"/>
      <c r="AC331" s="965"/>
      <c r="AD331" s="1005"/>
      <c r="AE331" s="1016"/>
      <c r="AF331" s="1016"/>
      <c r="AG331" s="1016"/>
      <c r="AH331" s="1016"/>
      <c r="AI331" s="1016"/>
      <c r="AJ331" s="1016"/>
      <c r="AK331" s="1016"/>
      <c r="AL331" s="991"/>
      <c r="AM331" s="991"/>
      <c r="AN331" s="1126"/>
    </row>
    <row r="332" spans="1:60" s="922" customFormat="1" ht="12.75" customHeight="1">
      <c r="A332" s="1006"/>
      <c r="B332" s="1007"/>
      <c r="C332" s="2684" t="s">
        <v>1625</v>
      </c>
      <c r="D332" s="2684"/>
      <c r="E332" s="2684"/>
      <c r="F332" s="2684"/>
      <c r="G332" s="2684"/>
      <c r="H332" s="2684"/>
      <c r="I332" s="2684"/>
      <c r="J332" s="2684"/>
      <c r="K332" s="2684"/>
      <c r="L332" s="2684"/>
      <c r="M332" s="2684"/>
      <c r="N332" s="2684"/>
      <c r="O332" s="2684"/>
      <c r="P332" s="2684"/>
      <c r="Q332" s="2684"/>
      <c r="R332" s="2684"/>
      <c r="S332" s="2684"/>
      <c r="T332" s="2684"/>
      <c r="U332" s="2684"/>
      <c r="V332" s="2684"/>
      <c r="W332" s="2684"/>
      <c r="X332" s="2684"/>
      <c r="Y332" s="2684"/>
      <c r="Z332" s="2684"/>
      <c r="AA332" s="2684"/>
      <c r="AB332" s="2684"/>
      <c r="AC332" s="2684"/>
      <c r="AD332" s="2684"/>
      <c r="AE332" s="2684"/>
      <c r="AF332" s="2684"/>
      <c r="AG332" s="2684"/>
      <c r="AH332" s="2684"/>
      <c r="AI332" s="2684"/>
      <c r="AJ332" s="2684"/>
      <c r="AK332" s="1006"/>
      <c r="AL332" s="1006"/>
      <c r="AM332" s="1006"/>
      <c r="AN332" s="979"/>
    </row>
    <row r="333" spans="1:60" s="922" customFormat="1" ht="12.75" customHeight="1">
      <c r="A333" s="1006"/>
      <c r="B333" s="1007"/>
      <c r="C333" s="2684"/>
      <c r="D333" s="2684"/>
      <c r="E333" s="2684"/>
      <c r="F333" s="2684"/>
      <c r="G333" s="2684"/>
      <c r="H333" s="2684"/>
      <c r="I333" s="2684"/>
      <c r="J333" s="2684"/>
      <c r="K333" s="2684"/>
      <c r="L333" s="2684"/>
      <c r="M333" s="2684"/>
      <c r="N333" s="2684"/>
      <c r="O333" s="2684"/>
      <c r="P333" s="2684"/>
      <c r="Q333" s="2684"/>
      <c r="R333" s="2684"/>
      <c r="S333" s="2684"/>
      <c r="T333" s="2684"/>
      <c r="U333" s="2684"/>
      <c r="V333" s="2684"/>
      <c r="W333" s="2684"/>
      <c r="X333" s="2684"/>
      <c r="Y333" s="2684"/>
      <c r="Z333" s="2684"/>
      <c r="AA333" s="2684"/>
      <c r="AB333" s="2684"/>
      <c r="AC333" s="2684"/>
      <c r="AD333" s="2684"/>
      <c r="AE333" s="2684"/>
      <c r="AF333" s="2684"/>
      <c r="AG333" s="2684"/>
      <c r="AH333" s="2684"/>
      <c r="AI333" s="2684"/>
      <c r="AJ333" s="2684"/>
      <c r="AK333" s="1006"/>
      <c r="AL333" s="1006"/>
      <c r="AM333" s="1006"/>
      <c r="AN333" s="979"/>
    </row>
    <row r="334" spans="1:60" s="922" customFormat="1" ht="12.75" customHeight="1">
      <c r="A334" s="1006"/>
      <c r="B334" s="1007"/>
      <c r="C334" s="2684"/>
      <c r="D334" s="2684"/>
      <c r="E334" s="2684"/>
      <c r="F334" s="2684"/>
      <c r="G334" s="2684"/>
      <c r="H334" s="2684"/>
      <c r="I334" s="2684"/>
      <c r="J334" s="2684"/>
      <c r="K334" s="2684"/>
      <c r="L334" s="2684"/>
      <c r="M334" s="2684"/>
      <c r="N334" s="2684"/>
      <c r="O334" s="2684"/>
      <c r="P334" s="2684"/>
      <c r="Q334" s="2684"/>
      <c r="R334" s="2684"/>
      <c r="S334" s="2684"/>
      <c r="T334" s="2684"/>
      <c r="U334" s="2684"/>
      <c r="V334" s="2684"/>
      <c r="W334" s="2684"/>
      <c r="X334" s="2684"/>
      <c r="Y334" s="2684"/>
      <c r="Z334" s="2684"/>
      <c r="AA334" s="2684"/>
      <c r="AB334" s="2684"/>
      <c r="AC334" s="2684"/>
      <c r="AD334" s="2684"/>
      <c r="AE334" s="2684"/>
      <c r="AF334" s="2684"/>
      <c r="AG334" s="2684"/>
      <c r="AH334" s="2684"/>
      <c r="AI334" s="2684"/>
      <c r="AJ334" s="2684"/>
      <c r="AK334" s="1006"/>
      <c r="AL334" s="1006"/>
      <c r="AM334" s="1006"/>
      <c r="AN334" s="979"/>
      <c r="AQ334" s="1114"/>
      <c r="AR334" s="981"/>
    </row>
    <row r="335" spans="1:60" s="922" customFormat="1" ht="12.75" customHeight="1">
      <c r="A335" s="1006"/>
      <c r="B335" s="1097"/>
      <c r="C335" s="2684"/>
      <c r="D335" s="2684"/>
      <c r="E335" s="2684"/>
      <c r="F335" s="2684"/>
      <c r="G335" s="2684"/>
      <c r="H335" s="2684"/>
      <c r="I335" s="2684"/>
      <c r="J335" s="2684"/>
      <c r="K335" s="2684"/>
      <c r="L335" s="2684"/>
      <c r="M335" s="2684"/>
      <c r="N335" s="2684"/>
      <c r="O335" s="2684"/>
      <c r="P335" s="2684"/>
      <c r="Q335" s="2684"/>
      <c r="R335" s="2684"/>
      <c r="S335" s="2684"/>
      <c r="T335" s="2684"/>
      <c r="U335" s="2684"/>
      <c r="V335" s="2684"/>
      <c r="W335" s="2684"/>
      <c r="X335" s="2684"/>
      <c r="Y335" s="2684"/>
      <c r="Z335" s="2684"/>
      <c r="AA335" s="2684"/>
      <c r="AB335" s="2684"/>
      <c r="AC335" s="2684"/>
      <c r="AD335" s="2684"/>
      <c r="AE335" s="2684"/>
      <c r="AF335" s="2684"/>
      <c r="AG335" s="2684"/>
      <c r="AH335" s="2684"/>
      <c r="AI335" s="2684"/>
      <c r="AJ335" s="2684"/>
      <c r="AK335" s="1006"/>
      <c r="AL335" s="1006"/>
      <c r="AM335" s="1006"/>
      <c r="AN335" s="979"/>
      <c r="AQ335" s="1114"/>
      <c r="AR335" s="981"/>
    </row>
    <row r="336" spans="1:60" s="922" customFormat="1" ht="12.4" customHeight="1">
      <c r="A336" s="1006"/>
      <c r="B336" s="1097"/>
      <c r="C336" s="2684"/>
      <c r="D336" s="2684"/>
      <c r="E336" s="2684"/>
      <c r="F336" s="2684"/>
      <c r="G336" s="2684"/>
      <c r="H336" s="2684"/>
      <c r="I336" s="2684"/>
      <c r="J336" s="2684"/>
      <c r="K336" s="2684"/>
      <c r="L336" s="2684"/>
      <c r="M336" s="2684"/>
      <c r="N336" s="2684"/>
      <c r="O336" s="2684"/>
      <c r="P336" s="2684"/>
      <c r="Q336" s="2684"/>
      <c r="R336" s="2684"/>
      <c r="S336" s="2684"/>
      <c r="T336" s="2684"/>
      <c r="U336" s="2684"/>
      <c r="V336" s="2684"/>
      <c r="W336" s="2684"/>
      <c r="X336" s="2684"/>
      <c r="Y336" s="2684"/>
      <c r="Z336" s="2684"/>
      <c r="AA336" s="2684"/>
      <c r="AB336" s="2684"/>
      <c r="AC336" s="2684"/>
      <c r="AD336" s="2684"/>
      <c r="AE336" s="2684"/>
      <c r="AF336" s="2684"/>
      <c r="AG336" s="2684"/>
      <c r="AH336" s="2684"/>
      <c r="AI336" s="2684"/>
      <c r="AJ336" s="2684"/>
      <c r="AK336" s="1006"/>
      <c r="AL336" s="1006"/>
      <c r="AM336" s="1006"/>
      <c r="AN336" s="979"/>
      <c r="AQ336" s="1114"/>
      <c r="AR336" s="1114"/>
    </row>
    <row r="337" spans="1:46" s="922" customFormat="1" ht="45.75" customHeight="1">
      <c r="A337" s="1006"/>
      <c r="B337" s="1097"/>
      <c r="C337" s="2684" t="s">
        <v>2506</v>
      </c>
      <c r="D337" s="2684"/>
      <c r="E337" s="2684"/>
      <c r="F337" s="2684"/>
      <c r="G337" s="2684"/>
      <c r="H337" s="2684"/>
      <c r="I337" s="2684"/>
      <c r="J337" s="2684"/>
      <c r="K337" s="2684"/>
      <c r="L337" s="2684"/>
      <c r="M337" s="2684"/>
      <c r="N337" s="2684"/>
      <c r="O337" s="2684"/>
      <c r="P337" s="2684"/>
      <c r="Q337" s="2684"/>
      <c r="R337" s="2684"/>
      <c r="S337" s="2684"/>
      <c r="T337" s="2684"/>
      <c r="U337" s="2684"/>
      <c r="V337" s="2684"/>
      <c r="W337" s="2684"/>
      <c r="X337" s="2684"/>
      <c r="Y337" s="2684"/>
      <c r="Z337" s="2684"/>
      <c r="AA337" s="2684"/>
      <c r="AB337" s="2684"/>
      <c r="AC337" s="2684"/>
      <c r="AD337" s="2684"/>
      <c r="AE337" s="2684"/>
      <c r="AF337" s="2684"/>
      <c r="AG337" s="2684"/>
      <c r="AH337" s="2684"/>
      <c r="AI337" s="2684"/>
      <c r="AJ337" s="2684"/>
      <c r="AK337" s="1006"/>
      <c r="AL337" s="1006"/>
      <c r="AM337" s="1006"/>
      <c r="AN337" s="979"/>
      <c r="AQ337" s="1114"/>
      <c r="AR337" s="1114"/>
    </row>
    <row r="338" spans="1:46" s="922" customFormat="1" ht="12.4" customHeight="1">
      <c r="A338" s="1006"/>
      <c r="B338" s="1097"/>
      <c r="C338" s="1128"/>
      <c r="D338" s="1128"/>
      <c r="E338" s="1128"/>
      <c r="F338" s="1128"/>
      <c r="G338" s="1128"/>
      <c r="H338" s="1128"/>
      <c r="I338" s="1128"/>
      <c r="J338" s="1128"/>
      <c r="K338" s="1128"/>
      <c r="L338" s="1128"/>
      <c r="M338" s="1128"/>
      <c r="N338" s="1128"/>
      <c r="O338" s="1128"/>
      <c r="P338" s="1128"/>
      <c r="Q338" s="1128"/>
      <c r="R338" s="1128"/>
      <c r="S338" s="1128"/>
      <c r="T338" s="1128"/>
      <c r="U338" s="1128"/>
      <c r="V338" s="1128"/>
      <c r="W338" s="1128"/>
      <c r="X338" s="1128"/>
      <c r="Y338" s="1128"/>
      <c r="Z338" s="1128"/>
      <c r="AA338" s="1128"/>
      <c r="AB338" s="1128"/>
      <c r="AC338" s="1128"/>
      <c r="AD338" s="1128"/>
      <c r="AE338" s="1128"/>
      <c r="AF338" s="1128"/>
      <c r="AG338" s="1128"/>
      <c r="AH338" s="1128"/>
      <c r="AI338" s="1128"/>
      <c r="AJ338" s="1128"/>
      <c r="AK338" s="1006"/>
      <c r="AL338" s="1006"/>
      <c r="AM338" s="1006"/>
      <c r="AN338" s="979"/>
      <c r="AQ338" s="1114"/>
      <c r="AR338" s="1114"/>
    </row>
    <row r="339" spans="1:46" s="922" customFormat="1" ht="12.75" customHeight="1">
      <c r="A339" s="1006"/>
      <c r="B339" s="1097"/>
      <c r="C339" s="2684" t="s">
        <v>2121</v>
      </c>
      <c r="D339" s="2684"/>
      <c r="E339" s="2684"/>
      <c r="F339" s="2684"/>
      <c r="G339" s="2684"/>
      <c r="H339" s="2684"/>
      <c r="I339" s="2684"/>
      <c r="J339" s="2684"/>
      <c r="K339" s="2684"/>
      <c r="L339" s="2684"/>
      <c r="M339" s="2684"/>
      <c r="N339" s="2684"/>
      <c r="O339" s="2684"/>
      <c r="P339" s="2684"/>
      <c r="Q339" s="2684"/>
      <c r="R339" s="2684"/>
      <c r="S339" s="2684"/>
      <c r="T339" s="2684"/>
      <c r="U339" s="2684"/>
      <c r="V339" s="2684"/>
      <c r="W339" s="2684"/>
      <c r="X339" s="2684"/>
      <c r="Y339" s="2684"/>
      <c r="Z339" s="2684"/>
      <c r="AA339" s="2684"/>
      <c r="AB339" s="2684"/>
      <c r="AC339" s="2684"/>
      <c r="AD339" s="2684"/>
      <c r="AE339" s="2684"/>
      <c r="AF339" s="2684"/>
      <c r="AG339" s="2684"/>
      <c r="AH339" s="2684"/>
      <c r="AI339" s="2684"/>
      <c r="AJ339" s="2684"/>
      <c r="AK339" s="1006"/>
      <c r="AL339" s="1006"/>
      <c r="AM339" s="1006"/>
      <c r="AN339" s="979"/>
      <c r="AQ339" s="1114"/>
      <c r="AR339" s="1114"/>
    </row>
    <row r="340" spans="1:46" s="922" customFormat="1" ht="30" customHeight="1">
      <c r="A340" s="1006"/>
      <c r="B340" s="1097"/>
      <c r="C340" s="2684"/>
      <c r="D340" s="2684"/>
      <c r="E340" s="2684"/>
      <c r="F340" s="2684"/>
      <c r="G340" s="2684"/>
      <c r="H340" s="2684"/>
      <c r="I340" s="2684"/>
      <c r="J340" s="2684"/>
      <c r="K340" s="2684"/>
      <c r="L340" s="2684"/>
      <c r="M340" s="2684"/>
      <c r="N340" s="2684"/>
      <c r="O340" s="2684"/>
      <c r="P340" s="2684"/>
      <c r="Q340" s="2684"/>
      <c r="R340" s="2684"/>
      <c r="S340" s="2684"/>
      <c r="T340" s="2684"/>
      <c r="U340" s="2684"/>
      <c r="V340" s="2684"/>
      <c r="W340" s="2684"/>
      <c r="X340" s="2684"/>
      <c r="Y340" s="2684"/>
      <c r="Z340" s="2684"/>
      <c r="AA340" s="2684"/>
      <c r="AB340" s="2684"/>
      <c r="AC340" s="2684"/>
      <c r="AD340" s="2684"/>
      <c r="AE340" s="2684"/>
      <c r="AF340" s="2684"/>
      <c r="AG340" s="2684"/>
      <c r="AH340" s="2684"/>
      <c r="AI340" s="2684"/>
      <c r="AJ340" s="2684"/>
      <c r="AK340" s="1006"/>
      <c r="AL340" s="1006"/>
      <c r="AM340" s="1006"/>
      <c r="AN340" s="979"/>
      <c r="AQ340" s="981"/>
      <c r="AR340" s="1114"/>
    </row>
    <row r="341" spans="1:46" s="922" customFormat="1" ht="12.75" customHeight="1">
      <c r="A341" s="1006"/>
      <c r="B341" s="1097"/>
      <c r="C341" s="2684"/>
      <c r="D341" s="2684"/>
      <c r="E341" s="2684"/>
      <c r="F341" s="2684"/>
      <c r="G341" s="2684"/>
      <c r="H341" s="2684"/>
      <c r="I341" s="2684"/>
      <c r="J341" s="2684"/>
      <c r="K341" s="2684"/>
      <c r="L341" s="2684"/>
      <c r="M341" s="2684"/>
      <c r="N341" s="2684"/>
      <c r="O341" s="2684"/>
      <c r="P341" s="2684"/>
      <c r="Q341" s="2684"/>
      <c r="R341" s="2684"/>
      <c r="S341" s="2684"/>
      <c r="T341" s="2684"/>
      <c r="U341" s="2684"/>
      <c r="V341" s="2684"/>
      <c r="W341" s="2684"/>
      <c r="X341" s="2684"/>
      <c r="Y341" s="2684"/>
      <c r="Z341" s="2684"/>
      <c r="AA341" s="2684"/>
      <c r="AB341" s="2684"/>
      <c r="AC341" s="2684"/>
      <c r="AD341" s="2684"/>
      <c r="AE341" s="2684"/>
      <c r="AF341" s="2684"/>
      <c r="AG341" s="2684"/>
      <c r="AH341" s="2684"/>
      <c r="AI341" s="2684"/>
      <c r="AJ341" s="2684"/>
      <c r="AK341" s="1006"/>
      <c r="AL341" s="1006"/>
      <c r="AM341" s="1006"/>
      <c r="AN341" s="979"/>
      <c r="AQ341" s="981"/>
      <c r="AR341" s="1114"/>
    </row>
    <row r="342" spans="1:46" s="922" customFormat="1" ht="12.75" customHeight="1">
      <c r="A342" s="1006"/>
      <c r="B342" s="1097"/>
      <c r="C342" s="2684" t="s">
        <v>1626</v>
      </c>
      <c r="D342" s="2684"/>
      <c r="E342" s="2684"/>
      <c r="F342" s="2684"/>
      <c r="G342" s="2684"/>
      <c r="H342" s="2684"/>
      <c r="I342" s="2684"/>
      <c r="J342" s="2684"/>
      <c r="K342" s="2684"/>
      <c r="L342" s="2684"/>
      <c r="M342" s="2684"/>
      <c r="N342" s="2684"/>
      <c r="O342" s="2684"/>
      <c r="P342" s="2684"/>
      <c r="Q342" s="2684"/>
      <c r="R342" s="2684"/>
      <c r="S342" s="2684"/>
      <c r="T342" s="2684"/>
      <c r="U342" s="2684"/>
      <c r="V342" s="2684"/>
      <c r="W342" s="2684"/>
      <c r="X342" s="2684"/>
      <c r="Y342" s="2684"/>
      <c r="Z342" s="2684"/>
      <c r="AA342" s="2684"/>
      <c r="AB342" s="2684"/>
      <c r="AC342" s="2684"/>
      <c r="AD342" s="2684"/>
      <c r="AE342" s="2684"/>
      <c r="AF342" s="2684"/>
      <c r="AG342" s="2684"/>
      <c r="AH342" s="2684"/>
      <c r="AI342" s="2684"/>
      <c r="AJ342" s="2684"/>
      <c r="AK342" s="1006"/>
      <c r="AL342" s="1006"/>
      <c r="AM342" s="1006"/>
      <c r="AN342" s="979"/>
      <c r="AQ342" s="1114"/>
      <c r="AR342" s="1114"/>
    </row>
    <row r="343" spans="1:46" s="922" customFormat="1" ht="12.75" customHeight="1">
      <c r="A343" s="1006"/>
      <c r="B343" s="1097"/>
      <c r="C343" s="2684"/>
      <c r="D343" s="2684"/>
      <c r="E343" s="2684"/>
      <c r="F343" s="2684"/>
      <c r="G343" s="2684"/>
      <c r="H343" s="2684"/>
      <c r="I343" s="2684"/>
      <c r="J343" s="2684"/>
      <c r="K343" s="2684"/>
      <c r="L343" s="2684"/>
      <c r="M343" s="2684"/>
      <c r="N343" s="2684"/>
      <c r="O343" s="2684"/>
      <c r="P343" s="2684"/>
      <c r="Q343" s="2684"/>
      <c r="R343" s="2684"/>
      <c r="S343" s="2684"/>
      <c r="T343" s="2684"/>
      <c r="U343" s="2684"/>
      <c r="V343" s="2684"/>
      <c r="W343" s="2684"/>
      <c r="X343" s="2684"/>
      <c r="Y343" s="2684"/>
      <c r="Z343" s="2684"/>
      <c r="AA343" s="2684"/>
      <c r="AB343" s="2684"/>
      <c r="AC343" s="2684"/>
      <c r="AD343" s="2684"/>
      <c r="AE343" s="2684"/>
      <c r="AF343" s="2684"/>
      <c r="AG343" s="2684"/>
      <c r="AH343" s="2684"/>
      <c r="AI343" s="2684"/>
      <c r="AJ343" s="2684"/>
      <c r="AK343" s="1006"/>
      <c r="AL343" s="1006"/>
      <c r="AM343" s="1006"/>
      <c r="AN343" s="979"/>
      <c r="AQ343" s="1114"/>
      <c r="AR343" s="1114"/>
    </row>
    <row r="344" spans="1:46" s="922" customFormat="1" ht="13.15" customHeight="1">
      <c r="A344" s="1006"/>
      <c r="B344" s="1097"/>
      <c r="C344" s="2684"/>
      <c r="D344" s="2684"/>
      <c r="E344" s="2684"/>
      <c r="F344" s="2684"/>
      <c r="G344" s="2684"/>
      <c r="H344" s="2684"/>
      <c r="I344" s="2684"/>
      <c r="J344" s="2684"/>
      <c r="K344" s="2684"/>
      <c r="L344" s="2684"/>
      <c r="M344" s="2684"/>
      <c r="N344" s="2684"/>
      <c r="O344" s="2684"/>
      <c r="P344" s="2684"/>
      <c r="Q344" s="2684"/>
      <c r="R344" s="2684"/>
      <c r="S344" s="2684"/>
      <c r="T344" s="2684"/>
      <c r="U344" s="2684"/>
      <c r="V344" s="2684"/>
      <c r="W344" s="2684"/>
      <c r="X344" s="2684"/>
      <c r="Y344" s="2684"/>
      <c r="Z344" s="2684"/>
      <c r="AA344" s="2684"/>
      <c r="AB344" s="2684"/>
      <c r="AC344" s="2684"/>
      <c r="AD344" s="2684"/>
      <c r="AE344" s="2684"/>
      <c r="AF344" s="2684"/>
      <c r="AG344" s="2684"/>
      <c r="AH344" s="2684"/>
      <c r="AI344" s="2684"/>
      <c r="AJ344" s="2684"/>
      <c r="AK344" s="1006"/>
      <c r="AL344" s="1006"/>
      <c r="AM344" s="1006"/>
      <c r="AN344" s="979"/>
      <c r="AQ344" s="1114"/>
      <c r="AR344" s="1114"/>
    </row>
    <row r="345" spans="1:46" s="922" customFormat="1" ht="12.75" customHeight="1">
      <c r="A345" s="1006"/>
      <c r="B345" s="1097"/>
      <c r="C345" s="2684"/>
      <c r="D345" s="2684"/>
      <c r="E345" s="2684"/>
      <c r="F345" s="2684"/>
      <c r="G345" s="2684"/>
      <c r="H345" s="2684"/>
      <c r="I345" s="2684"/>
      <c r="J345" s="2684"/>
      <c r="K345" s="2684"/>
      <c r="L345" s="2684"/>
      <c r="M345" s="2684"/>
      <c r="N345" s="2684"/>
      <c r="O345" s="2684"/>
      <c r="P345" s="2684"/>
      <c r="Q345" s="2684"/>
      <c r="R345" s="2684"/>
      <c r="S345" s="2684"/>
      <c r="T345" s="2684"/>
      <c r="U345" s="2684"/>
      <c r="V345" s="2684"/>
      <c r="W345" s="2684"/>
      <c r="X345" s="2684"/>
      <c r="Y345" s="2684"/>
      <c r="Z345" s="2684"/>
      <c r="AA345" s="2684"/>
      <c r="AB345" s="2684"/>
      <c r="AC345" s="2684"/>
      <c r="AD345" s="2684"/>
      <c r="AE345" s="2684"/>
      <c r="AF345" s="2684"/>
      <c r="AG345" s="2684"/>
      <c r="AH345" s="2684"/>
      <c r="AI345" s="2684"/>
      <c r="AJ345" s="2684"/>
      <c r="AK345" s="1006"/>
      <c r="AL345" s="1006"/>
      <c r="AM345" s="1006"/>
      <c r="AN345" s="979"/>
      <c r="AO345" s="1129"/>
      <c r="AP345" s="1129"/>
      <c r="AQ345" s="1114"/>
      <c r="AR345" s="981"/>
    </row>
    <row r="346" spans="1:46" s="922" customFormat="1" ht="11.85" customHeight="1">
      <c r="A346" s="1006"/>
      <c r="B346" s="1097"/>
      <c r="C346" s="2684"/>
      <c r="D346" s="2684"/>
      <c r="E346" s="2684"/>
      <c r="F346" s="2684"/>
      <c r="G346" s="2684"/>
      <c r="H346" s="2684"/>
      <c r="I346" s="2684"/>
      <c r="J346" s="2684"/>
      <c r="K346" s="2684"/>
      <c r="L346" s="2684"/>
      <c r="M346" s="2684"/>
      <c r="N346" s="2684"/>
      <c r="O346" s="2684"/>
      <c r="P346" s="2684"/>
      <c r="Q346" s="2684"/>
      <c r="R346" s="2684"/>
      <c r="S346" s="2684"/>
      <c r="T346" s="2684"/>
      <c r="U346" s="2684"/>
      <c r="V346" s="2684"/>
      <c r="W346" s="2684"/>
      <c r="X346" s="2684"/>
      <c r="Y346" s="2684"/>
      <c r="Z346" s="2684"/>
      <c r="AA346" s="2684"/>
      <c r="AB346" s="2684"/>
      <c r="AC346" s="2684"/>
      <c r="AD346" s="2684"/>
      <c r="AE346" s="2684"/>
      <c r="AF346" s="2684"/>
      <c r="AG346" s="2684"/>
      <c r="AH346" s="2684"/>
      <c r="AI346" s="2684"/>
      <c r="AJ346" s="2684"/>
      <c r="AK346" s="1006"/>
      <c r="AL346" s="1006"/>
      <c r="AM346" s="1006"/>
      <c r="AN346" s="979"/>
      <c r="AO346" s="1130" t="s">
        <v>113</v>
      </c>
      <c r="AP346" s="1131">
        <f>IF(C370="Yes",5,0)</f>
        <v>0</v>
      </c>
      <c r="AQ346" s="981"/>
      <c r="AR346" s="981"/>
      <c r="AS346" s="911" t="s">
        <v>1627</v>
      </c>
    </row>
    <row r="347" spans="1:46" s="922" customFormat="1" ht="12.75" customHeight="1">
      <c r="A347" s="1006"/>
      <c r="B347" s="1097"/>
      <c r="C347" s="2684"/>
      <c r="D347" s="2684"/>
      <c r="E347" s="2684"/>
      <c r="F347" s="2684"/>
      <c r="G347" s="2684"/>
      <c r="H347" s="2684"/>
      <c r="I347" s="2684"/>
      <c r="J347" s="2684"/>
      <c r="K347" s="2684"/>
      <c r="L347" s="2684"/>
      <c r="M347" s="2684"/>
      <c r="N347" s="2684"/>
      <c r="O347" s="2684"/>
      <c r="P347" s="2684"/>
      <c r="Q347" s="2684"/>
      <c r="R347" s="2684"/>
      <c r="S347" s="2684"/>
      <c r="T347" s="2684"/>
      <c r="U347" s="2684"/>
      <c r="V347" s="2684"/>
      <c r="W347" s="2684"/>
      <c r="X347" s="2684"/>
      <c r="Y347" s="2684"/>
      <c r="Z347" s="2684"/>
      <c r="AA347" s="2684"/>
      <c r="AB347" s="2684"/>
      <c r="AC347" s="2684"/>
      <c r="AD347" s="2684"/>
      <c r="AE347" s="2684"/>
      <c r="AF347" s="2684"/>
      <c r="AG347" s="2684"/>
      <c r="AH347" s="2684"/>
      <c r="AI347" s="2684"/>
      <c r="AJ347" s="2684"/>
      <c r="AK347" s="1006"/>
      <c r="AL347" s="1006"/>
      <c r="AM347" s="1006"/>
      <c r="AN347" s="979"/>
      <c r="AO347" s="1130" t="s">
        <v>114</v>
      </c>
      <c r="AP347" s="1131">
        <f>IF(C378="Yes",5,0)</f>
        <v>5</v>
      </c>
      <c r="AQ347" s="981"/>
      <c r="AR347" s="981"/>
      <c r="AS347" s="2648">
        <f>IF(Application!D210="Non-Targeted",(SUM(AQ355+AQ364)),AS351)</f>
        <v>17</v>
      </c>
      <c r="AT347" s="2648"/>
    </row>
    <row r="348" spans="1:46" s="922" customFormat="1" ht="12.75" customHeight="1">
      <c r="A348" s="1006"/>
      <c r="B348" s="1097"/>
      <c r="C348" s="2684"/>
      <c r="D348" s="2684"/>
      <c r="E348" s="2684"/>
      <c r="F348" s="2684"/>
      <c r="G348" s="2684"/>
      <c r="H348" s="2684"/>
      <c r="I348" s="2684"/>
      <c r="J348" s="2684"/>
      <c r="K348" s="2684"/>
      <c r="L348" s="2684"/>
      <c r="M348" s="2684"/>
      <c r="N348" s="2684"/>
      <c r="O348" s="2684"/>
      <c r="P348" s="2684"/>
      <c r="Q348" s="2684"/>
      <c r="R348" s="2684"/>
      <c r="S348" s="2684"/>
      <c r="T348" s="2684"/>
      <c r="U348" s="2684"/>
      <c r="V348" s="2684"/>
      <c r="W348" s="2684"/>
      <c r="X348" s="2684"/>
      <c r="Y348" s="2684"/>
      <c r="Z348" s="2684"/>
      <c r="AA348" s="2684"/>
      <c r="AB348" s="2684"/>
      <c r="AC348" s="2684"/>
      <c r="AD348" s="2684"/>
      <c r="AE348" s="2684"/>
      <c r="AF348" s="2684"/>
      <c r="AG348" s="2684"/>
      <c r="AH348" s="2684"/>
      <c r="AI348" s="2684"/>
      <c r="AJ348" s="2684"/>
      <c r="AK348" s="1006"/>
      <c r="AL348" s="1006"/>
      <c r="AM348" s="1006"/>
      <c r="AN348" s="979"/>
      <c r="AO348" s="1130" t="s">
        <v>120</v>
      </c>
      <c r="AP348" s="1131">
        <f>IF(C386="Yes",7,0)</f>
        <v>7</v>
      </c>
      <c r="AS348" s="911" t="s">
        <v>1628</v>
      </c>
    </row>
    <row r="349" spans="1:46" s="922" customFormat="1" ht="12.75" customHeight="1">
      <c r="A349" s="1006"/>
      <c r="B349" s="1097"/>
      <c r="C349" s="2684"/>
      <c r="D349" s="2684"/>
      <c r="E349" s="2684"/>
      <c r="F349" s="2684"/>
      <c r="G349" s="2684"/>
      <c r="H349" s="2684"/>
      <c r="I349" s="2684"/>
      <c r="J349" s="2684"/>
      <c r="K349" s="2684"/>
      <c r="L349" s="2684"/>
      <c r="M349" s="2684"/>
      <c r="N349" s="2684"/>
      <c r="O349" s="2684"/>
      <c r="P349" s="2684"/>
      <c r="Q349" s="2684"/>
      <c r="R349" s="2684"/>
      <c r="S349" s="2684"/>
      <c r="T349" s="2684"/>
      <c r="U349" s="2684"/>
      <c r="V349" s="2684"/>
      <c r="W349" s="2684"/>
      <c r="X349" s="2684"/>
      <c r="Y349" s="2684"/>
      <c r="Z349" s="2684"/>
      <c r="AA349" s="2684"/>
      <c r="AB349" s="2684"/>
      <c r="AC349" s="2684"/>
      <c r="AD349" s="2684"/>
      <c r="AE349" s="2684"/>
      <c r="AF349" s="2684"/>
      <c r="AG349" s="2684"/>
      <c r="AH349" s="2684"/>
      <c r="AI349" s="2684"/>
      <c r="AJ349" s="2684"/>
      <c r="AK349" s="1006"/>
      <c r="AL349" s="1006"/>
      <c r="AM349" s="1006"/>
      <c r="AN349" s="979"/>
      <c r="AO349" s="979"/>
      <c r="AP349" s="1131">
        <f>IF(C388="Yes",5,0)</f>
        <v>0</v>
      </c>
      <c r="AS349" s="2648">
        <f>IF(AND(AQ355&gt;0,AQ364&gt;0),(AQ355+AQ364)/2,0)</f>
        <v>0</v>
      </c>
      <c r="AT349" s="2648"/>
    </row>
    <row r="350" spans="1:46" s="922" customFormat="1" ht="12.75" customHeight="1">
      <c r="A350" s="1006"/>
      <c r="B350" s="1097"/>
      <c r="C350" s="2684"/>
      <c r="D350" s="2684"/>
      <c r="E350" s="2684"/>
      <c r="F350" s="2684"/>
      <c r="G350" s="2684"/>
      <c r="H350" s="2684"/>
      <c r="I350" s="2684"/>
      <c r="J350" s="2684"/>
      <c r="K350" s="2684"/>
      <c r="L350" s="2684"/>
      <c r="M350" s="2684"/>
      <c r="N350" s="2684"/>
      <c r="O350" s="2684"/>
      <c r="P350" s="2684"/>
      <c r="Q350" s="2684"/>
      <c r="R350" s="2684"/>
      <c r="S350" s="2684"/>
      <c r="T350" s="2684"/>
      <c r="U350" s="2684"/>
      <c r="V350" s="2684"/>
      <c r="W350" s="2684"/>
      <c r="X350" s="2684"/>
      <c r="Y350" s="2684"/>
      <c r="Z350" s="2684"/>
      <c r="AA350" s="2684"/>
      <c r="AB350" s="2684"/>
      <c r="AC350" s="2684"/>
      <c r="AD350" s="2684"/>
      <c r="AE350" s="2684"/>
      <c r="AF350" s="2684"/>
      <c r="AG350" s="2684"/>
      <c r="AH350" s="2684"/>
      <c r="AI350" s="2684"/>
      <c r="AJ350" s="2684"/>
      <c r="AK350" s="1006"/>
      <c r="AL350" s="1006"/>
      <c r="AM350" s="1006"/>
      <c r="AN350" s="979"/>
      <c r="AO350" s="1130" t="s">
        <v>590</v>
      </c>
      <c r="AP350" s="1131">
        <f>IF(C396="Yes",5,0)</f>
        <v>5</v>
      </c>
      <c r="AQ350" s="981"/>
      <c r="AR350" s="981"/>
      <c r="AS350" s="911" t="s">
        <v>2138</v>
      </c>
    </row>
    <row r="351" spans="1:46" s="922" customFormat="1" ht="12.75" customHeight="1">
      <c r="A351" s="1006"/>
      <c r="B351" s="1097"/>
      <c r="C351" s="2787" t="s">
        <v>1629</v>
      </c>
      <c r="D351" s="2787"/>
      <c r="E351" s="2787"/>
      <c r="F351" s="2787"/>
      <c r="G351" s="2787"/>
      <c r="H351" s="2787"/>
      <c r="I351" s="2787"/>
      <c r="J351" s="2787"/>
      <c r="K351" s="2787"/>
      <c r="L351" s="2787"/>
      <c r="M351" s="2787"/>
      <c r="N351" s="2787"/>
      <c r="O351" s="2787"/>
      <c r="P351" s="2787"/>
      <c r="Q351" s="2787"/>
      <c r="R351" s="2787"/>
      <c r="S351" s="2787"/>
      <c r="T351" s="2787"/>
      <c r="U351" s="2787"/>
      <c r="V351" s="2787"/>
      <c r="W351" s="2787"/>
      <c r="X351" s="2787"/>
      <c r="Y351" s="2787"/>
      <c r="Z351" s="2787"/>
      <c r="AA351" s="2787"/>
      <c r="AB351" s="2787"/>
      <c r="AC351" s="2787"/>
      <c r="AD351" s="2787"/>
      <c r="AE351" s="2787"/>
      <c r="AF351" s="2787"/>
      <c r="AG351" s="2787"/>
      <c r="AH351" s="2787"/>
      <c r="AI351" s="2787"/>
      <c r="AJ351" s="2787"/>
      <c r="AK351" s="1006"/>
      <c r="AL351" s="1006"/>
      <c r="AM351" s="1006"/>
      <c r="AN351" s="979"/>
      <c r="AO351" s="979"/>
      <c r="AP351" s="1131">
        <f>IF(C398="Yes",3,0)</f>
        <v>0</v>
      </c>
      <c r="AS351" s="2648">
        <f>IF(AQ355=0,AQ364,AQ355)</f>
        <v>17</v>
      </c>
      <c r="AT351" s="2648"/>
    </row>
    <row r="352" spans="1:46" s="922" customFormat="1" ht="12.75" customHeight="1">
      <c r="A352" s="1006"/>
      <c r="B352" s="1097"/>
      <c r="C352" s="2787"/>
      <c r="D352" s="2787"/>
      <c r="E352" s="2787"/>
      <c r="F352" s="2787"/>
      <c r="G352" s="2787"/>
      <c r="H352" s="2787"/>
      <c r="I352" s="2787"/>
      <c r="J352" s="2787"/>
      <c r="K352" s="2787"/>
      <c r="L352" s="2787"/>
      <c r="M352" s="2787"/>
      <c r="N352" s="2787"/>
      <c r="O352" s="2787"/>
      <c r="P352" s="2787"/>
      <c r="Q352" s="2787"/>
      <c r="R352" s="2787"/>
      <c r="S352" s="2787"/>
      <c r="T352" s="2787"/>
      <c r="U352" s="2787"/>
      <c r="V352" s="2787"/>
      <c r="W352" s="2787"/>
      <c r="X352" s="2787"/>
      <c r="Y352" s="2787"/>
      <c r="Z352" s="2787"/>
      <c r="AA352" s="2787"/>
      <c r="AB352" s="2787"/>
      <c r="AC352" s="2787"/>
      <c r="AD352" s="2787"/>
      <c r="AE352" s="2787"/>
      <c r="AF352" s="2787"/>
      <c r="AG352" s="2787"/>
      <c r="AH352" s="2787"/>
      <c r="AI352" s="2787"/>
      <c r="AJ352" s="2787"/>
      <c r="AK352" s="1006"/>
      <c r="AL352" s="1006"/>
      <c r="AM352" s="1006"/>
      <c r="AN352" s="979"/>
      <c r="AO352" s="1130" t="s">
        <v>787</v>
      </c>
      <c r="AP352" s="1131">
        <f>IF(C401="Yes",5,0)</f>
        <v>0</v>
      </c>
    </row>
    <row r="353" spans="1:81" s="922" customFormat="1" ht="12.75" customHeight="1">
      <c r="A353" s="1006"/>
      <c r="B353" s="1097"/>
      <c r="C353" s="2787"/>
      <c r="D353" s="2787"/>
      <c r="E353" s="2787"/>
      <c r="F353" s="2787"/>
      <c r="G353" s="2787"/>
      <c r="H353" s="2787"/>
      <c r="I353" s="2787"/>
      <c r="J353" s="2787"/>
      <c r="K353" s="2787"/>
      <c r="L353" s="2787"/>
      <c r="M353" s="2787"/>
      <c r="N353" s="2787"/>
      <c r="O353" s="2787"/>
      <c r="P353" s="2787"/>
      <c r="Q353" s="2787"/>
      <c r="R353" s="2787"/>
      <c r="S353" s="2787"/>
      <c r="T353" s="2787"/>
      <c r="U353" s="2787"/>
      <c r="V353" s="2787"/>
      <c r="W353" s="2787"/>
      <c r="X353" s="2787"/>
      <c r="Y353" s="2787"/>
      <c r="Z353" s="2787"/>
      <c r="AA353" s="2787"/>
      <c r="AB353" s="2787"/>
      <c r="AC353" s="2787"/>
      <c r="AD353" s="2787"/>
      <c r="AE353" s="2787"/>
      <c r="AF353" s="2787"/>
      <c r="AG353" s="2787"/>
      <c r="AH353" s="2787"/>
      <c r="AI353" s="2787"/>
      <c r="AJ353" s="2787"/>
      <c r="AK353" s="1006"/>
      <c r="AL353" s="1006"/>
      <c r="AM353" s="1006"/>
      <c r="AN353" s="979"/>
      <c r="AO353" s="1130" t="s">
        <v>593</v>
      </c>
      <c r="AP353" s="1131">
        <f>IF(C410="Yes",5,0)</f>
        <v>0</v>
      </c>
    </row>
    <row r="354" spans="1:81" s="922" customFormat="1" ht="11.85" customHeight="1">
      <c r="A354" s="1006"/>
      <c r="B354" s="1097"/>
      <c r="C354" s="2787"/>
      <c r="D354" s="2787"/>
      <c r="E354" s="2787"/>
      <c r="F354" s="2787"/>
      <c r="G354" s="2787"/>
      <c r="H354" s="2787"/>
      <c r="I354" s="2787"/>
      <c r="J354" s="2787"/>
      <c r="K354" s="2787"/>
      <c r="L354" s="2787"/>
      <c r="M354" s="2787"/>
      <c r="N354" s="2787"/>
      <c r="O354" s="2787"/>
      <c r="P354" s="2787"/>
      <c r="Q354" s="2787"/>
      <c r="R354" s="2787"/>
      <c r="S354" s="2787"/>
      <c r="T354" s="2787"/>
      <c r="U354" s="2787"/>
      <c r="V354" s="2787"/>
      <c r="W354" s="2787"/>
      <c r="X354" s="2787"/>
      <c r="Y354" s="2787"/>
      <c r="Z354" s="2787"/>
      <c r="AA354" s="2787"/>
      <c r="AB354" s="2787"/>
      <c r="AC354" s="2787"/>
      <c r="AD354" s="2787"/>
      <c r="AE354" s="2787"/>
      <c r="AF354" s="2787"/>
      <c r="AG354" s="2787"/>
      <c r="AH354" s="2787"/>
      <c r="AI354" s="2787"/>
      <c r="AJ354" s="2787"/>
      <c r="AK354" s="1006"/>
      <c r="AL354" s="1006"/>
      <c r="AM354" s="1006"/>
      <c r="AN354" s="979"/>
      <c r="AO354" s="1132"/>
      <c r="AP354" s="1133">
        <f>IF(C412="Yes",3,0)</f>
        <v>0</v>
      </c>
    </row>
    <row r="355" spans="1:81" s="922" customFormat="1" ht="12.4" customHeight="1">
      <c r="A355" s="1006"/>
      <c r="B355" s="1097"/>
      <c r="C355" s="2787"/>
      <c r="D355" s="2787"/>
      <c r="E355" s="2787"/>
      <c r="F355" s="2787"/>
      <c r="G355" s="2787"/>
      <c r="H355" s="2787"/>
      <c r="I355" s="2787"/>
      <c r="J355" s="2787"/>
      <c r="K355" s="2787"/>
      <c r="L355" s="2787"/>
      <c r="M355" s="2787"/>
      <c r="N355" s="2787"/>
      <c r="O355" s="2787"/>
      <c r="P355" s="2787"/>
      <c r="Q355" s="2787"/>
      <c r="R355" s="2787"/>
      <c r="S355" s="2787"/>
      <c r="T355" s="2787"/>
      <c r="U355" s="2787"/>
      <c r="V355" s="2787"/>
      <c r="W355" s="2787"/>
      <c r="X355" s="2787"/>
      <c r="Y355" s="2787"/>
      <c r="Z355" s="2787"/>
      <c r="AA355" s="2787"/>
      <c r="AB355" s="2787"/>
      <c r="AC355" s="2787"/>
      <c r="AD355" s="2787"/>
      <c r="AE355" s="2787"/>
      <c r="AF355" s="2787"/>
      <c r="AG355" s="2787"/>
      <c r="AH355" s="2787"/>
      <c r="AI355" s="2787"/>
      <c r="AJ355" s="2787"/>
      <c r="AK355" s="1006"/>
      <c r="AL355" s="1006"/>
      <c r="AM355" s="1006"/>
      <c r="AN355" s="979"/>
      <c r="AO355" s="1134" t="s">
        <v>228</v>
      </c>
      <c r="AP355" s="1135">
        <f>SUM(AP346:AP354)</f>
        <v>17</v>
      </c>
      <c r="AQ355" s="2687">
        <f>IF(AP355&gt;0,AP355,0)</f>
        <v>17</v>
      </c>
      <c r="AR355" s="2687"/>
    </row>
    <row r="356" spans="1:81" s="922" customFormat="1" ht="12.75" customHeight="1">
      <c r="A356" s="1006"/>
      <c r="B356" s="1097"/>
      <c r="C356" s="2787"/>
      <c r="D356" s="2787"/>
      <c r="E356" s="2787"/>
      <c r="F356" s="2787"/>
      <c r="G356" s="2787"/>
      <c r="H356" s="2787"/>
      <c r="I356" s="2787"/>
      <c r="J356" s="2787"/>
      <c r="K356" s="2787"/>
      <c r="L356" s="2787"/>
      <c r="M356" s="2787"/>
      <c r="N356" s="2787"/>
      <c r="O356" s="2787"/>
      <c r="P356" s="2787"/>
      <c r="Q356" s="2787"/>
      <c r="R356" s="2787"/>
      <c r="S356" s="2787"/>
      <c r="T356" s="2787"/>
      <c r="U356" s="2787"/>
      <c r="V356" s="2787"/>
      <c r="W356" s="2787"/>
      <c r="X356" s="2787"/>
      <c r="Y356" s="2787"/>
      <c r="Z356" s="2787"/>
      <c r="AA356" s="2787"/>
      <c r="AB356" s="2787"/>
      <c r="AC356" s="2787"/>
      <c r="AD356" s="2787"/>
      <c r="AE356" s="2787"/>
      <c r="AF356" s="2787"/>
      <c r="AG356" s="2787"/>
      <c r="AH356" s="2787"/>
      <c r="AI356" s="2787"/>
      <c r="AJ356" s="2787"/>
      <c r="AK356" s="1006"/>
      <c r="AL356" s="1006"/>
      <c r="AM356" s="1006"/>
      <c r="AN356" s="979"/>
      <c r="AO356" s="1004"/>
      <c r="AP356" s="1136"/>
    </row>
    <row r="357" spans="1:81" s="922" customFormat="1" ht="12.75" customHeight="1">
      <c r="A357" s="1006"/>
      <c r="B357" s="1097"/>
      <c r="C357" s="1127"/>
      <c r="D357" s="1127"/>
      <c r="E357" s="1127"/>
      <c r="F357" s="1127"/>
      <c r="G357" s="1127"/>
      <c r="H357" s="1127"/>
      <c r="I357" s="1127"/>
      <c r="J357" s="1127"/>
      <c r="K357" s="1127"/>
      <c r="L357" s="1127"/>
      <c r="M357" s="1127"/>
      <c r="N357" s="1127"/>
      <c r="O357" s="1127"/>
      <c r="P357" s="1127"/>
      <c r="Q357" s="1127"/>
      <c r="R357" s="1127"/>
      <c r="S357" s="1127"/>
      <c r="T357" s="1127"/>
      <c r="U357" s="1127"/>
      <c r="V357" s="1127"/>
      <c r="W357" s="1127"/>
      <c r="X357" s="1127"/>
      <c r="Y357" s="1127"/>
      <c r="Z357" s="1127"/>
      <c r="AA357" s="1127"/>
      <c r="AB357" s="1127"/>
      <c r="AC357" s="1127"/>
      <c r="AD357" s="1127"/>
      <c r="AE357" s="1127"/>
      <c r="AF357" s="1127"/>
      <c r="AG357" s="1127"/>
      <c r="AH357" s="1127"/>
      <c r="AI357" s="1127"/>
      <c r="AJ357" s="1127"/>
      <c r="AK357" s="1006"/>
      <c r="AL357" s="1006"/>
      <c r="AM357" s="1006"/>
      <c r="AN357" s="979"/>
      <c r="AO357" s="1130" t="s">
        <v>464</v>
      </c>
      <c r="AP357" s="1131">
        <f>IF(C419="Yes",5,0)</f>
        <v>0</v>
      </c>
    </row>
    <row r="358" spans="1:81" s="922" customFormat="1" ht="12.75" customHeight="1">
      <c r="A358" s="1006"/>
      <c r="B358" s="1097"/>
      <c r="C358" s="2684" t="s">
        <v>1630</v>
      </c>
      <c r="D358" s="2684"/>
      <c r="E358" s="2684"/>
      <c r="F358" s="2684"/>
      <c r="G358" s="2684"/>
      <c r="H358" s="2684"/>
      <c r="I358" s="2684"/>
      <c r="J358" s="2684"/>
      <c r="K358" s="2684"/>
      <c r="L358" s="2684"/>
      <c r="M358" s="2684"/>
      <c r="N358" s="2684"/>
      <c r="O358" s="2684"/>
      <c r="P358" s="2684"/>
      <c r="Q358" s="2684"/>
      <c r="R358" s="2684"/>
      <c r="S358" s="2684"/>
      <c r="T358" s="2684"/>
      <c r="U358" s="2684"/>
      <c r="V358" s="2684"/>
      <c r="W358" s="2684"/>
      <c r="X358" s="2684"/>
      <c r="Y358" s="2684"/>
      <c r="Z358" s="2684"/>
      <c r="AA358" s="2684"/>
      <c r="AB358" s="2684"/>
      <c r="AC358" s="2684"/>
      <c r="AD358" s="2684"/>
      <c r="AE358" s="2684"/>
      <c r="AF358" s="2684"/>
      <c r="AG358" s="2684"/>
      <c r="AH358" s="2684"/>
      <c r="AI358" s="2684"/>
      <c r="AJ358" s="2684"/>
      <c r="AK358" s="1006"/>
      <c r="AL358" s="1006"/>
      <c r="AM358" s="1006"/>
      <c r="AN358" s="979"/>
      <c r="AO358" s="1130" t="s">
        <v>465</v>
      </c>
      <c r="AP358" s="1131">
        <f>IF(C431="Yes",5,0)</f>
        <v>0</v>
      </c>
    </row>
    <row r="359" spans="1:81" s="922" customFormat="1" ht="12.75" customHeight="1">
      <c r="A359" s="1006"/>
      <c r="B359" s="1097"/>
      <c r="C359" s="2684"/>
      <c r="D359" s="2684"/>
      <c r="E359" s="2684"/>
      <c r="F359" s="2684"/>
      <c r="G359" s="2684"/>
      <c r="H359" s="2684"/>
      <c r="I359" s="2684"/>
      <c r="J359" s="2684"/>
      <c r="K359" s="2684"/>
      <c r="L359" s="2684"/>
      <c r="M359" s="2684"/>
      <c r="N359" s="2684"/>
      <c r="O359" s="2684"/>
      <c r="P359" s="2684"/>
      <c r="Q359" s="2684"/>
      <c r="R359" s="2684"/>
      <c r="S359" s="2684"/>
      <c r="T359" s="2684"/>
      <c r="U359" s="2684"/>
      <c r="V359" s="2684"/>
      <c r="W359" s="2684"/>
      <c r="X359" s="2684"/>
      <c r="Y359" s="2684"/>
      <c r="Z359" s="2684"/>
      <c r="AA359" s="2684"/>
      <c r="AB359" s="2684"/>
      <c r="AC359" s="2684"/>
      <c r="AD359" s="2684"/>
      <c r="AE359" s="2684"/>
      <c r="AF359" s="2684"/>
      <c r="AG359" s="2684"/>
      <c r="AH359" s="2684"/>
      <c r="AI359" s="2684"/>
      <c r="AJ359" s="2684"/>
      <c r="AK359" s="1006"/>
      <c r="AL359" s="1006"/>
      <c r="AM359" s="1006"/>
      <c r="AN359" s="979"/>
      <c r="AO359" s="1130" t="s">
        <v>470</v>
      </c>
      <c r="AP359" s="1131">
        <f>IF(C438="Yes",5,0)</f>
        <v>0</v>
      </c>
    </row>
    <row r="360" spans="1:81" s="922" customFormat="1" ht="68.099999999999994" customHeight="1">
      <c r="A360" s="1006"/>
      <c r="B360" s="1097"/>
      <c r="C360" s="2684"/>
      <c r="D360" s="2684"/>
      <c r="E360" s="2684"/>
      <c r="F360" s="2684"/>
      <c r="G360" s="2684"/>
      <c r="H360" s="2684"/>
      <c r="I360" s="2684"/>
      <c r="J360" s="2684"/>
      <c r="K360" s="2684"/>
      <c r="L360" s="2684"/>
      <c r="M360" s="2684"/>
      <c r="N360" s="2684"/>
      <c r="O360" s="2684"/>
      <c r="P360" s="2684"/>
      <c r="Q360" s="2684"/>
      <c r="R360" s="2684"/>
      <c r="S360" s="2684"/>
      <c r="T360" s="2684"/>
      <c r="U360" s="2684"/>
      <c r="V360" s="2684"/>
      <c r="W360" s="2684"/>
      <c r="X360" s="2684"/>
      <c r="Y360" s="2684"/>
      <c r="Z360" s="2684"/>
      <c r="AA360" s="2684"/>
      <c r="AB360" s="2684"/>
      <c r="AC360" s="2684"/>
      <c r="AD360" s="2684"/>
      <c r="AE360" s="2684"/>
      <c r="AF360" s="2684"/>
      <c r="AG360" s="2684"/>
      <c r="AH360" s="2684"/>
      <c r="AI360" s="2684"/>
      <c r="AJ360" s="2684"/>
      <c r="AK360" s="1006"/>
      <c r="AL360" s="1006"/>
      <c r="AM360" s="1006"/>
      <c r="AN360" s="979"/>
      <c r="AO360" s="1130" t="s">
        <v>655</v>
      </c>
      <c r="AP360" s="1137">
        <f>IF(C442="Yes",5,0)</f>
        <v>0</v>
      </c>
      <c r="AQ360" s="981"/>
      <c r="AR360" s="981"/>
    </row>
    <row r="361" spans="1:81" s="922" customFormat="1" ht="12.4" customHeight="1">
      <c r="A361" s="1006"/>
      <c r="B361" s="1097"/>
      <c r="C361" s="1138" t="s">
        <v>1631</v>
      </c>
      <c r="AF361" s="1006"/>
      <c r="AG361" s="1006"/>
      <c r="AH361" s="1006"/>
      <c r="AI361" s="1006"/>
      <c r="AJ361" s="1006"/>
      <c r="AK361" s="1006"/>
      <c r="AL361" s="1006"/>
      <c r="AM361" s="1006"/>
      <c r="AN361" s="979"/>
      <c r="AO361" s="1130" t="s">
        <v>363</v>
      </c>
      <c r="AP361" s="1131">
        <f>IF(C446="Yes",5,0)</f>
        <v>0</v>
      </c>
    </row>
    <row r="362" spans="1:81" s="922" customFormat="1" ht="12.75" customHeight="1">
      <c r="A362" s="1006"/>
      <c r="B362" s="1097"/>
      <c r="C362" s="1139" t="s">
        <v>1632</v>
      </c>
      <c r="D362" s="1140"/>
      <c r="E362" s="1140"/>
      <c r="F362" s="1140"/>
      <c r="G362" s="1140"/>
      <c r="H362" s="1140"/>
      <c r="I362" s="1140"/>
      <c r="J362" s="1140"/>
      <c r="K362" s="1140"/>
      <c r="L362" s="1140"/>
      <c r="M362" s="1089"/>
      <c r="N362" s="1089"/>
      <c r="O362" s="1141"/>
      <c r="P362" s="1140"/>
      <c r="Q362" s="1140"/>
      <c r="R362" s="1089"/>
      <c r="S362" s="1089"/>
      <c r="T362" s="1140"/>
      <c r="U362" s="2685">
        <f>Application!CS649-U363</f>
        <v>69</v>
      </c>
      <c r="V362" s="2685"/>
      <c r="W362" s="2685"/>
      <c r="X362" s="1140"/>
      <c r="Y362" s="1140"/>
      <c r="Z362" s="1140"/>
      <c r="AA362" s="1142"/>
      <c r="AB362" s="1143"/>
      <c r="AC362" s="1143"/>
      <c r="AD362" s="1143"/>
      <c r="AE362" s="1006"/>
      <c r="AF362" s="1006"/>
      <c r="AG362" s="1006"/>
      <c r="AH362" s="1006"/>
      <c r="AI362" s="1006"/>
      <c r="AJ362" s="1006"/>
      <c r="AK362" s="1006"/>
      <c r="AL362" s="1006"/>
      <c r="AM362" s="1006"/>
      <c r="AN362" s="979"/>
      <c r="AO362" s="1130" t="s">
        <v>364</v>
      </c>
      <c r="AP362" s="1131">
        <f>IF(C455="Yes",5,0)</f>
        <v>0</v>
      </c>
    </row>
    <row r="363" spans="1:81" s="922" customFormat="1" ht="12.75" customHeight="1">
      <c r="A363" s="1006"/>
      <c r="B363" s="1097"/>
      <c r="C363" s="1144" t="s">
        <v>1633</v>
      </c>
      <c r="D363" s="1145"/>
      <c r="E363" s="1145"/>
      <c r="F363" s="1145"/>
      <c r="G363" s="1145"/>
      <c r="H363" s="1145"/>
      <c r="I363" s="1145"/>
      <c r="J363" s="1145"/>
      <c r="K363" s="1145"/>
      <c r="L363" s="1145"/>
      <c r="M363" s="1129"/>
      <c r="N363" s="1129"/>
      <c r="O363" s="1145"/>
      <c r="P363" s="1145"/>
      <c r="Q363" s="1145"/>
      <c r="R363" s="1145"/>
      <c r="S363" s="1145"/>
      <c r="T363" s="1145"/>
      <c r="U363" s="2686">
        <f>Application!AG742</f>
        <v>0</v>
      </c>
      <c r="V363" s="2686"/>
      <c r="W363" s="2686"/>
      <c r="X363" s="1145"/>
      <c r="Y363" s="1145"/>
      <c r="Z363" s="1145"/>
      <c r="AA363" s="1146"/>
      <c r="AB363" s="1138"/>
      <c r="AC363" s="1147"/>
      <c r="AD363" s="1147"/>
      <c r="AE363" s="1006"/>
      <c r="AF363" s="1006"/>
      <c r="AG363" s="1006"/>
      <c r="AH363" s="1006"/>
      <c r="AI363" s="1006"/>
      <c r="AJ363" s="1006"/>
      <c r="AK363" s="1006"/>
      <c r="AL363" s="1006"/>
      <c r="AM363" s="1006"/>
      <c r="AN363" s="979"/>
      <c r="AO363" s="1132"/>
      <c r="AP363" s="1133"/>
    </row>
    <row r="364" spans="1:81" s="922" customFormat="1" ht="12.75" customHeight="1">
      <c r="A364" s="1006"/>
      <c r="B364" s="1097"/>
      <c r="C364" s="1195"/>
      <c r="D364" s="1507"/>
      <c r="E364" s="1507"/>
      <c r="F364" s="1507"/>
      <c r="G364" s="1507"/>
      <c r="H364" s="1507"/>
      <c r="I364" s="1507"/>
      <c r="J364" s="1507"/>
      <c r="K364" s="1507"/>
      <c r="L364" s="1507"/>
      <c r="M364" s="1004"/>
      <c r="N364" s="1004"/>
      <c r="O364" s="1507"/>
      <c r="P364" s="1507"/>
      <c r="Q364" s="1507"/>
      <c r="R364" s="1507"/>
      <c r="S364" s="1507"/>
      <c r="T364" s="1507"/>
      <c r="U364" s="1508"/>
      <c r="V364" s="1508"/>
      <c r="W364" s="1508"/>
      <c r="X364" s="1507"/>
      <c r="Y364" s="1507"/>
      <c r="Z364" s="1507"/>
      <c r="AA364" s="1507"/>
      <c r="AB364" s="1138"/>
      <c r="AC364" s="1147"/>
      <c r="AD364" s="1147"/>
      <c r="AE364" s="1006"/>
      <c r="AF364" s="1006"/>
      <c r="AG364" s="1006"/>
      <c r="AH364" s="1006"/>
      <c r="AI364" s="1006"/>
      <c r="AJ364" s="1006"/>
      <c r="AK364" s="1006"/>
      <c r="AL364" s="1006"/>
      <c r="AM364" s="1006"/>
      <c r="AN364" s="979"/>
      <c r="AO364" s="1148" t="s">
        <v>228</v>
      </c>
      <c r="AP364" s="1149">
        <f>SUM(AP357:AP362)</f>
        <v>0</v>
      </c>
      <c r="AQ364" s="2687">
        <f>IF(AP364&gt;0,AP364,0)</f>
        <v>0</v>
      </c>
      <c r="AR364" s="2687"/>
    </row>
    <row r="365" spans="1:81" s="922" customFormat="1" ht="12.75" customHeight="1">
      <c r="A365" s="1006"/>
      <c r="B365" s="51"/>
      <c r="C365" s="1150" t="s">
        <v>1634</v>
      </c>
      <c r="D365" s="1006"/>
      <c r="E365" s="1006"/>
      <c r="F365" s="1006"/>
      <c r="G365" s="1006"/>
      <c r="H365" s="1006"/>
      <c r="I365" s="1006"/>
      <c r="J365" s="1006"/>
      <c r="K365" s="1006"/>
      <c r="L365" s="1006"/>
      <c r="M365" s="1006"/>
      <c r="N365" s="1006"/>
      <c r="O365" s="1006"/>
      <c r="P365" s="1006"/>
      <c r="Q365" s="1006"/>
      <c r="R365" s="1006"/>
      <c r="S365" s="1006"/>
      <c r="T365" s="1006"/>
      <c r="U365" s="1006"/>
      <c r="V365" s="1006"/>
      <c r="W365" s="1006"/>
      <c r="X365" s="1006"/>
      <c r="Y365" s="1006"/>
      <c r="Z365" s="1006"/>
      <c r="AA365" s="1006"/>
      <c r="AB365" s="1006"/>
      <c r="AC365" s="1006"/>
      <c r="AD365" s="1006"/>
      <c r="AE365" s="1006"/>
      <c r="AF365" s="1006"/>
      <c r="AG365" s="1006"/>
      <c r="AH365" s="1006"/>
      <c r="AI365" s="1006"/>
      <c r="AJ365" s="1006"/>
      <c r="AK365" s="1006"/>
      <c r="AL365" s="1006"/>
      <c r="AM365" s="1006"/>
      <c r="AN365" s="979"/>
      <c r="AO365" s="1004"/>
      <c r="AP365" s="1004"/>
      <c r="BS365" s="126"/>
      <c r="BT365" s="126"/>
      <c r="BU365" s="51"/>
      <c r="BV365" s="51"/>
      <c r="BW365" s="51"/>
    </row>
    <row r="366" spans="1:81" s="922" customFormat="1" ht="12.75" customHeight="1">
      <c r="A366" s="906"/>
      <c r="B366" s="51"/>
      <c r="C366" s="1151"/>
      <c r="D366" s="1152"/>
      <c r="E366" s="1153" t="s">
        <v>1486</v>
      </c>
      <c r="F366" s="2678" t="s">
        <v>1635</v>
      </c>
      <c r="G366" s="2678"/>
      <c r="H366" s="2678"/>
      <c r="I366" s="2678"/>
      <c r="J366" s="2678"/>
      <c r="K366" s="2678"/>
      <c r="L366" s="2678"/>
      <c r="M366" s="2678"/>
      <c r="N366" s="2678"/>
      <c r="O366" s="2678"/>
      <c r="P366" s="2678"/>
      <c r="Q366" s="2678"/>
      <c r="R366" s="2678"/>
      <c r="S366" s="2678"/>
      <c r="T366" s="2678"/>
      <c r="U366" s="2678"/>
      <c r="V366" s="2678"/>
      <c r="W366" s="2678"/>
      <c r="X366" s="2678"/>
      <c r="Y366" s="2678"/>
      <c r="Z366" s="2678"/>
      <c r="AA366" s="2678"/>
      <c r="AB366" s="2678"/>
      <c r="AC366" s="2678"/>
      <c r="AD366" s="2678"/>
      <c r="AE366" s="2678"/>
      <c r="AF366" s="2678"/>
      <c r="AG366" s="1154"/>
      <c r="AH366" s="1154"/>
      <c r="AI366" s="1154"/>
      <c r="AJ366" s="1154"/>
      <c r="AK366" s="1154"/>
      <c r="AL366" s="1155"/>
      <c r="AM366" s="1113"/>
      <c r="AN366" s="979"/>
      <c r="AO366" s="1004"/>
      <c r="AP366" s="1136"/>
      <c r="BS366" s="126"/>
      <c r="BT366" s="126"/>
      <c r="BU366" s="51"/>
      <c r="BV366" s="51"/>
      <c r="BW366" s="51"/>
      <c r="BX366" s="51"/>
      <c r="BY366" s="51"/>
      <c r="BZ366" s="51"/>
      <c r="CA366" s="51"/>
      <c r="CB366" s="51"/>
      <c r="CC366" s="51"/>
    </row>
    <row r="367" spans="1:81" s="922" customFormat="1" ht="12.75" customHeight="1">
      <c r="A367" s="906"/>
      <c r="B367" s="51"/>
      <c r="C367" s="1156"/>
      <c r="D367" s="970"/>
      <c r="E367" s="1157"/>
      <c r="F367" s="2679"/>
      <c r="G367" s="2679"/>
      <c r="H367" s="2679"/>
      <c r="I367" s="2679"/>
      <c r="J367" s="2679"/>
      <c r="K367" s="2679"/>
      <c r="L367" s="2679"/>
      <c r="M367" s="2679"/>
      <c r="N367" s="2679"/>
      <c r="O367" s="2679"/>
      <c r="P367" s="2679"/>
      <c r="Q367" s="2679"/>
      <c r="R367" s="2679"/>
      <c r="S367" s="2679"/>
      <c r="T367" s="2679"/>
      <c r="U367" s="2679"/>
      <c r="V367" s="2679"/>
      <c r="W367" s="2679"/>
      <c r="X367" s="2679"/>
      <c r="Y367" s="2679"/>
      <c r="Z367" s="2679"/>
      <c r="AA367" s="2679"/>
      <c r="AB367" s="2679"/>
      <c r="AC367" s="2679"/>
      <c r="AD367" s="2679"/>
      <c r="AE367" s="2679"/>
      <c r="AF367" s="2679"/>
      <c r="AG367" s="1158"/>
      <c r="AH367" s="1158"/>
      <c r="AI367" s="1158"/>
      <c r="AJ367" s="1158"/>
      <c r="AK367" s="1158"/>
      <c r="AL367" s="1440"/>
      <c r="AM367" s="1113"/>
      <c r="AN367" s="979"/>
      <c r="AO367" s="1004"/>
      <c r="AP367" s="1136"/>
      <c r="BS367" s="126"/>
      <c r="BT367" s="126"/>
      <c r="BU367" s="51"/>
      <c r="BV367" s="51"/>
      <c r="BW367" s="51"/>
      <c r="BX367" s="51"/>
      <c r="BY367" s="51"/>
      <c r="BZ367" s="51"/>
      <c r="CA367" s="51"/>
      <c r="CB367" s="51"/>
      <c r="CC367" s="51"/>
    </row>
    <row r="368" spans="1:81" s="922" customFormat="1" ht="12.75" customHeight="1">
      <c r="A368" s="906"/>
      <c r="B368" s="51"/>
      <c r="C368" s="1156"/>
      <c r="D368" s="970"/>
      <c r="E368" s="1157"/>
      <c r="F368" s="2679"/>
      <c r="G368" s="2679"/>
      <c r="H368" s="2679"/>
      <c r="I368" s="2679"/>
      <c r="J368" s="2679"/>
      <c r="K368" s="2679"/>
      <c r="L368" s="2679"/>
      <c r="M368" s="2679"/>
      <c r="N368" s="2679"/>
      <c r="O368" s="2679"/>
      <c r="P368" s="2679"/>
      <c r="Q368" s="2679"/>
      <c r="R368" s="2679"/>
      <c r="S368" s="2679"/>
      <c r="T368" s="2679"/>
      <c r="U368" s="2679"/>
      <c r="V368" s="2679"/>
      <c r="W368" s="2679"/>
      <c r="X368" s="2679"/>
      <c r="Y368" s="2679"/>
      <c r="Z368" s="2679"/>
      <c r="AA368" s="2679"/>
      <c r="AB368" s="2679"/>
      <c r="AC368" s="2679"/>
      <c r="AD368" s="2679"/>
      <c r="AE368" s="2679"/>
      <c r="AF368" s="2679"/>
      <c r="AG368" s="1158"/>
      <c r="AH368" s="1158"/>
      <c r="AI368" s="1158"/>
      <c r="AJ368" s="1158"/>
      <c r="AK368" s="1158"/>
      <c r="AL368" s="1440"/>
      <c r="AM368" s="1113"/>
      <c r="AN368" s="979"/>
      <c r="AO368" s="1004"/>
      <c r="AP368" s="1004"/>
      <c r="BS368" s="126"/>
      <c r="BT368" s="126"/>
      <c r="BU368" s="51"/>
      <c r="BV368" s="51"/>
      <c r="BW368" s="51"/>
      <c r="BX368" s="51"/>
      <c r="BY368" s="51"/>
      <c r="BZ368" s="51"/>
      <c r="CA368" s="51"/>
      <c r="CB368" s="51"/>
      <c r="CC368" s="51"/>
    </row>
    <row r="369" spans="1:81" s="922" customFormat="1" ht="12.75" customHeight="1">
      <c r="A369" s="906"/>
      <c r="B369" s="51"/>
      <c r="C369" s="1156"/>
      <c r="D369" s="970"/>
      <c r="E369" s="1157"/>
      <c r="F369" s="2679"/>
      <c r="G369" s="2679"/>
      <c r="H369" s="2679"/>
      <c r="I369" s="2679"/>
      <c r="J369" s="2679"/>
      <c r="K369" s="2679"/>
      <c r="L369" s="2679"/>
      <c r="M369" s="2679"/>
      <c r="N369" s="2679"/>
      <c r="O369" s="2679"/>
      <c r="P369" s="2679"/>
      <c r="Q369" s="2679"/>
      <c r="R369" s="2679"/>
      <c r="S369" s="2679"/>
      <c r="T369" s="2679"/>
      <c r="U369" s="2679"/>
      <c r="V369" s="2679"/>
      <c r="W369" s="2679"/>
      <c r="X369" s="2679"/>
      <c r="Y369" s="2679"/>
      <c r="Z369" s="2679"/>
      <c r="AA369" s="2679"/>
      <c r="AB369" s="2679"/>
      <c r="AC369" s="2679"/>
      <c r="AD369" s="2679"/>
      <c r="AE369" s="2679"/>
      <c r="AF369" s="2679"/>
      <c r="AG369" s="1158"/>
      <c r="AH369" s="1158"/>
      <c r="AI369" s="1158"/>
      <c r="AJ369" s="1158"/>
      <c r="AK369" s="1158"/>
      <c r="AL369" s="1440"/>
      <c r="AM369" s="1113"/>
      <c r="AN369" s="979"/>
      <c r="AO369" s="1004"/>
      <c r="AP369" s="1004"/>
      <c r="BS369" s="126"/>
      <c r="BT369" s="126"/>
      <c r="BU369" s="51"/>
      <c r="BV369" s="51"/>
      <c r="BW369" s="51"/>
      <c r="BX369" s="51"/>
      <c r="BY369" s="51"/>
      <c r="BZ369" s="51"/>
      <c r="CA369" s="51"/>
      <c r="CB369" s="51"/>
      <c r="CC369" s="51"/>
    </row>
    <row r="370" spans="1:81" s="922" customFormat="1" ht="12.75" customHeight="1">
      <c r="A370" s="906"/>
      <c r="B370" s="51"/>
      <c r="C370" s="2688" t="s">
        <v>600</v>
      </c>
      <c r="D370" s="2689"/>
      <c r="E370" s="1157"/>
      <c r="F370" s="1160" t="s">
        <v>1636</v>
      </c>
      <c r="G370" s="1161"/>
      <c r="H370" s="1161"/>
      <c r="I370" s="1161"/>
      <c r="J370" s="1161"/>
      <c r="K370" s="1161"/>
      <c r="L370" s="1161"/>
      <c r="M370" s="1161"/>
      <c r="N370" s="1161"/>
      <c r="O370" s="1161"/>
      <c r="P370" s="1161"/>
      <c r="Q370" s="1161"/>
      <c r="R370" s="1161"/>
      <c r="S370" s="1161"/>
      <c r="T370" s="1161"/>
      <c r="U370" s="1161"/>
      <c r="V370" s="1161"/>
      <c r="W370" s="1161"/>
      <c r="X370" s="1161"/>
      <c r="Y370" s="1161"/>
      <c r="Z370" s="1161"/>
      <c r="AA370" s="1161"/>
      <c r="AB370" s="1161"/>
      <c r="AC370" s="1161"/>
      <c r="AD370" s="1161"/>
      <c r="AE370" s="1004"/>
      <c r="AF370" s="2690" t="s">
        <v>1637</v>
      </c>
      <c r="AG370" s="2690"/>
      <c r="AH370" s="2690"/>
      <c r="AI370" s="2690"/>
      <c r="AJ370" s="2690"/>
      <c r="AK370" s="2690"/>
      <c r="AL370" s="2691"/>
      <c r="AM370" s="1162"/>
      <c r="BS370" s="126"/>
      <c r="BT370" s="126"/>
      <c r="BU370" s="51"/>
      <c r="BV370" s="51"/>
      <c r="BW370" s="51"/>
      <c r="BX370" s="51"/>
      <c r="BY370" s="51"/>
      <c r="BZ370" s="51"/>
      <c r="CA370" s="51"/>
      <c r="CB370" s="51"/>
      <c r="CC370" s="51"/>
    </row>
    <row r="371" spans="1:81" s="922" customFormat="1" ht="12.75" customHeight="1">
      <c r="A371" s="906"/>
      <c r="B371" s="56"/>
      <c r="C371" s="1215"/>
      <c r="D371" s="1163"/>
      <c r="E371" s="1164"/>
      <c r="F371" s="1165"/>
      <c r="G371" s="1166"/>
      <c r="H371" s="1166"/>
      <c r="I371" s="1166"/>
      <c r="J371" s="1166"/>
      <c r="K371" s="1166"/>
      <c r="L371" s="1166"/>
      <c r="M371" s="1166"/>
      <c r="N371" s="1166"/>
      <c r="O371" s="1166"/>
      <c r="P371" s="1166"/>
      <c r="Q371" s="1166"/>
      <c r="R371" s="1166"/>
      <c r="S371" s="1166"/>
      <c r="T371" s="1166"/>
      <c r="U371" s="1166"/>
      <c r="V371" s="1166"/>
      <c r="W371" s="1166"/>
      <c r="X371" s="1166"/>
      <c r="Y371" s="1166"/>
      <c r="Z371" s="1166"/>
      <c r="AA371" s="1166"/>
      <c r="AB371" s="1166"/>
      <c r="AC371" s="1166"/>
      <c r="AD371" s="1166"/>
      <c r="AE371" s="1167"/>
      <c r="AF371" s="1167"/>
      <c r="AG371" s="1167"/>
      <c r="AH371" s="1167"/>
      <c r="AI371" s="1167"/>
      <c r="AJ371" s="1167"/>
      <c r="AK371" s="1167"/>
      <c r="AL371" s="1216"/>
      <c r="AM371" s="1169"/>
      <c r="AN371" s="979"/>
      <c r="CC371" s="51"/>
    </row>
    <row r="372" spans="1:81" s="922" customFormat="1" ht="12.75" customHeight="1">
      <c r="A372" s="906"/>
      <c r="B372" s="51"/>
      <c r="C372" s="1170"/>
      <c r="D372" s="1170"/>
      <c r="E372" s="1157"/>
      <c r="F372" s="1102"/>
      <c r="G372" s="1102"/>
      <c r="H372" s="1102"/>
      <c r="I372" s="1102"/>
      <c r="J372" s="1102"/>
      <c r="K372" s="1102"/>
      <c r="L372" s="1102"/>
      <c r="M372" s="1102"/>
      <c r="N372" s="1102"/>
      <c r="O372" s="1102"/>
      <c r="P372" s="1102"/>
      <c r="Q372" s="1102"/>
      <c r="R372" s="1102"/>
      <c r="S372" s="1102"/>
      <c r="T372" s="1102"/>
      <c r="U372" s="1102"/>
      <c r="V372" s="1102"/>
      <c r="W372" s="1102"/>
      <c r="X372" s="1102"/>
      <c r="Y372" s="1102"/>
      <c r="Z372" s="1102"/>
      <c r="AA372" s="1102"/>
      <c r="AB372" s="1102"/>
      <c r="AC372" s="1102"/>
      <c r="AD372" s="1102"/>
      <c r="AE372" s="964"/>
      <c r="AF372" s="964"/>
      <c r="AG372" s="964"/>
      <c r="AH372" s="964"/>
      <c r="AI372" s="964"/>
      <c r="AJ372" s="964"/>
      <c r="AK372" s="964"/>
      <c r="AL372" s="964"/>
      <c r="AM372" s="1113"/>
      <c r="AN372" s="979"/>
      <c r="BS372" s="126"/>
      <c r="BT372" s="126"/>
      <c r="BU372" s="51"/>
      <c r="BV372" s="51"/>
      <c r="BW372" s="51"/>
      <c r="BX372" s="51"/>
      <c r="BY372" s="51"/>
      <c r="BZ372" s="51"/>
      <c r="CA372" s="51"/>
      <c r="CB372" s="51"/>
      <c r="CC372" s="51"/>
    </row>
    <row r="373" spans="1:81" s="922" customFormat="1" ht="12.75" customHeight="1">
      <c r="A373" s="906"/>
      <c r="B373" s="51"/>
      <c r="C373" s="1151"/>
      <c r="D373" s="1152"/>
      <c r="E373" s="1153" t="s">
        <v>1488</v>
      </c>
      <c r="F373" s="2678" t="s">
        <v>1638</v>
      </c>
      <c r="G373" s="2678"/>
      <c r="H373" s="2678"/>
      <c r="I373" s="2678"/>
      <c r="J373" s="2678"/>
      <c r="K373" s="2678"/>
      <c r="L373" s="2678"/>
      <c r="M373" s="2678"/>
      <c r="N373" s="2678"/>
      <c r="O373" s="2678"/>
      <c r="P373" s="2678"/>
      <c r="Q373" s="2678"/>
      <c r="R373" s="2678"/>
      <c r="S373" s="2678"/>
      <c r="T373" s="2678"/>
      <c r="U373" s="2678"/>
      <c r="V373" s="2678"/>
      <c r="W373" s="2678"/>
      <c r="X373" s="2678"/>
      <c r="Y373" s="2678"/>
      <c r="Z373" s="2678"/>
      <c r="AA373" s="2678"/>
      <c r="AB373" s="2678"/>
      <c r="AC373" s="2678"/>
      <c r="AD373" s="2678"/>
      <c r="AE373" s="2678"/>
      <c r="AF373" s="2678"/>
      <c r="AG373" s="1154"/>
      <c r="AH373" s="1154"/>
      <c r="AI373" s="1154"/>
      <c r="AJ373" s="1154"/>
      <c r="AK373" s="1154"/>
      <c r="AL373" s="1155"/>
      <c r="AM373" s="1113"/>
      <c r="AN373" s="979"/>
      <c r="BS373" s="126"/>
      <c r="BT373" s="126"/>
      <c r="BU373" s="51"/>
      <c r="BV373" s="51"/>
      <c r="BW373" s="51"/>
      <c r="BX373" s="51"/>
      <c r="BY373" s="51"/>
      <c r="BZ373" s="51"/>
      <c r="CA373" s="51"/>
      <c r="CB373" s="51"/>
      <c r="CC373" s="51"/>
    </row>
    <row r="374" spans="1:81" s="922" customFormat="1" ht="12.75" customHeight="1">
      <c r="A374" s="906"/>
      <c r="B374" s="51"/>
      <c r="C374" s="1171"/>
      <c r="D374" s="112"/>
      <c r="E374" s="1125"/>
      <c r="F374" s="2679"/>
      <c r="G374" s="2679"/>
      <c r="H374" s="2679"/>
      <c r="I374" s="2679"/>
      <c r="J374" s="2679"/>
      <c r="K374" s="2679"/>
      <c r="L374" s="2679"/>
      <c r="M374" s="2679"/>
      <c r="N374" s="2679"/>
      <c r="O374" s="2679"/>
      <c r="P374" s="2679"/>
      <c r="Q374" s="2679"/>
      <c r="R374" s="2679"/>
      <c r="S374" s="2679"/>
      <c r="T374" s="2679"/>
      <c r="U374" s="2679"/>
      <c r="V374" s="2679"/>
      <c r="W374" s="2679"/>
      <c r="X374" s="2679"/>
      <c r="Y374" s="2679"/>
      <c r="Z374" s="2679"/>
      <c r="AA374" s="2679"/>
      <c r="AB374" s="2679"/>
      <c r="AC374" s="2679"/>
      <c r="AD374" s="2679"/>
      <c r="AE374" s="2679"/>
      <c r="AF374" s="2679"/>
      <c r="AG374" s="1158"/>
      <c r="AH374" s="1158"/>
      <c r="AI374" s="1158"/>
      <c r="AJ374" s="1158"/>
      <c r="AK374" s="1158"/>
      <c r="AL374" s="1440"/>
      <c r="AM374" s="1113"/>
      <c r="AN374" s="979"/>
      <c r="BS374" s="126"/>
      <c r="BT374" s="126"/>
      <c r="BU374" s="51"/>
      <c r="BV374" s="51"/>
      <c r="BW374" s="51"/>
      <c r="BX374" s="51"/>
      <c r="BY374" s="51"/>
      <c r="BZ374" s="51"/>
      <c r="CA374" s="51"/>
      <c r="CB374" s="51"/>
      <c r="CC374" s="51"/>
    </row>
    <row r="375" spans="1:81" s="922" customFormat="1" ht="12.75" customHeight="1">
      <c r="A375" s="906"/>
      <c r="B375" s="51"/>
      <c r="C375" s="1171"/>
      <c r="D375" s="112"/>
      <c r="E375" s="1125"/>
      <c r="F375" s="2679"/>
      <c r="G375" s="2679"/>
      <c r="H375" s="2679"/>
      <c r="I375" s="2679"/>
      <c r="J375" s="2679"/>
      <c r="K375" s="2679"/>
      <c r="L375" s="2679"/>
      <c r="M375" s="2679"/>
      <c r="N375" s="2679"/>
      <c r="O375" s="2679"/>
      <c r="P375" s="2679"/>
      <c r="Q375" s="2679"/>
      <c r="R375" s="2679"/>
      <c r="S375" s="2679"/>
      <c r="T375" s="2679"/>
      <c r="U375" s="2679"/>
      <c r="V375" s="2679"/>
      <c r="W375" s="2679"/>
      <c r="X375" s="2679"/>
      <c r="Y375" s="2679"/>
      <c r="Z375" s="2679"/>
      <c r="AA375" s="2679"/>
      <c r="AB375" s="2679"/>
      <c r="AC375" s="2679"/>
      <c r="AD375" s="2679"/>
      <c r="AE375" s="2679"/>
      <c r="AF375" s="2679"/>
      <c r="AG375" s="1158"/>
      <c r="AH375" s="1158"/>
      <c r="AI375" s="1158"/>
      <c r="AJ375" s="1158"/>
      <c r="AK375" s="1158"/>
      <c r="AL375" s="1440"/>
      <c r="AM375" s="1113"/>
      <c r="AN375" s="979"/>
      <c r="BS375" s="126"/>
      <c r="BT375" s="126"/>
      <c r="BU375" s="51"/>
      <c r="BV375" s="51"/>
      <c r="BW375" s="51"/>
      <c r="BX375" s="51"/>
      <c r="BY375" s="51"/>
      <c r="BZ375" s="51"/>
      <c r="CA375" s="51"/>
      <c r="CB375" s="51"/>
      <c r="CC375" s="51"/>
    </row>
    <row r="376" spans="1:81" s="922" customFormat="1" ht="12.75" customHeight="1">
      <c r="A376" s="906"/>
      <c r="B376" s="51"/>
      <c r="C376" s="1171"/>
      <c r="D376" s="112"/>
      <c r="E376" s="1125"/>
      <c r="F376" s="2679"/>
      <c r="G376" s="2679"/>
      <c r="H376" s="2679"/>
      <c r="I376" s="2679"/>
      <c r="J376" s="2679"/>
      <c r="K376" s="2679"/>
      <c r="L376" s="2679"/>
      <c r="M376" s="2679"/>
      <c r="N376" s="2679"/>
      <c r="O376" s="2679"/>
      <c r="P376" s="2679"/>
      <c r="Q376" s="2679"/>
      <c r="R376" s="2679"/>
      <c r="S376" s="2679"/>
      <c r="T376" s="2679"/>
      <c r="U376" s="2679"/>
      <c r="V376" s="2679"/>
      <c r="W376" s="2679"/>
      <c r="X376" s="2679"/>
      <c r="Y376" s="2679"/>
      <c r="Z376" s="2679"/>
      <c r="AA376" s="2679"/>
      <c r="AB376" s="2679"/>
      <c r="AC376" s="2679"/>
      <c r="AD376" s="2679"/>
      <c r="AE376" s="2679"/>
      <c r="AF376" s="2679"/>
      <c r="AG376" s="1158"/>
      <c r="AH376" s="1158"/>
      <c r="AI376" s="1158"/>
      <c r="AJ376" s="1158"/>
      <c r="AK376" s="1158"/>
      <c r="AL376" s="1440"/>
      <c r="AM376" s="1113"/>
      <c r="AN376" s="979"/>
      <c r="BS376" s="126"/>
      <c r="BT376" s="126"/>
      <c r="BU376" s="51"/>
      <c r="BV376" s="51"/>
      <c r="BW376" s="51"/>
      <c r="BX376" s="51"/>
      <c r="BY376" s="51"/>
      <c r="BZ376" s="51"/>
      <c r="CA376" s="51"/>
      <c r="CB376" s="51"/>
      <c r="CC376" s="51"/>
    </row>
    <row r="377" spans="1:81" s="922" customFormat="1" ht="12.75" customHeight="1">
      <c r="A377" s="906"/>
      <c r="B377" s="51"/>
      <c r="C377" s="1171"/>
      <c r="D377" s="112"/>
      <c r="E377" s="1125"/>
      <c r="F377" s="2679"/>
      <c r="G377" s="2679"/>
      <c r="H377" s="2679"/>
      <c r="I377" s="2679"/>
      <c r="J377" s="2679"/>
      <c r="K377" s="2679"/>
      <c r="L377" s="2679"/>
      <c r="M377" s="2679"/>
      <c r="N377" s="2679"/>
      <c r="O377" s="2679"/>
      <c r="P377" s="2679"/>
      <c r="Q377" s="2679"/>
      <c r="R377" s="2679"/>
      <c r="S377" s="2679"/>
      <c r="T377" s="2679"/>
      <c r="U377" s="2679"/>
      <c r="V377" s="2679"/>
      <c r="W377" s="2679"/>
      <c r="X377" s="2679"/>
      <c r="Y377" s="2679"/>
      <c r="Z377" s="2679"/>
      <c r="AA377" s="2679"/>
      <c r="AB377" s="2679"/>
      <c r="AC377" s="2679"/>
      <c r="AD377" s="2679"/>
      <c r="AE377" s="2679"/>
      <c r="AF377" s="2679"/>
      <c r="AG377" s="1004"/>
      <c r="AH377" s="1004"/>
      <c r="AI377" s="1004"/>
      <c r="AJ377" s="1004"/>
      <c r="AK377" s="1004"/>
      <c r="AL377" s="1172"/>
      <c r="AN377" s="979"/>
      <c r="BS377" s="126"/>
      <c r="BT377" s="126"/>
      <c r="BU377" s="51"/>
      <c r="BV377" s="51"/>
      <c r="BW377" s="51"/>
      <c r="BX377" s="51"/>
      <c r="BY377" s="51"/>
      <c r="BZ377" s="51"/>
      <c r="CA377" s="51"/>
      <c r="CB377" s="51"/>
      <c r="CC377" s="51"/>
    </row>
    <row r="378" spans="1:81" s="922" customFormat="1" ht="12.75" customHeight="1">
      <c r="A378" s="970"/>
      <c r="B378" s="112"/>
      <c r="C378" s="2688" t="s">
        <v>554</v>
      </c>
      <c r="D378" s="2689"/>
      <c r="E378" s="1125"/>
      <c r="F378" s="1160" t="s">
        <v>1639</v>
      </c>
      <c r="G378" s="1161"/>
      <c r="H378" s="1161"/>
      <c r="I378" s="1161"/>
      <c r="J378" s="1161"/>
      <c r="K378" s="1161"/>
      <c r="L378" s="1161"/>
      <c r="M378" s="1161"/>
      <c r="N378" s="1161"/>
      <c r="O378" s="1161"/>
      <c r="P378" s="1161"/>
      <c r="Q378" s="1161"/>
      <c r="R378" s="1161"/>
      <c r="S378" s="1161"/>
      <c r="T378" s="1161"/>
      <c r="U378" s="1161"/>
      <c r="V378" s="1161"/>
      <c r="W378" s="1161"/>
      <c r="X378" s="1161"/>
      <c r="Y378" s="1161"/>
      <c r="Z378" s="1161"/>
      <c r="AA378" s="1161"/>
      <c r="AB378" s="1161"/>
      <c r="AC378" s="1161"/>
      <c r="AD378" s="1161"/>
      <c r="AE378" s="1004"/>
      <c r="AF378" s="2690" t="s">
        <v>1637</v>
      </c>
      <c r="AG378" s="2690"/>
      <c r="AH378" s="2690"/>
      <c r="AI378" s="2690"/>
      <c r="AJ378" s="2690"/>
      <c r="AK378" s="2690"/>
      <c r="AL378" s="2691"/>
      <c r="AM378" s="1169"/>
      <c r="AN378" s="979"/>
      <c r="BS378" s="126"/>
      <c r="BT378" s="126"/>
      <c r="BU378" s="51"/>
      <c r="BV378" s="51"/>
      <c r="BW378" s="51"/>
      <c r="BX378" s="51"/>
      <c r="BY378" s="51"/>
      <c r="BZ378" s="51"/>
      <c r="CA378" s="51"/>
      <c r="CB378" s="51"/>
      <c r="CC378" s="51"/>
    </row>
    <row r="379" spans="1:81" s="922" customFormat="1" ht="12.75" customHeight="1">
      <c r="A379" s="970"/>
      <c r="B379" s="112"/>
      <c r="C379" s="1181"/>
      <c r="D379" s="1173"/>
      <c r="E379" s="1174"/>
      <c r="F379" s="1175"/>
      <c r="G379" s="1176"/>
      <c r="H379" s="1176"/>
      <c r="I379" s="1176"/>
      <c r="J379" s="1176"/>
      <c r="K379" s="1176"/>
      <c r="L379" s="1176"/>
      <c r="M379" s="1176"/>
      <c r="N379" s="1176"/>
      <c r="O379" s="1176"/>
      <c r="P379" s="1176"/>
      <c r="Q379" s="1176"/>
      <c r="R379" s="1176"/>
      <c r="S379" s="1176"/>
      <c r="T379" s="1176"/>
      <c r="U379" s="1176"/>
      <c r="V379" s="1176"/>
      <c r="W379" s="1176"/>
      <c r="X379" s="1176"/>
      <c r="Y379" s="1176"/>
      <c r="Z379" s="1176"/>
      <c r="AA379" s="1176"/>
      <c r="AB379" s="1176"/>
      <c r="AC379" s="1176"/>
      <c r="AD379" s="1176"/>
      <c r="AE379" s="1177"/>
      <c r="AF379" s="956"/>
      <c r="AG379" s="1177"/>
      <c r="AH379" s="1167"/>
      <c r="AI379" s="1167"/>
      <c r="AJ379" s="1167"/>
      <c r="AK379" s="1167"/>
      <c r="AL379" s="1183"/>
      <c r="AM379" s="1169"/>
      <c r="AN379" s="979"/>
      <c r="BS379" s="126"/>
      <c r="BT379" s="126"/>
      <c r="BU379" s="51"/>
      <c r="BV379" s="51"/>
      <c r="BW379" s="51"/>
      <c r="BX379" s="51"/>
      <c r="BY379" s="51"/>
      <c r="BZ379" s="51"/>
      <c r="CA379" s="51"/>
      <c r="CB379" s="51"/>
      <c r="CC379" s="51"/>
    </row>
    <row r="380" spans="1:81" s="922" customFormat="1" ht="12.75" customHeight="1">
      <c r="A380" s="970"/>
      <c r="B380" s="51"/>
      <c r="C380" s="51"/>
      <c r="D380" s="51"/>
      <c r="E380" s="1125"/>
      <c r="F380" s="1102"/>
      <c r="G380" s="1102"/>
      <c r="H380" s="1102"/>
      <c r="I380" s="1102"/>
      <c r="J380" s="1102"/>
      <c r="K380" s="1102"/>
      <c r="L380" s="1102"/>
      <c r="M380" s="1102"/>
      <c r="N380" s="1102"/>
      <c r="O380" s="1102"/>
      <c r="P380" s="1102"/>
      <c r="Q380" s="1102"/>
      <c r="R380" s="1102"/>
      <c r="S380" s="1102"/>
      <c r="T380" s="1102"/>
      <c r="U380" s="1102"/>
      <c r="V380" s="1102"/>
      <c r="W380" s="1102"/>
      <c r="X380" s="1102"/>
      <c r="Y380" s="1102"/>
      <c r="Z380" s="1102"/>
      <c r="AA380" s="1102"/>
      <c r="AB380" s="1102"/>
      <c r="AC380" s="1102"/>
      <c r="AD380" s="1102"/>
      <c r="AE380" s="906"/>
      <c r="AF380" s="911"/>
      <c r="AG380" s="906"/>
      <c r="AM380" s="1113"/>
      <c r="AN380" s="979"/>
      <c r="BS380" s="126"/>
      <c r="BT380" s="126"/>
      <c r="BU380" s="51"/>
      <c r="BV380" s="51"/>
      <c r="BW380" s="51"/>
      <c r="BX380" s="51"/>
      <c r="BY380" s="51"/>
      <c r="BZ380" s="51"/>
      <c r="CA380" s="51"/>
      <c r="CB380" s="51"/>
      <c r="CC380" s="51"/>
    </row>
    <row r="381" spans="1:81" s="922" customFormat="1" ht="12.75" customHeight="1">
      <c r="A381" s="970"/>
      <c r="B381" s="51"/>
      <c r="C381" s="1151"/>
      <c r="D381" s="1152"/>
      <c r="E381" s="1153" t="s">
        <v>1491</v>
      </c>
      <c r="F381" s="2678" t="s">
        <v>1640</v>
      </c>
      <c r="G381" s="2678"/>
      <c r="H381" s="2678"/>
      <c r="I381" s="2678"/>
      <c r="J381" s="2678"/>
      <c r="K381" s="2678"/>
      <c r="L381" s="2678"/>
      <c r="M381" s="2678"/>
      <c r="N381" s="2678"/>
      <c r="O381" s="2678"/>
      <c r="P381" s="2678"/>
      <c r="Q381" s="2678"/>
      <c r="R381" s="2678"/>
      <c r="S381" s="2678"/>
      <c r="T381" s="2678"/>
      <c r="U381" s="2678"/>
      <c r="V381" s="2678"/>
      <c r="W381" s="2678"/>
      <c r="X381" s="2678"/>
      <c r="Y381" s="2678"/>
      <c r="Z381" s="2678"/>
      <c r="AA381" s="2678"/>
      <c r="AB381" s="2678"/>
      <c r="AC381" s="2678"/>
      <c r="AD381" s="2678"/>
      <c r="AE381" s="2678"/>
      <c r="AF381" s="2678"/>
      <c r="AG381" s="1154"/>
      <c r="AH381" s="1154"/>
      <c r="AI381" s="1154"/>
      <c r="AJ381" s="1154"/>
      <c r="AK381" s="1154"/>
      <c r="AL381" s="1155"/>
      <c r="AM381" s="1113"/>
      <c r="AN381" s="979"/>
      <c r="BS381" s="1113"/>
      <c r="BT381" s="1113"/>
      <c r="BU381" s="1113"/>
      <c r="BV381" s="1113"/>
      <c r="BW381" s="1113"/>
      <c r="BX381" s="1113"/>
      <c r="BY381" s="1113"/>
      <c r="BZ381" s="1113"/>
      <c r="CA381" s="1113"/>
      <c r="CB381" s="1113"/>
      <c r="CC381" s="1113"/>
    </row>
    <row r="382" spans="1:81" s="922" customFormat="1" ht="12.75" customHeight="1">
      <c r="A382" s="970"/>
      <c r="B382" s="51"/>
      <c r="C382" s="1171"/>
      <c r="D382" s="112"/>
      <c r="E382" s="1125"/>
      <c r="F382" s="2679"/>
      <c r="G382" s="2679"/>
      <c r="H382" s="2679"/>
      <c r="I382" s="2679"/>
      <c r="J382" s="2679"/>
      <c r="K382" s="2679"/>
      <c r="L382" s="2679"/>
      <c r="M382" s="2679"/>
      <c r="N382" s="2679"/>
      <c r="O382" s="2679"/>
      <c r="P382" s="2679"/>
      <c r="Q382" s="2679"/>
      <c r="R382" s="2679"/>
      <c r="S382" s="2679"/>
      <c r="T382" s="2679"/>
      <c r="U382" s="2679"/>
      <c r="V382" s="2679"/>
      <c r="W382" s="2679"/>
      <c r="X382" s="2679"/>
      <c r="Y382" s="2679"/>
      <c r="Z382" s="2679"/>
      <c r="AA382" s="2679"/>
      <c r="AB382" s="2679"/>
      <c r="AC382" s="2679"/>
      <c r="AD382" s="2679"/>
      <c r="AE382" s="2679"/>
      <c r="AF382" s="2679"/>
      <c r="AG382" s="1158"/>
      <c r="AH382" s="1158"/>
      <c r="AI382" s="1158"/>
      <c r="AJ382" s="1158"/>
      <c r="AK382" s="1158"/>
      <c r="AL382" s="1159"/>
      <c r="AM382" s="1113"/>
      <c r="AN382" s="979"/>
      <c r="BS382" s="1113"/>
      <c r="BT382" s="1113"/>
      <c r="BU382" s="1113"/>
      <c r="BV382" s="1113"/>
      <c r="BW382" s="1113"/>
      <c r="BX382" s="1113"/>
      <c r="BY382" s="1113"/>
      <c r="BZ382" s="1113"/>
      <c r="CA382" s="1113"/>
      <c r="CB382" s="1113"/>
      <c r="CC382" s="1113"/>
    </row>
    <row r="383" spans="1:81" s="922" customFormat="1" ht="12.75" customHeight="1">
      <c r="A383" s="970"/>
      <c r="B383" s="51"/>
      <c r="C383" s="1171"/>
      <c r="D383" s="112"/>
      <c r="E383" s="1125"/>
      <c r="F383" s="2679"/>
      <c r="G383" s="2679"/>
      <c r="H383" s="2679"/>
      <c r="I383" s="2679"/>
      <c r="J383" s="2679"/>
      <c r="K383" s="2679"/>
      <c r="L383" s="2679"/>
      <c r="M383" s="2679"/>
      <c r="N383" s="2679"/>
      <c r="O383" s="2679"/>
      <c r="P383" s="2679"/>
      <c r="Q383" s="2679"/>
      <c r="R383" s="2679"/>
      <c r="S383" s="2679"/>
      <c r="T383" s="2679"/>
      <c r="U383" s="2679"/>
      <c r="V383" s="2679"/>
      <c r="W383" s="2679"/>
      <c r="X383" s="2679"/>
      <c r="Y383" s="2679"/>
      <c r="Z383" s="2679"/>
      <c r="AA383" s="2679"/>
      <c r="AB383" s="2679"/>
      <c r="AC383" s="2679"/>
      <c r="AD383" s="2679"/>
      <c r="AE383" s="2679"/>
      <c r="AF383" s="2679"/>
      <c r="AG383" s="1158"/>
      <c r="AH383" s="1158"/>
      <c r="AI383" s="1158"/>
      <c r="AJ383" s="1158"/>
      <c r="AK383" s="1158"/>
      <c r="AL383" s="1159"/>
      <c r="AM383" s="1113"/>
      <c r="AN383" s="979"/>
      <c r="BS383" s="1113"/>
      <c r="BT383" s="1113"/>
      <c r="BU383" s="1113"/>
      <c r="BV383" s="1113"/>
      <c r="BW383" s="1113"/>
      <c r="BX383" s="1113"/>
      <c r="BY383" s="1113"/>
      <c r="BZ383" s="1113"/>
      <c r="CA383" s="1113"/>
      <c r="CB383" s="1113"/>
      <c r="CC383" s="1113"/>
    </row>
    <row r="384" spans="1:81" s="922" customFormat="1" ht="12.75" customHeight="1">
      <c r="A384" s="906"/>
      <c r="B384" s="51"/>
      <c r="C384" s="1171"/>
      <c r="D384" s="112"/>
      <c r="E384" s="1125"/>
      <c r="F384" s="2679"/>
      <c r="G384" s="2679"/>
      <c r="H384" s="2679"/>
      <c r="I384" s="2679"/>
      <c r="J384" s="2679"/>
      <c r="K384" s="2679"/>
      <c r="L384" s="2679"/>
      <c r="M384" s="2679"/>
      <c r="N384" s="2679"/>
      <c r="O384" s="2679"/>
      <c r="P384" s="2679"/>
      <c r="Q384" s="2679"/>
      <c r="R384" s="2679"/>
      <c r="S384" s="2679"/>
      <c r="T384" s="2679"/>
      <c r="U384" s="2679"/>
      <c r="V384" s="2679"/>
      <c r="W384" s="2679"/>
      <c r="X384" s="2679"/>
      <c r="Y384" s="2679"/>
      <c r="Z384" s="2679"/>
      <c r="AA384" s="2679"/>
      <c r="AB384" s="2679"/>
      <c r="AC384" s="2679"/>
      <c r="AD384" s="2679"/>
      <c r="AE384" s="2679"/>
      <c r="AF384" s="2679"/>
      <c r="AG384" s="1158"/>
      <c r="AH384" s="1158"/>
      <c r="AI384" s="1158"/>
      <c r="AJ384" s="1158"/>
      <c r="AK384" s="1158"/>
      <c r="AL384" s="1159"/>
      <c r="AM384" s="1113"/>
      <c r="AN384" s="979"/>
      <c r="BS384" s="1113"/>
      <c r="BT384" s="1113"/>
      <c r="BU384" s="1113"/>
      <c r="BV384" s="1113"/>
      <c r="BW384" s="1113"/>
      <c r="BX384" s="1113"/>
      <c r="BY384" s="1113"/>
      <c r="BZ384" s="1113"/>
      <c r="CA384" s="1113"/>
      <c r="CB384" s="1113"/>
      <c r="CC384" s="1113"/>
    </row>
    <row r="385" spans="1:81" s="922" customFormat="1" ht="12.75" customHeight="1">
      <c r="A385" s="906"/>
      <c r="B385" s="51"/>
      <c r="C385" s="1171"/>
      <c r="D385" s="112"/>
      <c r="E385" s="1125"/>
      <c r="F385" s="2679"/>
      <c r="G385" s="2679"/>
      <c r="H385" s="2679"/>
      <c r="I385" s="2679"/>
      <c r="J385" s="2679"/>
      <c r="K385" s="2679"/>
      <c r="L385" s="2679"/>
      <c r="M385" s="2679"/>
      <c r="N385" s="2679"/>
      <c r="O385" s="2679"/>
      <c r="P385" s="2679"/>
      <c r="Q385" s="2679"/>
      <c r="R385" s="2679"/>
      <c r="S385" s="2679"/>
      <c r="T385" s="2679"/>
      <c r="U385" s="2679"/>
      <c r="V385" s="2679"/>
      <c r="W385" s="2679"/>
      <c r="X385" s="2679"/>
      <c r="Y385" s="2679"/>
      <c r="Z385" s="2679"/>
      <c r="AA385" s="2679"/>
      <c r="AB385" s="2679"/>
      <c r="AC385" s="2679"/>
      <c r="AD385" s="2679"/>
      <c r="AE385" s="2679"/>
      <c r="AF385" s="2679"/>
      <c r="AG385" s="1158"/>
      <c r="AH385" s="1158"/>
      <c r="AI385" s="1158"/>
      <c r="AJ385" s="1158"/>
      <c r="AK385" s="1158"/>
      <c r="AL385" s="1159"/>
      <c r="AM385" s="1113"/>
      <c r="AN385" s="979"/>
      <c r="BS385" s="1113"/>
      <c r="BT385" s="1113"/>
      <c r="BU385" s="1113"/>
      <c r="BV385" s="1113"/>
      <c r="BW385" s="1113"/>
      <c r="BX385" s="1113"/>
      <c r="BY385" s="1113"/>
      <c r="BZ385" s="1113"/>
      <c r="CA385" s="1113"/>
      <c r="CB385" s="1113"/>
      <c r="CC385" s="1113"/>
    </row>
    <row r="386" spans="1:81" s="922" customFormat="1" ht="12.75" customHeight="1">
      <c r="A386" s="906"/>
      <c r="B386" s="51"/>
      <c r="C386" s="2688" t="s">
        <v>554</v>
      </c>
      <c r="D386" s="2689"/>
      <c r="E386" s="1125"/>
      <c r="F386" s="1160" t="s">
        <v>1641</v>
      </c>
      <c r="G386" s="1161"/>
      <c r="H386" s="1161"/>
      <c r="I386" s="1161"/>
      <c r="J386" s="1161"/>
      <c r="K386" s="1161"/>
      <c r="L386" s="1161"/>
      <c r="M386" s="1161"/>
      <c r="N386" s="1161"/>
      <c r="O386" s="1161"/>
      <c r="P386" s="1161"/>
      <c r="Q386" s="1161"/>
      <c r="R386" s="1161"/>
      <c r="S386" s="1161"/>
      <c r="T386" s="1161"/>
      <c r="U386" s="1161"/>
      <c r="V386" s="1161"/>
      <c r="W386" s="1161"/>
      <c r="X386" s="1161"/>
      <c r="Y386" s="1161"/>
      <c r="Z386" s="1161"/>
      <c r="AA386" s="1161"/>
      <c r="AB386" s="1161"/>
      <c r="AC386" s="1161"/>
      <c r="AD386" s="1161"/>
      <c r="AE386" s="1004"/>
      <c r="AF386" s="2690" t="s">
        <v>1642</v>
      </c>
      <c r="AG386" s="2690"/>
      <c r="AH386" s="2690"/>
      <c r="AI386" s="2690"/>
      <c r="AJ386" s="2690"/>
      <c r="AK386" s="2690"/>
      <c r="AL386" s="2691"/>
      <c r="AM386" s="1162"/>
      <c r="BS386" s="1113"/>
      <c r="BT386" s="1113"/>
      <c r="BU386" s="1113"/>
      <c r="BV386" s="1113"/>
      <c r="BW386" s="1113"/>
      <c r="BX386" s="1113"/>
      <c r="BY386" s="1113"/>
      <c r="BZ386" s="1113"/>
      <c r="CA386" s="1113"/>
      <c r="CB386" s="1113"/>
      <c r="CC386" s="1113"/>
    </row>
    <row r="387" spans="1:81" s="922" customFormat="1" ht="12.75" customHeight="1">
      <c r="A387" s="906"/>
      <c r="B387" s="51"/>
      <c r="C387" s="1171"/>
      <c r="D387" s="112"/>
      <c r="E387" s="1125"/>
      <c r="F387" s="1178"/>
      <c r="G387" s="1178"/>
      <c r="H387" s="1178"/>
      <c r="I387" s="1178"/>
      <c r="J387" s="1178"/>
      <c r="K387" s="1178"/>
      <c r="L387" s="1178"/>
      <c r="M387" s="1178"/>
      <c r="N387" s="1178"/>
      <c r="O387" s="1178"/>
      <c r="P387" s="1178"/>
      <c r="Q387" s="1178"/>
      <c r="R387" s="1178"/>
      <c r="S387" s="1178"/>
      <c r="T387" s="1178"/>
      <c r="U387" s="1178"/>
      <c r="V387" s="1178"/>
      <c r="W387" s="1178"/>
      <c r="X387" s="1178"/>
      <c r="Y387" s="1178"/>
      <c r="Z387" s="1178"/>
      <c r="AA387" s="1178"/>
      <c r="AB387" s="1178"/>
      <c r="AC387" s="1178"/>
      <c r="AD387" s="1178"/>
      <c r="AE387" s="1004"/>
      <c r="AF387" s="1004"/>
      <c r="AG387" s="1004"/>
      <c r="AH387" s="1004"/>
      <c r="AI387" s="1004"/>
      <c r="AJ387" s="1004"/>
      <c r="AK387" s="1004"/>
      <c r="AL387" s="1172"/>
      <c r="AM387" s="1113"/>
      <c r="AN387" s="979"/>
      <c r="BS387" s="1113"/>
      <c r="BT387" s="1113"/>
      <c r="BU387" s="1113"/>
      <c r="BV387" s="1113"/>
      <c r="BW387" s="1113"/>
      <c r="BX387" s="1113"/>
      <c r="BY387" s="1113"/>
      <c r="BZ387" s="1113"/>
      <c r="CA387" s="1113"/>
      <c r="CB387" s="1113"/>
      <c r="CC387" s="1113"/>
    </row>
    <row r="388" spans="1:81" s="922" customFormat="1" ht="12.75" customHeight="1">
      <c r="A388" s="906"/>
      <c r="B388" s="51"/>
      <c r="C388" s="2688" t="s">
        <v>600</v>
      </c>
      <c r="D388" s="2689"/>
      <c r="E388" s="1125"/>
      <c r="F388" s="1179" t="s">
        <v>1643</v>
      </c>
      <c r="G388" s="1178"/>
      <c r="H388" s="1178"/>
      <c r="I388" s="1178"/>
      <c r="J388" s="1178"/>
      <c r="K388" s="1178"/>
      <c r="L388" s="1178"/>
      <c r="M388" s="1178"/>
      <c r="N388" s="1178"/>
      <c r="O388" s="1178"/>
      <c r="P388" s="1178"/>
      <c r="Q388" s="1178"/>
      <c r="R388" s="1178"/>
      <c r="S388" s="1178"/>
      <c r="T388" s="1178"/>
      <c r="U388" s="1178"/>
      <c r="V388" s="1178"/>
      <c r="W388" s="1178"/>
      <c r="X388" s="1178"/>
      <c r="Y388" s="1178"/>
      <c r="Z388" s="1178"/>
      <c r="AA388" s="1178"/>
      <c r="AB388" s="1178"/>
      <c r="AC388" s="1178"/>
      <c r="AD388" s="1178"/>
      <c r="AE388" s="1004"/>
      <c r="AF388" s="2690" t="s">
        <v>1637</v>
      </c>
      <c r="AG388" s="2690"/>
      <c r="AH388" s="2690"/>
      <c r="AI388" s="2690"/>
      <c r="AJ388" s="2690"/>
      <c r="AK388" s="2690"/>
      <c r="AL388" s="2691"/>
      <c r="AM388" s="1113"/>
      <c r="AN388" s="979"/>
      <c r="BS388" s="1113"/>
      <c r="BT388" s="1113"/>
      <c r="BU388" s="1113"/>
    </row>
    <row r="389" spans="1:81" s="922" customFormat="1" ht="12.75" customHeight="1">
      <c r="A389" s="906"/>
      <c r="B389" s="51"/>
      <c r="C389" s="1180"/>
      <c r="D389" s="1004"/>
      <c r="E389" s="1125"/>
      <c r="F389" s="1004"/>
      <c r="G389" s="1178"/>
      <c r="H389" s="1178"/>
      <c r="I389" s="1178"/>
      <c r="J389" s="1178"/>
      <c r="K389" s="1178"/>
      <c r="L389" s="1178"/>
      <c r="M389" s="1178"/>
      <c r="N389" s="1178"/>
      <c r="O389" s="1178"/>
      <c r="P389" s="1178"/>
      <c r="Q389" s="1178"/>
      <c r="R389" s="1178"/>
      <c r="S389" s="1178"/>
      <c r="T389" s="1178"/>
      <c r="U389" s="1178"/>
      <c r="V389" s="1178"/>
      <c r="W389" s="1178"/>
      <c r="X389" s="1178"/>
      <c r="Y389" s="1178"/>
      <c r="Z389" s="1178"/>
      <c r="AA389" s="1178"/>
      <c r="AB389" s="1178"/>
      <c r="AC389" s="1178"/>
      <c r="AD389" s="1178"/>
      <c r="AE389" s="1004"/>
      <c r="AF389" s="1004"/>
      <c r="AG389" s="1004"/>
      <c r="AH389" s="1004"/>
      <c r="AI389" s="1004"/>
      <c r="AJ389" s="1004"/>
      <c r="AK389" s="1004"/>
      <c r="AL389" s="1172"/>
      <c r="AM389" s="1113"/>
      <c r="AN389" s="979"/>
      <c r="BS389" s="1113"/>
      <c r="BT389" s="1113"/>
      <c r="BU389" s="1113"/>
    </row>
    <row r="390" spans="1:81" s="922" customFormat="1" ht="12.75" customHeight="1">
      <c r="A390" s="906"/>
      <c r="B390" s="51"/>
      <c r="C390" s="1181"/>
      <c r="D390" s="1173"/>
      <c r="E390" s="1174"/>
      <c r="F390" s="1182" t="s">
        <v>1644</v>
      </c>
      <c r="G390" s="1175"/>
      <c r="H390" s="1175"/>
      <c r="I390" s="1175"/>
      <c r="J390" s="1175"/>
      <c r="K390" s="1175"/>
      <c r="L390" s="1175"/>
      <c r="M390" s="1175"/>
      <c r="N390" s="1175"/>
      <c r="O390" s="1175"/>
      <c r="P390" s="1175"/>
      <c r="Q390" s="1175"/>
      <c r="R390" s="1175"/>
      <c r="S390" s="1175"/>
      <c r="T390" s="1175"/>
      <c r="U390" s="1175"/>
      <c r="V390" s="1175"/>
      <c r="W390" s="1175"/>
      <c r="X390" s="1175"/>
      <c r="Y390" s="1175"/>
      <c r="Z390" s="1175"/>
      <c r="AA390" s="1175"/>
      <c r="AB390" s="1175"/>
      <c r="AC390" s="1175"/>
      <c r="AD390" s="1175"/>
      <c r="AE390" s="1177"/>
      <c r="AF390" s="956"/>
      <c r="AG390" s="1177"/>
      <c r="AH390" s="1167"/>
      <c r="AI390" s="1167"/>
      <c r="AJ390" s="1167"/>
      <c r="AK390" s="1167"/>
      <c r="AL390" s="1183"/>
      <c r="AM390" s="1113"/>
      <c r="AN390" s="979"/>
      <c r="BS390" s="1113"/>
      <c r="BT390" s="1113"/>
      <c r="BU390" s="1113"/>
    </row>
    <row r="391" spans="1:81" s="922" customFormat="1" ht="12.75" customHeight="1">
      <c r="A391" s="906"/>
      <c r="B391" s="51"/>
      <c r="C391" s="51"/>
      <c r="D391" s="51"/>
      <c r="E391" s="1125"/>
      <c r="F391" s="1102"/>
      <c r="G391" s="1102"/>
      <c r="H391" s="1102"/>
      <c r="I391" s="1102"/>
      <c r="J391" s="1102"/>
      <c r="K391" s="1102"/>
      <c r="L391" s="1102"/>
      <c r="M391" s="1102"/>
      <c r="N391" s="1102"/>
      <c r="O391" s="1102"/>
      <c r="P391" s="1102"/>
      <c r="Q391" s="1102"/>
      <c r="R391" s="1102"/>
      <c r="S391" s="1102"/>
      <c r="T391" s="1102"/>
      <c r="U391" s="1102"/>
      <c r="V391" s="1102"/>
      <c r="W391" s="1102"/>
      <c r="X391" s="1102"/>
      <c r="Y391" s="1102"/>
      <c r="Z391" s="1102"/>
      <c r="AA391" s="1102"/>
      <c r="AB391" s="1102"/>
      <c r="AC391" s="1102"/>
      <c r="AD391" s="1102"/>
      <c r="AE391" s="906"/>
      <c r="AF391" s="911"/>
      <c r="AG391" s="906"/>
      <c r="AM391" s="1113"/>
      <c r="AN391" s="979"/>
      <c r="BS391" s="1113"/>
      <c r="BT391" s="1113"/>
      <c r="BU391" s="1113"/>
    </row>
    <row r="392" spans="1:81" s="922" customFormat="1" ht="12.75" customHeight="1">
      <c r="A392" s="906"/>
      <c r="B392" s="51"/>
      <c r="C392" s="1151"/>
      <c r="D392" s="1152"/>
      <c r="E392" s="1153" t="s">
        <v>1645</v>
      </c>
      <c r="F392" s="2678" t="s">
        <v>1646</v>
      </c>
      <c r="G392" s="2678"/>
      <c r="H392" s="2678"/>
      <c r="I392" s="2678"/>
      <c r="J392" s="2678"/>
      <c r="K392" s="2678"/>
      <c r="L392" s="2678"/>
      <c r="M392" s="2678"/>
      <c r="N392" s="2678"/>
      <c r="O392" s="2678"/>
      <c r="P392" s="2678"/>
      <c r="Q392" s="2678"/>
      <c r="R392" s="2678"/>
      <c r="S392" s="2678"/>
      <c r="T392" s="2678"/>
      <c r="U392" s="2678"/>
      <c r="V392" s="2678"/>
      <c r="W392" s="2678"/>
      <c r="X392" s="2678"/>
      <c r="Y392" s="2678"/>
      <c r="Z392" s="2678"/>
      <c r="AA392" s="2678"/>
      <c r="AB392" s="2678"/>
      <c r="AC392" s="2678"/>
      <c r="AD392" s="2678"/>
      <c r="AE392" s="2678"/>
      <c r="AF392" s="2678"/>
      <c r="AG392" s="1154"/>
      <c r="AH392" s="1154"/>
      <c r="AI392" s="1154"/>
      <c r="AJ392" s="1154"/>
      <c r="AK392" s="1154"/>
      <c r="AL392" s="1155"/>
      <c r="AM392" s="1113"/>
      <c r="AN392" s="979"/>
      <c r="BS392" s="1113"/>
      <c r="BT392" s="1113"/>
      <c r="BU392" s="1113"/>
      <c r="BV392" s="1113"/>
      <c r="BW392" s="1113"/>
      <c r="BX392" s="1113"/>
      <c r="BY392" s="1113"/>
      <c r="BZ392" s="1113"/>
      <c r="CA392" s="1113"/>
      <c r="CB392" s="1113"/>
      <c r="CC392" s="1113"/>
    </row>
    <row r="393" spans="1:81" s="922" customFormat="1" ht="12.75" customHeight="1">
      <c r="A393" s="906"/>
      <c r="B393" s="51"/>
      <c r="C393" s="1171"/>
      <c r="D393" s="112"/>
      <c r="E393" s="1125"/>
      <c r="F393" s="2679"/>
      <c r="G393" s="2679"/>
      <c r="H393" s="2679"/>
      <c r="I393" s="2679"/>
      <c r="J393" s="2679"/>
      <c r="K393" s="2679"/>
      <c r="L393" s="2679"/>
      <c r="M393" s="2679"/>
      <c r="N393" s="2679"/>
      <c r="O393" s="2679"/>
      <c r="P393" s="2679"/>
      <c r="Q393" s="2679"/>
      <c r="R393" s="2679"/>
      <c r="S393" s="2679"/>
      <c r="T393" s="2679"/>
      <c r="U393" s="2679"/>
      <c r="V393" s="2679"/>
      <c r="W393" s="2679"/>
      <c r="X393" s="2679"/>
      <c r="Y393" s="2679"/>
      <c r="Z393" s="2679"/>
      <c r="AA393" s="2679"/>
      <c r="AB393" s="2679"/>
      <c r="AC393" s="2679"/>
      <c r="AD393" s="2679"/>
      <c r="AE393" s="2679"/>
      <c r="AF393" s="2679"/>
      <c r="AG393" s="1158"/>
      <c r="AH393" s="1158"/>
      <c r="AI393" s="1158"/>
      <c r="AJ393" s="1158"/>
      <c r="AK393" s="1158"/>
      <c r="AL393" s="1159"/>
      <c r="AM393" s="1113"/>
      <c r="AN393" s="979"/>
      <c r="BS393" s="1113"/>
      <c r="BT393" s="1113"/>
      <c r="BU393" s="1113"/>
      <c r="BV393" s="1113"/>
      <c r="BW393" s="1113"/>
      <c r="BX393" s="1113"/>
      <c r="BY393" s="1113"/>
      <c r="BZ393" s="1113"/>
      <c r="CA393" s="1113"/>
      <c r="CB393" s="1113"/>
      <c r="CC393" s="1113"/>
    </row>
    <row r="394" spans="1:81">
      <c r="A394" s="906"/>
      <c r="C394" s="1171"/>
      <c r="D394" s="112"/>
      <c r="E394" s="1125"/>
      <c r="F394" s="2679"/>
      <c r="G394" s="2679"/>
      <c r="H394" s="2679"/>
      <c r="I394" s="2679"/>
      <c r="J394" s="2679"/>
      <c r="K394" s="2679"/>
      <c r="L394" s="2679"/>
      <c r="M394" s="2679"/>
      <c r="N394" s="2679"/>
      <c r="O394" s="2679"/>
      <c r="P394" s="2679"/>
      <c r="Q394" s="2679"/>
      <c r="R394" s="2679"/>
      <c r="S394" s="2679"/>
      <c r="T394" s="2679"/>
      <c r="U394" s="2679"/>
      <c r="V394" s="2679"/>
      <c r="W394" s="2679"/>
      <c r="X394" s="2679"/>
      <c r="Y394" s="2679"/>
      <c r="Z394" s="2679"/>
      <c r="AA394" s="2679"/>
      <c r="AB394" s="2679"/>
      <c r="AC394" s="2679"/>
      <c r="AD394" s="2679"/>
      <c r="AE394" s="2679"/>
      <c r="AF394" s="2679"/>
      <c r="AG394" s="1158"/>
      <c r="AH394" s="1158"/>
      <c r="AI394" s="1158"/>
      <c r="AJ394" s="1158"/>
      <c r="AK394" s="1158"/>
      <c r="AL394" s="1159"/>
      <c r="AM394" s="1113"/>
      <c r="BS394" s="1113"/>
      <c r="BT394" s="1113"/>
      <c r="BU394" s="1113"/>
      <c r="BV394" s="1113"/>
      <c r="BW394" s="1113"/>
      <c r="BX394" s="1113"/>
      <c r="BY394" s="1113"/>
      <c r="BZ394" s="1113"/>
      <c r="CA394" s="1113"/>
      <c r="CB394" s="1113"/>
      <c r="CC394" s="1113"/>
    </row>
    <row r="395" spans="1:81" s="922" customFormat="1" ht="12.75" customHeight="1">
      <c r="A395" s="906"/>
      <c r="B395" s="51"/>
      <c r="C395" s="1171"/>
      <c r="D395" s="112"/>
      <c r="E395" s="1125"/>
      <c r="F395" s="2679"/>
      <c r="G395" s="2679"/>
      <c r="H395" s="2679"/>
      <c r="I395" s="2679"/>
      <c r="J395" s="2679"/>
      <c r="K395" s="2679"/>
      <c r="L395" s="2679"/>
      <c r="M395" s="2679"/>
      <c r="N395" s="2679"/>
      <c r="O395" s="2679"/>
      <c r="P395" s="2679"/>
      <c r="Q395" s="2679"/>
      <c r="R395" s="2679"/>
      <c r="S395" s="2679"/>
      <c r="T395" s="2679"/>
      <c r="U395" s="2679"/>
      <c r="V395" s="2679"/>
      <c r="W395" s="2679"/>
      <c r="X395" s="2679"/>
      <c r="Y395" s="2679"/>
      <c r="Z395" s="2679"/>
      <c r="AA395" s="2679"/>
      <c r="AB395" s="2679"/>
      <c r="AC395" s="2679"/>
      <c r="AD395" s="2679"/>
      <c r="AE395" s="2679"/>
      <c r="AF395" s="2679"/>
      <c r="AG395" s="1158"/>
      <c r="AH395" s="1158"/>
      <c r="AI395" s="1158"/>
      <c r="AJ395" s="1158"/>
      <c r="AK395" s="1158"/>
      <c r="AL395" s="1159"/>
      <c r="AM395" s="1113"/>
      <c r="AN395" s="979"/>
      <c r="BS395" s="1113"/>
      <c r="BT395" s="1113"/>
      <c r="BY395" s="1113"/>
      <c r="BZ395" s="1113"/>
      <c r="CA395" s="1113"/>
      <c r="CB395" s="1113"/>
      <c r="CC395" s="1113"/>
    </row>
    <row r="396" spans="1:81" s="922" customFormat="1" ht="12.75" customHeight="1">
      <c r="A396" s="906"/>
      <c r="B396" s="51"/>
      <c r="C396" s="2688" t="s">
        <v>554</v>
      </c>
      <c r="D396" s="2689"/>
      <c r="E396" s="1125"/>
      <c r="F396" s="1160" t="s">
        <v>1647</v>
      </c>
      <c r="G396" s="1161"/>
      <c r="H396" s="1161"/>
      <c r="I396" s="1161"/>
      <c r="J396" s="1161"/>
      <c r="K396" s="1161"/>
      <c r="L396" s="1161"/>
      <c r="M396" s="1161"/>
      <c r="N396" s="1161"/>
      <c r="O396" s="1161"/>
      <c r="P396" s="1161"/>
      <c r="Q396" s="1161"/>
      <c r="R396" s="1161"/>
      <c r="S396" s="1161"/>
      <c r="T396" s="1161"/>
      <c r="U396" s="1161"/>
      <c r="V396" s="1161"/>
      <c r="W396" s="1161"/>
      <c r="X396" s="1161"/>
      <c r="Y396" s="1161"/>
      <c r="Z396" s="1161"/>
      <c r="AA396" s="1161"/>
      <c r="AB396" s="1161"/>
      <c r="AC396" s="1161"/>
      <c r="AD396" s="1161"/>
      <c r="AE396" s="1004"/>
      <c r="AF396" s="2690" t="s">
        <v>1637</v>
      </c>
      <c r="AG396" s="2690"/>
      <c r="AH396" s="2690"/>
      <c r="AI396" s="2690"/>
      <c r="AJ396" s="2690"/>
      <c r="AK396" s="2690"/>
      <c r="AL396" s="2691"/>
      <c r="AM396" s="1113"/>
      <c r="AN396" s="979"/>
      <c r="BS396" s="1113"/>
      <c r="BT396" s="1113"/>
      <c r="BY396" s="1113"/>
      <c r="BZ396" s="1113"/>
      <c r="CA396" s="1113"/>
      <c r="CB396" s="1113"/>
      <c r="CC396" s="1113"/>
    </row>
    <row r="397" spans="1:81" s="922" customFormat="1" ht="12.75" customHeight="1">
      <c r="A397" s="906"/>
      <c r="B397" s="51"/>
      <c r="C397" s="1171"/>
      <c r="D397" s="112"/>
      <c r="E397" s="1125"/>
      <c r="F397" s="1004"/>
      <c r="G397" s="1161"/>
      <c r="H397" s="1161"/>
      <c r="I397" s="1161"/>
      <c r="J397" s="1161"/>
      <c r="K397" s="1161"/>
      <c r="L397" s="1161"/>
      <c r="M397" s="1161"/>
      <c r="N397" s="1161"/>
      <c r="O397" s="1161"/>
      <c r="P397" s="1161"/>
      <c r="Q397" s="1161"/>
      <c r="R397" s="1161"/>
      <c r="S397" s="1161"/>
      <c r="T397" s="1161"/>
      <c r="U397" s="1161"/>
      <c r="V397" s="1161"/>
      <c r="W397" s="1161"/>
      <c r="X397" s="1161"/>
      <c r="Y397" s="1161"/>
      <c r="Z397" s="1161"/>
      <c r="AA397" s="1161"/>
      <c r="AB397" s="1161"/>
      <c r="AC397" s="1161"/>
      <c r="AD397" s="1161"/>
      <c r="AE397" s="1004"/>
      <c r="AF397" s="1004"/>
      <c r="AG397" s="1004"/>
      <c r="AH397" s="1004"/>
      <c r="AI397" s="1004"/>
      <c r="AJ397" s="1004"/>
      <c r="AK397" s="1004"/>
      <c r="AL397" s="1172"/>
      <c r="AM397" s="1113"/>
      <c r="AN397" s="979"/>
      <c r="BS397" s="1113"/>
      <c r="BT397" s="1113"/>
      <c r="BY397" s="1113"/>
      <c r="BZ397" s="1113"/>
      <c r="CA397" s="1113"/>
      <c r="CB397" s="1113"/>
      <c r="CC397" s="1113"/>
    </row>
    <row r="398" spans="1:81" s="922" customFormat="1" ht="12.75" customHeight="1">
      <c r="A398" s="906"/>
      <c r="B398" s="51"/>
      <c r="C398" s="2688" t="s">
        <v>600</v>
      </c>
      <c r="D398" s="2689"/>
      <c r="E398" s="1157"/>
      <c r="F398" s="1160" t="s">
        <v>1648</v>
      </c>
      <c r="G398" s="1161"/>
      <c r="H398" s="1161"/>
      <c r="I398" s="1161"/>
      <c r="J398" s="1161"/>
      <c r="K398" s="1161"/>
      <c r="L398" s="1161"/>
      <c r="M398" s="1161"/>
      <c r="N398" s="1161"/>
      <c r="O398" s="1161"/>
      <c r="P398" s="1161"/>
      <c r="Q398" s="1161"/>
      <c r="R398" s="1161"/>
      <c r="S398" s="1161"/>
      <c r="T398" s="1161"/>
      <c r="U398" s="1161"/>
      <c r="V398" s="1161"/>
      <c r="W398" s="1161"/>
      <c r="X398" s="1161"/>
      <c r="Y398" s="1161"/>
      <c r="Z398" s="1161"/>
      <c r="AA398" s="1161"/>
      <c r="AB398" s="1161"/>
      <c r="AC398" s="1161"/>
      <c r="AD398" s="1161"/>
      <c r="AE398" s="1004"/>
      <c r="AF398" s="2690" t="s">
        <v>1649</v>
      </c>
      <c r="AG398" s="2690"/>
      <c r="AH398" s="2690"/>
      <c r="AI398" s="2690"/>
      <c r="AJ398" s="2690"/>
      <c r="AK398" s="2690"/>
      <c r="AL398" s="2691"/>
      <c r="AM398" s="1113"/>
      <c r="AN398" s="979"/>
      <c r="AO398" s="1004"/>
      <c r="AP398" s="1004"/>
      <c r="BS398" s="1113"/>
      <c r="BT398" s="1113"/>
      <c r="BY398" s="1113"/>
      <c r="BZ398" s="1113"/>
      <c r="CA398" s="1113"/>
      <c r="CB398" s="1113"/>
      <c r="CC398" s="1113"/>
    </row>
    <row r="399" spans="1:81" s="922" customFormat="1" ht="12.75" customHeight="1">
      <c r="A399" s="906"/>
      <c r="B399" s="51"/>
      <c r="C399" s="1184"/>
      <c r="D399" s="1167"/>
      <c r="E399" s="1164"/>
      <c r="F399" s="1167"/>
      <c r="G399" s="1166"/>
      <c r="H399" s="1166"/>
      <c r="I399" s="1166"/>
      <c r="J399" s="1166"/>
      <c r="K399" s="1166"/>
      <c r="L399" s="1166"/>
      <c r="M399" s="1166"/>
      <c r="N399" s="1166"/>
      <c r="O399" s="1166"/>
      <c r="P399" s="1166"/>
      <c r="Q399" s="1166"/>
      <c r="R399" s="1166"/>
      <c r="S399" s="1166"/>
      <c r="T399" s="1166"/>
      <c r="U399" s="1166"/>
      <c r="V399" s="1166"/>
      <c r="W399" s="1166"/>
      <c r="X399" s="1166"/>
      <c r="Y399" s="1166"/>
      <c r="Z399" s="1166"/>
      <c r="AA399" s="1166"/>
      <c r="AB399" s="1166"/>
      <c r="AC399" s="1166"/>
      <c r="AD399" s="1166"/>
      <c r="AE399" s="1167"/>
      <c r="AF399" s="1167"/>
      <c r="AG399" s="1167"/>
      <c r="AH399" s="1167"/>
      <c r="AI399" s="1167"/>
      <c r="AJ399" s="1167"/>
      <c r="AK399" s="1167"/>
      <c r="AL399" s="1183"/>
      <c r="AM399" s="1113"/>
      <c r="AN399" s="979"/>
      <c r="BS399" s="1113"/>
      <c r="BT399" s="1113"/>
      <c r="BY399" s="1113"/>
      <c r="BZ399" s="1113"/>
      <c r="CA399" s="1113"/>
      <c r="CB399" s="1113"/>
      <c r="CC399" s="1113"/>
    </row>
    <row r="400" spans="1:81" s="922" customFormat="1" ht="12.75" customHeight="1">
      <c r="A400" s="906"/>
      <c r="B400" s="51"/>
      <c r="C400" s="51"/>
      <c r="D400" s="51"/>
      <c r="E400" s="1125"/>
      <c r="G400" s="1185"/>
      <c r="H400" s="1185"/>
      <c r="I400" s="1185"/>
      <c r="J400" s="1185"/>
      <c r="K400" s="1185"/>
      <c r="L400" s="1185"/>
      <c r="M400" s="1185"/>
      <c r="N400" s="1185"/>
      <c r="O400" s="1185"/>
      <c r="P400" s="1185"/>
      <c r="Q400" s="1185"/>
      <c r="R400" s="1185"/>
      <c r="S400" s="1185"/>
      <c r="T400" s="1185"/>
      <c r="U400" s="1185"/>
      <c r="V400" s="1185"/>
      <c r="W400" s="1185"/>
      <c r="X400" s="1185"/>
      <c r="Y400" s="1185"/>
      <c r="Z400" s="1185"/>
      <c r="AA400" s="1185"/>
      <c r="AB400" s="1185"/>
      <c r="AC400" s="1185"/>
      <c r="AD400" s="1185"/>
      <c r="AE400" s="906"/>
      <c r="AF400" s="911"/>
      <c r="AG400" s="906"/>
      <c r="AM400" s="1113"/>
      <c r="AN400" s="979"/>
      <c r="BS400" s="1113"/>
      <c r="BT400" s="1113"/>
      <c r="BY400" s="1113"/>
      <c r="BZ400" s="1113"/>
      <c r="CA400" s="1113"/>
      <c r="CB400" s="1113"/>
      <c r="CC400" s="1113"/>
    </row>
    <row r="401" spans="1:81" s="922" customFormat="1" ht="12.75" customHeight="1">
      <c r="A401" s="906"/>
      <c r="B401" s="51"/>
      <c r="C401" s="2688" t="s">
        <v>600</v>
      </c>
      <c r="D401" s="2689"/>
      <c r="E401" s="1153" t="s">
        <v>1650</v>
      </c>
      <c r="F401" s="2678" t="s">
        <v>1651</v>
      </c>
      <c r="G401" s="2678"/>
      <c r="H401" s="2678"/>
      <c r="I401" s="2678"/>
      <c r="J401" s="2678"/>
      <c r="K401" s="2678"/>
      <c r="L401" s="2678"/>
      <c r="M401" s="2678"/>
      <c r="N401" s="2678"/>
      <c r="O401" s="2678"/>
      <c r="P401" s="2678"/>
      <c r="Q401" s="2678"/>
      <c r="R401" s="2678"/>
      <c r="S401" s="2678"/>
      <c r="T401" s="2678"/>
      <c r="U401" s="2678"/>
      <c r="V401" s="2678"/>
      <c r="W401" s="2678"/>
      <c r="X401" s="2678"/>
      <c r="Y401" s="2678"/>
      <c r="Z401" s="2678"/>
      <c r="AA401" s="2678"/>
      <c r="AB401" s="2678"/>
      <c r="AC401" s="2678"/>
      <c r="AD401" s="2678"/>
      <c r="AE401" s="2678"/>
      <c r="AF401" s="1186"/>
      <c r="AG401" s="1187"/>
      <c r="AH401" s="1152"/>
      <c r="AI401" s="1152"/>
      <c r="AJ401" s="1152"/>
      <c r="AK401" s="1152"/>
      <c r="AL401" s="1188"/>
      <c r="AM401" s="1113"/>
      <c r="AN401" s="979"/>
      <c r="BS401" s="1113"/>
      <c r="BT401" s="1113"/>
      <c r="BY401" s="1113"/>
      <c r="BZ401" s="1113"/>
      <c r="CA401" s="1113"/>
      <c r="CB401" s="1113"/>
      <c r="CC401" s="1113"/>
    </row>
    <row r="402" spans="1:81" s="922" customFormat="1" ht="12.75" customHeight="1">
      <c r="A402" s="906"/>
      <c r="B402" s="51"/>
      <c r="C402" s="1180"/>
      <c r="D402" s="1004"/>
      <c r="E402" s="1004"/>
      <c r="F402" s="2679"/>
      <c r="G402" s="2679"/>
      <c r="H402" s="2679"/>
      <c r="I402" s="2679"/>
      <c r="J402" s="2679"/>
      <c r="K402" s="2679"/>
      <c r="L402" s="2679"/>
      <c r="M402" s="2679"/>
      <c r="N402" s="2679"/>
      <c r="O402" s="2679"/>
      <c r="P402" s="2679"/>
      <c r="Q402" s="2679"/>
      <c r="R402" s="2679"/>
      <c r="S402" s="2679"/>
      <c r="T402" s="2679"/>
      <c r="U402" s="2679"/>
      <c r="V402" s="2679"/>
      <c r="W402" s="2679"/>
      <c r="X402" s="2679"/>
      <c r="Y402" s="2679"/>
      <c r="Z402" s="2679"/>
      <c r="AA402" s="2679"/>
      <c r="AB402" s="2679"/>
      <c r="AC402" s="2679"/>
      <c r="AD402" s="2679"/>
      <c r="AE402" s="2679"/>
      <c r="AF402" s="2785" t="s">
        <v>1637</v>
      </c>
      <c r="AG402" s="2785"/>
      <c r="AH402" s="2785"/>
      <c r="AI402" s="2785"/>
      <c r="AJ402" s="2785"/>
      <c r="AK402" s="2785"/>
      <c r="AL402" s="2786"/>
      <c r="AM402" s="1113"/>
      <c r="AN402" s="979"/>
      <c r="BS402" s="1113"/>
      <c r="BT402" s="1113"/>
      <c r="BY402" s="1113"/>
      <c r="BZ402" s="1113"/>
      <c r="CA402" s="1113"/>
      <c r="CB402" s="1113"/>
      <c r="CC402" s="1113"/>
    </row>
    <row r="403" spans="1:81" s="922" customFormat="1" ht="12.75" customHeight="1">
      <c r="A403" s="906"/>
      <c r="B403" s="51"/>
      <c r="C403" s="1171"/>
      <c r="D403" s="112"/>
      <c r="E403" s="1125"/>
      <c r="F403" s="2679"/>
      <c r="G403" s="2679"/>
      <c r="H403" s="2679"/>
      <c r="I403" s="2679"/>
      <c r="J403" s="2679"/>
      <c r="K403" s="2679"/>
      <c r="L403" s="2679"/>
      <c r="M403" s="2679"/>
      <c r="N403" s="2679"/>
      <c r="O403" s="2679"/>
      <c r="P403" s="2679"/>
      <c r="Q403" s="2679"/>
      <c r="R403" s="2679"/>
      <c r="S403" s="2679"/>
      <c r="T403" s="2679"/>
      <c r="U403" s="2679"/>
      <c r="V403" s="2679"/>
      <c r="W403" s="2679"/>
      <c r="X403" s="2679"/>
      <c r="Y403" s="2679"/>
      <c r="Z403" s="2679"/>
      <c r="AA403" s="2679"/>
      <c r="AB403" s="2679"/>
      <c r="AC403" s="2679"/>
      <c r="AD403" s="2679"/>
      <c r="AE403" s="2679"/>
      <c r="AF403" s="1004"/>
      <c r="AG403" s="1004"/>
      <c r="AH403" s="1004"/>
      <c r="AI403" s="1004"/>
      <c r="AJ403" s="1004"/>
      <c r="AK403" s="1004"/>
      <c r="AL403" s="1172"/>
      <c r="AM403" s="1113"/>
      <c r="AN403" s="979"/>
      <c r="BS403" s="1113"/>
      <c r="BT403" s="1113"/>
      <c r="BU403" s="1113"/>
      <c r="BV403" s="1113"/>
      <c r="BW403" s="1113"/>
      <c r="BX403" s="1113"/>
      <c r="BY403" s="1113"/>
      <c r="BZ403" s="1113"/>
      <c r="CA403" s="1113"/>
      <c r="CB403" s="1113"/>
      <c r="CC403" s="1113"/>
    </row>
    <row r="404" spans="1:81" s="922" customFormat="1" ht="12.75" customHeight="1">
      <c r="A404" s="906"/>
      <c r="B404" s="51"/>
      <c r="C404" s="1181"/>
      <c r="D404" s="1173"/>
      <c r="E404" s="1174"/>
      <c r="F404" s="2778"/>
      <c r="G404" s="2778"/>
      <c r="H404" s="2778"/>
      <c r="I404" s="2778"/>
      <c r="J404" s="2778"/>
      <c r="K404" s="2778"/>
      <c r="L404" s="2778"/>
      <c r="M404" s="2778"/>
      <c r="N404" s="2778"/>
      <c r="O404" s="2778"/>
      <c r="P404" s="2778"/>
      <c r="Q404" s="2778"/>
      <c r="R404" s="2778"/>
      <c r="S404" s="2778"/>
      <c r="T404" s="2778"/>
      <c r="U404" s="2778"/>
      <c r="V404" s="2778"/>
      <c r="W404" s="2778"/>
      <c r="X404" s="2778"/>
      <c r="Y404" s="2778"/>
      <c r="Z404" s="2778"/>
      <c r="AA404" s="2778"/>
      <c r="AB404" s="2778"/>
      <c r="AC404" s="2778"/>
      <c r="AD404" s="2778"/>
      <c r="AE404" s="2778"/>
      <c r="AF404" s="956"/>
      <c r="AG404" s="1177"/>
      <c r="AH404" s="1167"/>
      <c r="AI404" s="1167"/>
      <c r="AJ404" s="1167"/>
      <c r="AK404" s="1167"/>
      <c r="AL404" s="1183"/>
      <c r="AM404" s="1113"/>
      <c r="AN404" s="979"/>
    </row>
    <row r="405" spans="1:81">
      <c r="A405" s="906"/>
      <c r="E405" s="1125"/>
      <c r="F405" s="1185"/>
      <c r="G405" s="1185"/>
      <c r="H405" s="1185"/>
      <c r="I405" s="1185"/>
      <c r="J405" s="1185"/>
      <c r="K405" s="1185"/>
      <c r="L405" s="1185"/>
      <c r="M405" s="1185"/>
      <c r="N405" s="1185"/>
      <c r="O405" s="1185"/>
      <c r="P405" s="1185"/>
      <c r="Q405" s="1185"/>
      <c r="R405" s="1185"/>
      <c r="S405" s="1185"/>
      <c r="T405" s="1185"/>
      <c r="U405" s="1185"/>
      <c r="V405" s="1185"/>
      <c r="W405" s="1185"/>
      <c r="X405" s="1185"/>
      <c r="Y405" s="1185"/>
      <c r="Z405" s="1185"/>
      <c r="AA405" s="1185"/>
      <c r="AB405" s="1185"/>
      <c r="AC405" s="1185"/>
      <c r="AD405" s="1185"/>
      <c r="AE405" s="906"/>
      <c r="AF405" s="911"/>
      <c r="AG405" s="906"/>
      <c r="AH405" s="922"/>
      <c r="AI405" s="922"/>
      <c r="AJ405" s="922"/>
      <c r="AK405" s="922"/>
      <c r="AL405" s="922"/>
      <c r="AM405" s="1113"/>
    </row>
    <row r="406" spans="1:81" ht="12.75" customHeight="1">
      <c r="A406" s="906"/>
      <c r="C406" s="1189"/>
      <c r="D406" s="1190"/>
      <c r="E406" s="1153" t="s">
        <v>1652</v>
      </c>
      <c r="F406" s="2781" t="s">
        <v>1653</v>
      </c>
      <c r="G406" s="2781"/>
      <c r="H406" s="2781"/>
      <c r="I406" s="2781"/>
      <c r="J406" s="2781"/>
      <c r="K406" s="2781"/>
      <c r="L406" s="2781"/>
      <c r="M406" s="2781"/>
      <c r="N406" s="2781"/>
      <c r="O406" s="2781"/>
      <c r="P406" s="2781"/>
      <c r="Q406" s="2781"/>
      <c r="R406" s="2781"/>
      <c r="S406" s="2781"/>
      <c r="T406" s="2781"/>
      <c r="U406" s="2781"/>
      <c r="V406" s="2781"/>
      <c r="W406" s="2781"/>
      <c r="X406" s="2781"/>
      <c r="Y406" s="2781"/>
      <c r="Z406" s="2781"/>
      <c r="AA406" s="2781"/>
      <c r="AB406" s="2781"/>
      <c r="AC406" s="2781"/>
      <c r="AD406" s="2781"/>
      <c r="AE406" s="2781"/>
      <c r="AF406" s="1190"/>
      <c r="AG406" s="1190"/>
      <c r="AH406" s="1190"/>
      <c r="AI406" s="1190"/>
      <c r="AJ406" s="1190"/>
      <c r="AK406" s="1190"/>
      <c r="AL406" s="1191"/>
      <c r="AM406" s="1113"/>
    </row>
    <row r="407" spans="1:81">
      <c r="A407" s="906"/>
      <c r="C407" s="1171"/>
      <c r="D407" s="112"/>
      <c r="E407" s="1125"/>
      <c r="F407" s="2782"/>
      <c r="G407" s="2782"/>
      <c r="H407" s="2782"/>
      <c r="I407" s="2782"/>
      <c r="J407" s="2782"/>
      <c r="K407" s="2782"/>
      <c r="L407" s="2782"/>
      <c r="M407" s="2782"/>
      <c r="N407" s="2782"/>
      <c r="O407" s="2782"/>
      <c r="P407" s="2782"/>
      <c r="Q407" s="2782"/>
      <c r="R407" s="2782"/>
      <c r="S407" s="2782"/>
      <c r="T407" s="2782"/>
      <c r="U407" s="2782"/>
      <c r="V407" s="2782"/>
      <c r="W407" s="2782"/>
      <c r="X407" s="2782"/>
      <c r="Y407" s="2782"/>
      <c r="Z407" s="2782"/>
      <c r="AA407" s="2782"/>
      <c r="AB407" s="2782"/>
      <c r="AC407" s="2782"/>
      <c r="AD407" s="2782"/>
      <c r="AE407" s="2782"/>
      <c r="AF407" s="1192"/>
      <c r="AG407" s="970"/>
      <c r="AH407" s="1004"/>
      <c r="AI407" s="1004"/>
      <c r="AJ407" s="1004"/>
      <c r="AK407" s="1004"/>
      <c r="AL407" s="1172"/>
      <c r="AM407" s="1113"/>
    </row>
    <row r="408" spans="1:81" s="922" customFormat="1" ht="12.75" customHeight="1">
      <c r="A408" s="906"/>
      <c r="B408" s="51"/>
      <c r="C408" s="1171"/>
      <c r="D408" s="112"/>
      <c r="E408" s="1125"/>
      <c r="F408" s="2782"/>
      <c r="G408" s="2782"/>
      <c r="H408" s="2782"/>
      <c r="I408" s="2782"/>
      <c r="J408" s="2782"/>
      <c r="K408" s="2782"/>
      <c r="L408" s="2782"/>
      <c r="M408" s="2782"/>
      <c r="N408" s="2782"/>
      <c r="O408" s="2782"/>
      <c r="P408" s="2782"/>
      <c r="Q408" s="2782"/>
      <c r="R408" s="2782"/>
      <c r="S408" s="2782"/>
      <c r="T408" s="2782"/>
      <c r="U408" s="2782"/>
      <c r="V408" s="2782"/>
      <c r="W408" s="2782"/>
      <c r="X408" s="2782"/>
      <c r="Y408" s="2782"/>
      <c r="Z408" s="2782"/>
      <c r="AA408" s="2782"/>
      <c r="AB408" s="2782"/>
      <c r="AC408" s="2782"/>
      <c r="AD408" s="2782"/>
      <c r="AE408" s="2782"/>
      <c r="AF408" s="1004"/>
      <c r="AG408" s="1004"/>
      <c r="AH408" s="1004"/>
      <c r="AI408" s="1004"/>
      <c r="AJ408" s="1004"/>
      <c r="AK408" s="1004"/>
      <c r="AL408" s="1172"/>
      <c r="AM408" s="1113"/>
      <c r="AN408" s="979"/>
    </row>
    <row r="409" spans="1:81" s="922" customFormat="1" ht="12.75" customHeight="1">
      <c r="A409" s="906"/>
      <c r="B409" s="51"/>
      <c r="C409" s="1180"/>
      <c r="D409" s="1004"/>
      <c r="E409" s="1004"/>
      <c r="F409" s="2782"/>
      <c r="G409" s="2782"/>
      <c r="H409" s="2782"/>
      <c r="I409" s="2782"/>
      <c r="J409" s="2782"/>
      <c r="K409" s="2782"/>
      <c r="L409" s="2782"/>
      <c r="M409" s="2782"/>
      <c r="N409" s="2782"/>
      <c r="O409" s="2782"/>
      <c r="P409" s="2782"/>
      <c r="Q409" s="2782"/>
      <c r="R409" s="2782"/>
      <c r="S409" s="2782"/>
      <c r="T409" s="2782"/>
      <c r="U409" s="2782"/>
      <c r="V409" s="2782"/>
      <c r="W409" s="2782"/>
      <c r="X409" s="2782"/>
      <c r="Y409" s="2782"/>
      <c r="Z409" s="2782"/>
      <c r="AA409" s="2782"/>
      <c r="AB409" s="2782"/>
      <c r="AC409" s="2782"/>
      <c r="AD409" s="2782"/>
      <c r="AE409" s="2782"/>
      <c r="AF409" s="1004"/>
      <c r="AG409" s="1004"/>
      <c r="AH409" s="1004"/>
      <c r="AI409" s="1004"/>
      <c r="AJ409" s="1004"/>
      <c r="AK409" s="1004"/>
      <c r="AL409" s="1172"/>
      <c r="AM409" s="1113"/>
      <c r="AN409" s="979"/>
    </row>
    <row r="410" spans="1:81" s="922" customFormat="1" ht="12.75" customHeight="1">
      <c r="A410" s="906"/>
      <c r="B410" s="51"/>
      <c r="C410" s="2688" t="s">
        <v>600</v>
      </c>
      <c r="D410" s="2689"/>
      <c r="E410" s="1125"/>
      <c r="F410" s="1193" t="s">
        <v>1654</v>
      </c>
      <c r="G410" s="1194"/>
      <c r="H410" s="1194"/>
      <c r="I410" s="1194"/>
      <c r="J410" s="1194"/>
      <c r="K410" s="1194"/>
      <c r="L410" s="1194"/>
      <c r="M410" s="1194"/>
      <c r="N410" s="1194"/>
      <c r="O410" s="1194"/>
      <c r="P410" s="1194"/>
      <c r="Q410" s="1194"/>
      <c r="R410" s="1194"/>
      <c r="S410" s="1194"/>
      <c r="T410" s="1194"/>
      <c r="U410" s="1194"/>
      <c r="V410" s="1194"/>
      <c r="W410" s="1194"/>
      <c r="X410" s="1194"/>
      <c r="Y410" s="1194"/>
      <c r="Z410" s="1194"/>
      <c r="AA410" s="1194"/>
      <c r="AB410" s="1194"/>
      <c r="AC410" s="1194"/>
      <c r="AD410" s="1194"/>
      <c r="AE410" s="1004"/>
      <c r="AF410" s="2785" t="s">
        <v>1637</v>
      </c>
      <c r="AG410" s="2785"/>
      <c r="AH410" s="2785"/>
      <c r="AI410" s="2785"/>
      <c r="AJ410" s="2785"/>
      <c r="AK410" s="2785"/>
      <c r="AL410" s="2786"/>
      <c r="AM410" s="1113"/>
      <c r="AN410" s="979"/>
      <c r="AO410" s="1004"/>
      <c r="AP410" s="1004"/>
    </row>
    <row r="411" spans="1:81" s="922" customFormat="1" ht="12.75" customHeight="1">
      <c r="A411" s="906"/>
      <c r="B411" s="51"/>
      <c r="C411" s="1180"/>
      <c r="D411" s="1004"/>
      <c r="E411" s="1004"/>
      <c r="F411" s="1004"/>
      <c r="G411" s="1004"/>
      <c r="H411" s="1004"/>
      <c r="I411" s="1004"/>
      <c r="J411" s="1004"/>
      <c r="K411" s="1004"/>
      <c r="L411" s="1004"/>
      <c r="M411" s="1004"/>
      <c r="N411" s="1004"/>
      <c r="O411" s="1004"/>
      <c r="P411" s="1004"/>
      <c r="Q411" s="1004"/>
      <c r="R411" s="1004"/>
      <c r="S411" s="1004"/>
      <c r="T411" s="1004"/>
      <c r="U411" s="1004"/>
      <c r="V411" s="1004"/>
      <c r="W411" s="1004"/>
      <c r="X411" s="1004"/>
      <c r="Y411" s="1004"/>
      <c r="Z411" s="1004"/>
      <c r="AA411" s="1004"/>
      <c r="AB411" s="1004"/>
      <c r="AC411" s="1004"/>
      <c r="AD411" s="1004"/>
      <c r="AE411" s="1004"/>
      <c r="AF411" s="1004"/>
      <c r="AG411" s="1004"/>
      <c r="AH411" s="1004"/>
      <c r="AI411" s="1004"/>
      <c r="AJ411" s="1004"/>
      <c r="AK411" s="1004"/>
      <c r="AL411" s="1172"/>
      <c r="AM411" s="1113"/>
      <c r="AN411" s="979"/>
      <c r="AO411" s="1004"/>
      <c r="AP411" s="1004"/>
    </row>
    <row r="412" spans="1:81" s="922" customFormat="1" ht="12.75" customHeight="1">
      <c r="A412" s="906"/>
      <c r="B412" s="51"/>
      <c r="C412" s="2688" t="s">
        <v>600</v>
      </c>
      <c r="D412" s="2689"/>
      <c r="E412" s="1157"/>
      <c r="F412" s="1193" t="s">
        <v>1655</v>
      </c>
      <c r="G412" s="1194"/>
      <c r="H412" s="1194"/>
      <c r="I412" s="1194"/>
      <c r="J412" s="1194"/>
      <c r="K412" s="1194"/>
      <c r="L412" s="1194"/>
      <c r="M412" s="1194"/>
      <c r="N412" s="1194"/>
      <c r="O412" s="1194"/>
      <c r="P412" s="1194"/>
      <c r="Q412" s="1194"/>
      <c r="R412" s="1194"/>
      <c r="S412" s="1194"/>
      <c r="T412" s="1194"/>
      <c r="U412" s="1194"/>
      <c r="V412" s="1194"/>
      <c r="W412" s="1194"/>
      <c r="X412" s="1194"/>
      <c r="Y412" s="1194"/>
      <c r="Z412" s="1194"/>
      <c r="AA412" s="1194"/>
      <c r="AB412" s="1194"/>
      <c r="AC412" s="1194"/>
      <c r="AD412" s="1194"/>
      <c r="AE412" s="1004"/>
      <c r="AF412" s="2785" t="s">
        <v>1649</v>
      </c>
      <c r="AG412" s="2785"/>
      <c r="AH412" s="2785"/>
      <c r="AI412" s="2785"/>
      <c r="AJ412" s="2785"/>
      <c r="AK412" s="2785"/>
      <c r="AL412" s="2786"/>
      <c r="AM412" s="1113"/>
      <c r="AN412" s="979"/>
      <c r="AO412" s="1195"/>
      <c r="AP412" s="1195"/>
      <c r="BC412" s="51"/>
    </row>
    <row r="413" spans="1:81" s="922" customFormat="1" ht="12.75" customHeight="1">
      <c r="A413" s="906"/>
      <c r="B413" s="51"/>
      <c r="C413" s="1173"/>
      <c r="D413" s="1173"/>
      <c r="E413" s="1174"/>
      <c r="F413" s="1196"/>
      <c r="G413" s="1197"/>
      <c r="H413" s="1197"/>
      <c r="I413" s="1197"/>
      <c r="J413" s="1197"/>
      <c r="K413" s="1197"/>
      <c r="L413" s="1197"/>
      <c r="M413" s="1197"/>
      <c r="N413" s="1197"/>
      <c r="O413" s="1197"/>
      <c r="P413" s="1197"/>
      <c r="Q413" s="1197"/>
      <c r="R413" s="1197"/>
      <c r="S413" s="1197"/>
      <c r="T413" s="1197"/>
      <c r="U413" s="1197"/>
      <c r="V413" s="1197"/>
      <c r="W413" s="1197"/>
      <c r="X413" s="1197"/>
      <c r="Y413" s="1197"/>
      <c r="Z413" s="1197"/>
      <c r="AA413" s="1197"/>
      <c r="AB413" s="1197"/>
      <c r="AC413" s="1197"/>
      <c r="AD413" s="1197"/>
      <c r="AE413" s="1177"/>
      <c r="AF413" s="956"/>
      <c r="AG413" s="1177"/>
      <c r="AH413" s="1167"/>
      <c r="AI413" s="1167"/>
      <c r="AJ413" s="1167"/>
      <c r="AK413" s="1167"/>
      <c r="AL413" s="1198"/>
      <c r="AM413" s="1113"/>
      <c r="AN413" s="979"/>
      <c r="AO413" s="1004"/>
      <c r="AP413" s="1004"/>
    </row>
    <row r="414" spans="1:81" s="922" customFormat="1" ht="12.75" customHeight="1">
      <c r="A414" s="906"/>
      <c r="B414" s="51"/>
      <c r="C414" s="51"/>
      <c r="D414" s="51"/>
      <c r="E414" s="1125"/>
      <c r="F414" s="1199"/>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906"/>
      <c r="AF414" s="911"/>
      <c r="AG414" s="906"/>
      <c r="AM414" s="1113"/>
      <c r="AN414" s="979"/>
      <c r="AO414" s="1004"/>
      <c r="AP414" s="1004"/>
    </row>
    <row r="415" spans="1:81" s="922" customFormat="1" ht="12.75" customHeight="1">
      <c r="A415" s="906"/>
      <c r="B415" s="51"/>
      <c r="C415" s="1150" t="s">
        <v>1656</v>
      </c>
      <c r="D415" s="51"/>
      <c r="E415" s="1125"/>
      <c r="F415" s="1200"/>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906"/>
      <c r="AF415" s="911"/>
      <c r="AG415" s="906"/>
      <c r="AM415" s="1113"/>
      <c r="AN415" s="979"/>
      <c r="AO415" s="1004"/>
      <c r="AP415" s="1004"/>
    </row>
    <row r="416" spans="1:81" s="922" customFormat="1" ht="12.75" customHeight="1">
      <c r="A416" s="906"/>
      <c r="B416" s="51"/>
      <c r="C416" s="1151"/>
      <c r="D416" s="1152"/>
      <c r="E416" s="1153" t="s">
        <v>1657</v>
      </c>
      <c r="F416" s="2678" t="s">
        <v>1658</v>
      </c>
      <c r="G416" s="2678"/>
      <c r="H416" s="2678"/>
      <c r="I416" s="2678"/>
      <c r="J416" s="2678"/>
      <c r="K416" s="2678"/>
      <c r="L416" s="2678"/>
      <c r="M416" s="2678"/>
      <c r="N416" s="2678"/>
      <c r="O416" s="2678"/>
      <c r="P416" s="2678"/>
      <c r="Q416" s="2678"/>
      <c r="R416" s="2678"/>
      <c r="S416" s="2678"/>
      <c r="T416" s="2678"/>
      <c r="U416" s="2678"/>
      <c r="V416" s="2678"/>
      <c r="W416" s="2678"/>
      <c r="X416" s="2678"/>
      <c r="Y416" s="2678"/>
      <c r="Z416" s="2678"/>
      <c r="AA416" s="2678"/>
      <c r="AB416" s="2678"/>
      <c r="AC416" s="2678"/>
      <c r="AD416" s="2678"/>
      <c r="AE416" s="2678"/>
      <c r="AF416" s="1152"/>
      <c r="AG416" s="1152"/>
      <c r="AH416" s="1152"/>
      <c r="AI416" s="1152"/>
      <c r="AJ416" s="1152"/>
      <c r="AK416" s="1152"/>
      <c r="AL416" s="1188"/>
      <c r="AM416" s="1113"/>
      <c r="AN416" s="979"/>
      <c r="AO416" s="1004"/>
      <c r="AP416" s="1004"/>
    </row>
    <row r="417" spans="1:60" s="981" customFormat="1" ht="12.75" customHeight="1">
      <c r="A417" s="906"/>
      <c r="B417" s="51"/>
      <c r="C417" s="1171"/>
      <c r="D417" s="112"/>
      <c r="E417" s="1125"/>
      <c r="F417" s="2679"/>
      <c r="G417" s="2679"/>
      <c r="H417" s="2679"/>
      <c r="I417" s="2679"/>
      <c r="J417" s="2679"/>
      <c r="K417" s="2679"/>
      <c r="L417" s="2679"/>
      <c r="M417" s="2679"/>
      <c r="N417" s="2679"/>
      <c r="O417" s="2679"/>
      <c r="P417" s="2679"/>
      <c r="Q417" s="2679"/>
      <c r="R417" s="2679"/>
      <c r="S417" s="2679"/>
      <c r="T417" s="2679"/>
      <c r="U417" s="2679"/>
      <c r="V417" s="2679"/>
      <c r="W417" s="2679"/>
      <c r="X417" s="2679"/>
      <c r="Y417" s="2679"/>
      <c r="Z417" s="2679"/>
      <c r="AA417" s="2679"/>
      <c r="AB417" s="2679"/>
      <c r="AC417" s="2679"/>
      <c r="AD417" s="2679"/>
      <c r="AE417" s="2679"/>
      <c r="AF417" s="1192"/>
      <c r="AG417" s="970"/>
      <c r="AH417" s="1004"/>
      <c r="AI417" s="1004"/>
      <c r="AJ417" s="1004"/>
      <c r="AK417" s="1004"/>
      <c r="AL417" s="1172"/>
      <c r="AM417" s="1113"/>
      <c r="AN417" s="980"/>
      <c r="AO417" s="1004"/>
      <c r="AP417" s="1004"/>
    </row>
    <row r="418" spans="1:60" s="922" customFormat="1" ht="12.4" customHeight="1">
      <c r="A418" s="906"/>
      <c r="B418" s="51"/>
      <c r="C418" s="1171"/>
      <c r="D418" s="112"/>
      <c r="E418" s="1125"/>
      <c r="F418" s="2679"/>
      <c r="G418" s="2679"/>
      <c r="H418" s="2679"/>
      <c r="I418" s="2679"/>
      <c r="J418" s="2679"/>
      <c r="K418" s="2679"/>
      <c r="L418" s="2679"/>
      <c r="M418" s="2679"/>
      <c r="N418" s="2679"/>
      <c r="O418" s="2679"/>
      <c r="P418" s="2679"/>
      <c r="Q418" s="2679"/>
      <c r="R418" s="2679"/>
      <c r="S418" s="2679"/>
      <c r="T418" s="2679"/>
      <c r="U418" s="2679"/>
      <c r="V418" s="2679"/>
      <c r="W418" s="2679"/>
      <c r="X418" s="2679"/>
      <c r="Y418" s="2679"/>
      <c r="Z418" s="2679"/>
      <c r="AA418" s="2679"/>
      <c r="AB418" s="2679"/>
      <c r="AC418" s="2679"/>
      <c r="AD418" s="2679"/>
      <c r="AE418" s="2679"/>
      <c r="AF418" s="1004"/>
      <c r="AG418" s="1004"/>
      <c r="AH418" s="1004"/>
      <c r="AI418" s="1004"/>
      <c r="AJ418" s="1004"/>
      <c r="AK418" s="1004"/>
      <c r="AL418" s="1172"/>
      <c r="AM418" s="1113"/>
      <c r="AN418" s="979"/>
      <c r="AO418" s="1004"/>
      <c r="AP418" s="1004"/>
    </row>
    <row r="419" spans="1:60" s="922" customFormat="1" ht="12.75" customHeight="1">
      <c r="A419" s="906"/>
      <c r="B419" s="51"/>
      <c r="C419" s="2688" t="s">
        <v>600</v>
      </c>
      <c r="D419" s="2689"/>
      <c r="E419" s="1125"/>
      <c r="F419" s="1160" t="s">
        <v>1659</v>
      </c>
      <c r="G419" s="1201"/>
      <c r="H419" s="1201"/>
      <c r="I419" s="1201"/>
      <c r="J419" s="1201"/>
      <c r="K419" s="1201"/>
      <c r="L419" s="1201"/>
      <c r="M419" s="1201"/>
      <c r="N419" s="1201"/>
      <c r="O419" s="1201"/>
      <c r="P419" s="1201"/>
      <c r="Q419" s="1201"/>
      <c r="R419" s="1201"/>
      <c r="S419" s="1201"/>
      <c r="T419" s="1201"/>
      <c r="U419" s="1201"/>
      <c r="V419" s="1201"/>
      <c r="W419" s="1201"/>
      <c r="X419" s="1201"/>
      <c r="Y419" s="1201"/>
      <c r="Z419" s="1201"/>
      <c r="AA419" s="1201"/>
      <c r="AB419" s="1201"/>
      <c r="AC419" s="1201"/>
      <c r="AD419" s="1201"/>
      <c r="AE419" s="1004"/>
      <c r="AF419" s="2785" t="s">
        <v>1637</v>
      </c>
      <c r="AG419" s="2785"/>
      <c r="AH419" s="2785"/>
      <c r="AI419" s="2785"/>
      <c r="AJ419" s="2785"/>
      <c r="AK419" s="2785"/>
      <c r="AL419" s="2786"/>
      <c r="AM419" s="1113"/>
      <c r="AN419" s="979"/>
      <c r="AO419" s="1004"/>
      <c r="AP419" s="1004"/>
    </row>
    <row r="420" spans="1:60" s="922" customFormat="1" ht="12.75" customHeight="1">
      <c r="A420" s="906"/>
      <c r="B420" s="51"/>
      <c r="C420" s="1184"/>
      <c r="D420" s="1167"/>
      <c r="E420" s="1164"/>
      <c r="F420" s="1182"/>
      <c r="G420" s="1166"/>
      <c r="H420" s="1166"/>
      <c r="I420" s="1166"/>
      <c r="J420" s="1166"/>
      <c r="K420" s="1166"/>
      <c r="L420" s="1166"/>
      <c r="M420" s="1166"/>
      <c r="N420" s="1166"/>
      <c r="O420" s="1166"/>
      <c r="P420" s="1166"/>
      <c r="Q420" s="1166"/>
      <c r="R420" s="1166"/>
      <c r="S420" s="1166"/>
      <c r="T420" s="1166"/>
      <c r="U420" s="1166"/>
      <c r="V420" s="1166"/>
      <c r="W420" s="1166"/>
      <c r="X420" s="1166"/>
      <c r="Y420" s="1166"/>
      <c r="Z420" s="1166"/>
      <c r="AA420" s="1166"/>
      <c r="AB420" s="1166"/>
      <c r="AC420" s="1166"/>
      <c r="AD420" s="1166"/>
      <c r="AE420" s="1167"/>
      <c r="AF420" s="1167"/>
      <c r="AG420" s="1167"/>
      <c r="AH420" s="1167"/>
      <c r="AI420" s="1167"/>
      <c r="AJ420" s="1167"/>
      <c r="AK420" s="1167"/>
      <c r="AL420" s="1183"/>
      <c r="AM420" s="1113"/>
      <c r="AN420" s="979"/>
      <c r="AO420" s="1004"/>
      <c r="AP420" s="1004"/>
    </row>
    <row r="421" spans="1:60" s="922" customFormat="1" ht="12.75" customHeight="1">
      <c r="A421" s="906"/>
      <c r="B421" s="51"/>
      <c r="C421" s="1170"/>
      <c r="D421" s="1170"/>
      <c r="E421" s="1157"/>
      <c r="F421" s="1202"/>
      <c r="G421" s="1185"/>
      <c r="H421" s="1185"/>
      <c r="I421" s="1185"/>
      <c r="J421" s="1185"/>
      <c r="K421" s="1185"/>
      <c r="L421" s="1185"/>
      <c r="M421" s="1185"/>
      <c r="N421" s="1185"/>
      <c r="O421" s="1185"/>
      <c r="P421" s="1185"/>
      <c r="Q421" s="1185"/>
      <c r="R421" s="1185"/>
      <c r="S421" s="1185"/>
      <c r="T421" s="1185"/>
      <c r="U421" s="1185"/>
      <c r="V421" s="1185"/>
      <c r="W421" s="1185"/>
      <c r="X421" s="1185"/>
      <c r="Y421" s="1185"/>
      <c r="Z421" s="1185"/>
      <c r="AA421" s="1185"/>
      <c r="AB421" s="1185"/>
      <c r="AC421" s="1185"/>
      <c r="AD421" s="1185"/>
      <c r="AE421" s="906"/>
      <c r="AM421" s="1113"/>
      <c r="AN421" s="979"/>
      <c r="AO421" s="1004"/>
      <c r="AP421" s="1004"/>
    </row>
    <row r="422" spans="1:60" ht="13.15" customHeight="1">
      <c r="A422" s="906"/>
      <c r="C422" s="1189"/>
      <c r="D422" s="1190"/>
      <c r="E422" s="1153" t="s">
        <v>1660</v>
      </c>
      <c r="F422" s="2678" t="s">
        <v>1661</v>
      </c>
      <c r="G422" s="2678"/>
      <c r="H422" s="2678"/>
      <c r="I422" s="2678"/>
      <c r="J422" s="2678"/>
      <c r="K422" s="2678"/>
      <c r="L422" s="2678"/>
      <c r="M422" s="2678"/>
      <c r="N422" s="2678"/>
      <c r="O422" s="2678"/>
      <c r="P422" s="2678"/>
      <c r="Q422" s="2678"/>
      <c r="R422" s="2678"/>
      <c r="S422" s="2678"/>
      <c r="T422" s="2678"/>
      <c r="U422" s="2678"/>
      <c r="V422" s="2678"/>
      <c r="W422" s="2678"/>
      <c r="X422" s="2678"/>
      <c r="Y422" s="2678"/>
      <c r="Z422" s="2678"/>
      <c r="AA422" s="2678"/>
      <c r="AB422" s="2678"/>
      <c r="AC422" s="2678"/>
      <c r="AD422" s="2678"/>
      <c r="AE422" s="2678"/>
      <c r="AF422" s="1190"/>
      <c r="AG422" s="1190"/>
      <c r="AH422" s="1190"/>
      <c r="AI422" s="1190"/>
      <c r="AJ422" s="1190"/>
      <c r="AK422" s="1190"/>
      <c r="AL422" s="1191"/>
      <c r="AM422" s="1113"/>
      <c r="AO422" s="1004"/>
      <c r="AP422" s="1004"/>
      <c r="BD422" s="51"/>
      <c r="BE422" s="51"/>
      <c r="BF422" s="51"/>
      <c r="BG422" s="51"/>
      <c r="BH422" s="51"/>
    </row>
    <row r="423" spans="1:60">
      <c r="A423" s="906"/>
      <c r="C423" s="1171"/>
      <c r="D423" s="112"/>
      <c r="E423" s="1125"/>
      <c r="F423" s="2679"/>
      <c r="G423" s="2679"/>
      <c r="H423" s="2679"/>
      <c r="I423" s="2679"/>
      <c r="J423" s="2679"/>
      <c r="K423" s="2679"/>
      <c r="L423" s="2679"/>
      <c r="M423" s="2679"/>
      <c r="N423" s="2679"/>
      <c r="O423" s="2679"/>
      <c r="P423" s="2679"/>
      <c r="Q423" s="2679"/>
      <c r="R423" s="2679"/>
      <c r="S423" s="2679"/>
      <c r="T423" s="2679"/>
      <c r="U423" s="2679"/>
      <c r="V423" s="2679"/>
      <c r="W423" s="2679"/>
      <c r="X423" s="2679"/>
      <c r="Y423" s="2679"/>
      <c r="Z423" s="2679"/>
      <c r="AA423" s="2679"/>
      <c r="AB423" s="2679"/>
      <c r="AC423" s="2679"/>
      <c r="AD423" s="2679"/>
      <c r="AE423" s="2679"/>
      <c r="AF423" s="1203"/>
      <c r="AG423" s="1203"/>
      <c r="AH423" s="1203"/>
      <c r="AI423" s="1203"/>
      <c r="AJ423" s="1203"/>
      <c r="AK423" s="1203"/>
      <c r="AL423" s="1204"/>
      <c r="AM423" s="1113"/>
      <c r="AO423" s="1004"/>
      <c r="AP423" s="1004"/>
    </row>
    <row r="424" spans="1:60" s="922" customFormat="1" ht="12.75" customHeight="1">
      <c r="A424" s="906"/>
      <c r="B424" s="51"/>
      <c r="C424" s="1171"/>
      <c r="D424" s="112"/>
      <c r="E424" s="1125"/>
      <c r="F424" s="2679"/>
      <c r="G424" s="2679"/>
      <c r="H424" s="2679"/>
      <c r="I424" s="2679"/>
      <c r="J424" s="2679"/>
      <c r="K424" s="2679"/>
      <c r="L424" s="2679"/>
      <c r="M424" s="2679"/>
      <c r="N424" s="2679"/>
      <c r="O424" s="2679"/>
      <c r="P424" s="2679"/>
      <c r="Q424" s="2679"/>
      <c r="R424" s="2679"/>
      <c r="S424" s="2679"/>
      <c r="T424" s="2679"/>
      <c r="U424" s="2679"/>
      <c r="V424" s="2679"/>
      <c r="W424" s="2679"/>
      <c r="X424" s="2679"/>
      <c r="Y424" s="2679"/>
      <c r="Z424" s="2679"/>
      <c r="AA424" s="2679"/>
      <c r="AB424" s="2679"/>
      <c r="AC424" s="2679"/>
      <c r="AD424" s="2679"/>
      <c r="AE424" s="2679"/>
      <c r="AF424" s="1203"/>
      <c r="AG424" s="1203"/>
      <c r="AH424" s="1203"/>
      <c r="AI424" s="1203"/>
      <c r="AJ424" s="1203"/>
      <c r="AK424" s="1203"/>
      <c r="AL424" s="1204"/>
      <c r="AM424" s="1113"/>
      <c r="AN424" s="979"/>
      <c r="AO424" s="1004"/>
      <c r="AP424" s="1004"/>
    </row>
    <row r="425" spans="1:60" s="922" customFormat="1" ht="12.75" customHeight="1">
      <c r="A425" s="906"/>
      <c r="B425" s="51"/>
      <c r="C425" s="1205"/>
      <c r="D425" s="1170"/>
      <c r="E425" s="1157"/>
      <c r="F425" s="2679"/>
      <c r="G425" s="2679"/>
      <c r="H425" s="2679"/>
      <c r="I425" s="2679"/>
      <c r="J425" s="2679"/>
      <c r="K425" s="2679"/>
      <c r="L425" s="2679"/>
      <c r="M425" s="2679"/>
      <c r="N425" s="2679"/>
      <c r="O425" s="2679"/>
      <c r="P425" s="2679"/>
      <c r="Q425" s="2679"/>
      <c r="R425" s="2679"/>
      <c r="S425" s="2679"/>
      <c r="T425" s="2679"/>
      <c r="U425" s="2679"/>
      <c r="V425" s="2679"/>
      <c r="W425" s="2679"/>
      <c r="X425" s="2679"/>
      <c r="Y425" s="2679"/>
      <c r="Z425" s="2679"/>
      <c r="AA425" s="2679"/>
      <c r="AB425" s="2679"/>
      <c r="AC425" s="2679"/>
      <c r="AD425" s="2679"/>
      <c r="AE425" s="2679"/>
      <c r="AF425" s="1203"/>
      <c r="AG425" s="1203"/>
      <c r="AH425" s="1203"/>
      <c r="AI425" s="1203"/>
      <c r="AJ425" s="1203"/>
      <c r="AK425" s="1203"/>
      <c r="AL425" s="1204"/>
      <c r="AM425" s="1113"/>
      <c r="AN425" s="979"/>
      <c r="AO425" s="1206"/>
      <c r="AP425" s="112"/>
    </row>
    <row r="426" spans="1:60" s="922" customFormat="1" ht="12.75" customHeight="1">
      <c r="A426" s="906"/>
      <c r="B426" s="51"/>
      <c r="C426" s="1205"/>
      <c r="D426" s="1170"/>
      <c r="E426" s="1157"/>
      <c r="F426" s="2679"/>
      <c r="G426" s="2679"/>
      <c r="H426" s="2679"/>
      <c r="I426" s="2679"/>
      <c r="J426" s="2679"/>
      <c r="K426" s="2679"/>
      <c r="L426" s="2679"/>
      <c r="M426" s="2679"/>
      <c r="N426" s="2679"/>
      <c r="O426" s="2679"/>
      <c r="P426" s="2679"/>
      <c r="Q426" s="2679"/>
      <c r="R426" s="2679"/>
      <c r="S426" s="2679"/>
      <c r="T426" s="2679"/>
      <c r="U426" s="2679"/>
      <c r="V426" s="2679"/>
      <c r="W426" s="2679"/>
      <c r="X426" s="2679"/>
      <c r="Y426" s="2679"/>
      <c r="Z426" s="2679"/>
      <c r="AA426" s="2679"/>
      <c r="AB426" s="2679"/>
      <c r="AC426" s="2679"/>
      <c r="AD426" s="2679"/>
      <c r="AE426" s="2679"/>
      <c r="AF426" s="1203"/>
      <c r="AG426" s="1203"/>
      <c r="AH426" s="1203"/>
      <c r="AI426" s="1203"/>
      <c r="AJ426" s="1203"/>
      <c r="AK426" s="1203"/>
      <c r="AL426" s="1204"/>
      <c r="AM426" s="1113"/>
      <c r="AN426" s="979"/>
      <c r="AO426" s="1004"/>
      <c r="AP426" s="1004"/>
    </row>
    <row r="427" spans="1:60" s="922" customFormat="1" ht="12.75" customHeight="1">
      <c r="A427" s="906"/>
      <c r="B427" s="51"/>
      <c r="C427" s="1205"/>
      <c r="D427" s="1170"/>
      <c r="E427" s="1157"/>
      <c r="F427" s="2679"/>
      <c r="G427" s="2679"/>
      <c r="H427" s="2679"/>
      <c r="I427" s="2679"/>
      <c r="J427" s="2679"/>
      <c r="K427" s="2679"/>
      <c r="L427" s="2679"/>
      <c r="M427" s="2679"/>
      <c r="N427" s="2679"/>
      <c r="O427" s="2679"/>
      <c r="P427" s="2679"/>
      <c r="Q427" s="2679"/>
      <c r="R427" s="2679"/>
      <c r="S427" s="2679"/>
      <c r="T427" s="2679"/>
      <c r="U427" s="2679"/>
      <c r="V427" s="2679"/>
      <c r="W427" s="2679"/>
      <c r="X427" s="2679"/>
      <c r="Y427" s="2679"/>
      <c r="Z427" s="2679"/>
      <c r="AA427" s="2679"/>
      <c r="AB427" s="2679"/>
      <c r="AC427" s="2679"/>
      <c r="AD427" s="2679"/>
      <c r="AE427" s="2679"/>
      <c r="AF427" s="1203"/>
      <c r="AG427" s="1203"/>
      <c r="AH427" s="1203"/>
      <c r="AI427" s="1203"/>
      <c r="AJ427" s="1203"/>
      <c r="AK427" s="1203"/>
      <c r="AL427" s="1204"/>
      <c r="AM427" s="1113"/>
      <c r="AN427" s="979"/>
    </row>
    <row r="428" spans="1:60" s="922" customFormat="1" ht="12.75" customHeight="1">
      <c r="A428" s="906"/>
      <c r="B428" s="51"/>
      <c r="C428" s="1205"/>
      <c r="D428" s="1170"/>
      <c r="E428" s="1157"/>
      <c r="F428" s="2679"/>
      <c r="G428" s="2679"/>
      <c r="H428" s="2679"/>
      <c r="I428" s="2679"/>
      <c r="J428" s="2679"/>
      <c r="K428" s="2679"/>
      <c r="L428" s="2679"/>
      <c r="M428" s="2679"/>
      <c r="N428" s="2679"/>
      <c r="O428" s="2679"/>
      <c r="P428" s="2679"/>
      <c r="Q428" s="2679"/>
      <c r="R428" s="2679"/>
      <c r="S428" s="2679"/>
      <c r="T428" s="2679"/>
      <c r="U428" s="2679"/>
      <c r="V428" s="2679"/>
      <c r="W428" s="2679"/>
      <c r="X428" s="2679"/>
      <c r="Y428" s="2679"/>
      <c r="Z428" s="2679"/>
      <c r="AA428" s="2679"/>
      <c r="AB428" s="2679"/>
      <c r="AC428" s="2679"/>
      <c r="AD428" s="2679"/>
      <c r="AE428" s="2679"/>
      <c r="AF428" s="1203"/>
      <c r="AG428" s="1203"/>
      <c r="AH428" s="1203"/>
      <c r="AI428" s="1203"/>
      <c r="AJ428" s="1203"/>
      <c r="AK428" s="1203"/>
      <c r="AL428" s="1204"/>
      <c r="AM428" s="1113"/>
      <c r="AN428" s="979"/>
    </row>
    <row r="429" spans="1:60" s="922" customFormat="1" ht="12.75" customHeight="1">
      <c r="A429" s="906"/>
      <c r="B429" s="51"/>
      <c r="C429" s="1205"/>
      <c r="D429" s="1170"/>
      <c r="E429" s="1157"/>
      <c r="F429" s="2679"/>
      <c r="G429" s="2679"/>
      <c r="H429" s="2679"/>
      <c r="I429" s="2679"/>
      <c r="J429" s="2679"/>
      <c r="K429" s="2679"/>
      <c r="L429" s="2679"/>
      <c r="M429" s="2679"/>
      <c r="N429" s="2679"/>
      <c r="O429" s="2679"/>
      <c r="P429" s="2679"/>
      <c r="Q429" s="2679"/>
      <c r="R429" s="2679"/>
      <c r="S429" s="2679"/>
      <c r="T429" s="2679"/>
      <c r="U429" s="2679"/>
      <c r="V429" s="2679"/>
      <c r="W429" s="2679"/>
      <c r="X429" s="2679"/>
      <c r="Y429" s="2679"/>
      <c r="Z429" s="2679"/>
      <c r="AA429" s="2679"/>
      <c r="AB429" s="2679"/>
      <c r="AC429" s="2679"/>
      <c r="AD429" s="2679"/>
      <c r="AE429" s="2679"/>
      <c r="AF429" s="1203"/>
      <c r="AG429" s="1203"/>
      <c r="AH429" s="1203"/>
      <c r="AI429" s="1203"/>
      <c r="AJ429" s="1203"/>
      <c r="AK429" s="1203"/>
      <c r="AL429" s="1204"/>
      <c r="AM429" s="1113"/>
      <c r="AN429" s="979"/>
    </row>
    <row r="430" spans="1:60" s="922" customFormat="1" ht="17.25" customHeight="1">
      <c r="A430" s="906"/>
      <c r="B430" s="51"/>
      <c r="C430" s="1205"/>
      <c r="D430" s="1170"/>
      <c r="E430" s="1157"/>
      <c r="F430" s="2679"/>
      <c r="G430" s="2679"/>
      <c r="H430" s="2679"/>
      <c r="I430" s="2679"/>
      <c r="J430" s="2679"/>
      <c r="K430" s="2679"/>
      <c r="L430" s="2679"/>
      <c r="M430" s="2679"/>
      <c r="N430" s="2679"/>
      <c r="O430" s="2679"/>
      <c r="P430" s="2679"/>
      <c r="Q430" s="2679"/>
      <c r="R430" s="2679"/>
      <c r="S430" s="2679"/>
      <c r="T430" s="2679"/>
      <c r="U430" s="2679"/>
      <c r="V430" s="2679"/>
      <c r="W430" s="2679"/>
      <c r="X430" s="2679"/>
      <c r="Y430" s="2679"/>
      <c r="Z430" s="2679"/>
      <c r="AA430" s="2679"/>
      <c r="AB430" s="2679"/>
      <c r="AC430" s="2679"/>
      <c r="AD430" s="2679"/>
      <c r="AE430" s="2679"/>
      <c r="AF430" s="1004"/>
      <c r="AG430" s="1004"/>
      <c r="AH430" s="1004"/>
      <c r="AI430" s="1004"/>
      <c r="AJ430" s="1004"/>
      <c r="AK430" s="1004"/>
      <c r="AL430" s="1172"/>
      <c r="AM430" s="1113"/>
      <c r="AN430" s="979"/>
    </row>
    <row r="431" spans="1:60" s="922" customFormat="1" ht="12.75" customHeight="1">
      <c r="A431" s="906"/>
      <c r="B431" s="51"/>
      <c r="C431" s="2688" t="s">
        <v>600</v>
      </c>
      <c r="D431" s="2689"/>
      <c r="E431" s="1157"/>
      <c r="F431" s="1195" t="s">
        <v>1662</v>
      </c>
      <c r="G431" s="1207"/>
      <c r="H431" s="1207"/>
      <c r="I431" s="1207"/>
      <c r="J431" s="1207"/>
      <c r="K431" s="1207"/>
      <c r="L431" s="1207"/>
      <c r="M431" s="1207"/>
      <c r="N431" s="1207"/>
      <c r="O431" s="1207"/>
      <c r="P431" s="1207"/>
      <c r="Q431" s="1207"/>
      <c r="R431" s="1207"/>
      <c r="S431" s="1207"/>
      <c r="T431" s="1207"/>
      <c r="U431" s="1207"/>
      <c r="V431" s="1207"/>
      <c r="W431" s="1207"/>
      <c r="X431" s="1207"/>
      <c r="Y431" s="1207"/>
      <c r="Z431" s="1207"/>
      <c r="AA431" s="1207"/>
      <c r="AB431" s="1207"/>
      <c r="AC431" s="1207"/>
      <c r="AD431" s="1207"/>
      <c r="AE431" s="1004"/>
      <c r="AF431" s="2785" t="s">
        <v>1637</v>
      </c>
      <c r="AG431" s="2785"/>
      <c r="AH431" s="2785"/>
      <c r="AI431" s="2785"/>
      <c r="AJ431" s="2785"/>
      <c r="AK431" s="2785"/>
      <c r="AL431" s="2786"/>
      <c r="AM431" s="1113"/>
      <c r="AN431" s="979"/>
    </row>
    <row r="432" spans="1:60" s="922" customFormat="1" ht="12.75" customHeight="1">
      <c r="A432" s="906"/>
      <c r="B432" s="51"/>
      <c r="C432" s="1184"/>
      <c r="D432" s="1167"/>
      <c r="E432" s="1164"/>
      <c r="F432" s="1182"/>
      <c r="G432" s="1166"/>
      <c r="H432" s="1166"/>
      <c r="I432" s="1166"/>
      <c r="J432" s="1166"/>
      <c r="K432" s="1166"/>
      <c r="L432" s="1166"/>
      <c r="M432" s="1166"/>
      <c r="N432" s="1166"/>
      <c r="O432" s="1166"/>
      <c r="P432" s="1166"/>
      <c r="Q432" s="1166"/>
      <c r="R432" s="1166"/>
      <c r="S432" s="1166"/>
      <c r="T432" s="1166"/>
      <c r="U432" s="1166"/>
      <c r="V432" s="1166"/>
      <c r="W432" s="1166"/>
      <c r="X432" s="1166"/>
      <c r="Y432" s="1166"/>
      <c r="Z432" s="1166"/>
      <c r="AA432" s="1166"/>
      <c r="AB432" s="1166"/>
      <c r="AC432" s="1166"/>
      <c r="AD432" s="1166"/>
      <c r="AE432" s="1167"/>
      <c r="AF432" s="1167"/>
      <c r="AG432" s="1167"/>
      <c r="AH432" s="1167"/>
      <c r="AI432" s="1167"/>
      <c r="AJ432" s="1167"/>
      <c r="AK432" s="1167"/>
      <c r="AL432" s="1183"/>
      <c r="AM432" s="1113"/>
      <c r="AN432" s="979"/>
    </row>
    <row r="433" spans="1:54" s="922" customFormat="1" ht="12.75" customHeight="1">
      <c r="A433" s="906"/>
      <c r="B433" s="51"/>
      <c r="C433" s="1170"/>
      <c r="D433" s="1170"/>
      <c r="E433" s="1157"/>
      <c r="F433" s="1202"/>
      <c r="G433" s="1185"/>
      <c r="H433" s="1185"/>
      <c r="I433" s="1185"/>
      <c r="J433" s="1185"/>
      <c r="K433" s="1185"/>
      <c r="L433" s="1185"/>
      <c r="M433" s="1185"/>
      <c r="N433" s="1185"/>
      <c r="O433" s="1185"/>
      <c r="P433" s="1185"/>
      <c r="Q433" s="1185"/>
      <c r="R433" s="1185"/>
      <c r="S433" s="1185"/>
      <c r="T433" s="1185"/>
      <c r="U433" s="1185"/>
      <c r="V433" s="1185"/>
      <c r="W433" s="1185"/>
      <c r="X433" s="1185"/>
      <c r="Y433" s="1185"/>
      <c r="Z433" s="1185"/>
      <c r="AA433" s="1185"/>
      <c r="AB433" s="1185"/>
      <c r="AC433" s="1185"/>
      <c r="AD433" s="1185"/>
      <c r="AE433" s="964"/>
      <c r="AF433" s="964"/>
      <c r="AG433" s="964"/>
      <c r="AH433" s="964"/>
      <c r="AI433" s="964"/>
      <c r="AJ433" s="964"/>
      <c r="AK433" s="964"/>
      <c r="AL433" s="964"/>
      <c r="AM433" s="1113"/>
      <c r="AN433" s="979"/>
    </row>
    <row r="434" spans="1:54" s="922" customFormat="1" ht="12.75" customHeight="1">
      <c r="A434" s="906"/>
      <c r="B434" s="51"/>
      <c r="C434" s="1151"/>
      <c r="D434" s="1152"/>
      <c r="E434" s="1153" t="s">
        <v>1663</v>
      </c>
      <c r="F434" s="2678" t="s">
        <v>1664</v>
      </c>
      <c r="G434" s="2678"/>
      <c r="H434" s="2678"/>
      <c r="I434" s="2678"/>
      <c r="J434" s="2678"/>
      <c r="K434" s="2678"/>
      <c r="L434" s="2678"/>
      <c r="M434" s="2678"/>
      <c r="N434" s="2678"/>
      <c r="O434" s="2678"/>
      <c r="P434" s="2678"/>
      <c r="Q434" s="2678"/>
      <c r="R434" s="2678"/>
      <c r="S434" s="2678"/>
      <c r="T434" s="2678"/>
      <c r="U434" s="2678"/>
      <c r="V434" s="2678"/>
      <c r="W434" s="2678"/>
      <c r="X434" s="2678"/>
      <c r="Y434" s="2678"/>
      <c r="Z434" s="2678"/>
      <c r="AA434" s="2678"/>
      <c r="AB434" s="2678"/>
      <c r="AC434" s="2678"/>
      <c r="AD434" s="2678"/>
      <c r="AE434" s="2678"/>
      <c r="AF434" s="1152"/>
      <c r="AG434" s="1152"/>
      <c r="AH434" s="1152"/>
      <c r="AI434" s="1152"/>
      <c r="AJ434" s="1152"/>
      <c r="AK434" s="1152"/>
      <c r="AL434" s="1188"/>
      <c r="AM434" s="1113"/>
      <c r="AN434" s="979"/>
      <c r="AO434" s="922" t="s">
        <v>600</v>
      </c>
      <c r="AP434" s="1004">
        <v>0</v>
      </c>
      <c r="AQ434" s="1208"/>
      <c r="AR434" s="981"/>
      <c r="AS434" s="981"/>
      <c r="AT434" s="981"/>
      <c r="AU434" s="981"/>
      <c r="AV434" s="981"/>
      <c r="AW434" s="981"/>
      <c r="AX434" s="981"/>
      <c r="AY434" s="981"/>
      <c r="AZ434" s="981"/>
      <c r="BA434" s="981"/>
      <c r="BB434" s="981"/>
    </row>
    <row r="435" spans="1:54" s="922" customFormat="1" ht="12.75" customHeight="1">
      <c r="A435" s="906"/>
      <c r="B435" s="51"/>
      <c r="C435" s="1205"/>
      <c r="D435" s="1170"/>
      <c r="E435" s="1157"/>
      <c r="F435" s="2679"/>
      <c r="G435" s="2679"/>
      <c r="H435" s="2679"/>
      <c r="I435" s="2679"/>
      <c r="J435" s="2679"/>
      <c r="K435" s="2679"/>
      <c r="L435" s="2679"/>
      <c r="M435" s="2679"/>
      <c r="N435" s="2679"/>
      <c r="O435" s="2679"/>
      <c r="P435" s="2679"/>
      <c r="Q435" s="2679"/>
      <c r="R435" s="2679"/>
      <c r="S435" s="2679"/>
      <c r="T435" s="2679"/>
      <c r="U435" s="2679"/>
      <c r="V435" s="2679"/>
      <c r="W435" s="2679"/>
      <c r="X435" s="2679"/>
      <c r="Y435" s="2679"/>
      <c r="Z435" s="2679"/>
      <c r="AA435" s="2679"/>
      <c r="AB435" s="2679"/>
      <c r="AC435" s="2679"/>
      <c r="AD435" s="2679"/>
      <c r="AE435" s="2679"/>
      <c r="AF435" s="1209"/>
      <c r="AG435" s="1209"/>
      <c r="AH435" s="1209"/>
      <c r="AI435" s="1209"/>
      <c r="AJ435" s="1209"/>
      <c r="AK435" s="1209"/>
      <c r="AL435" s="1159"/>
      <c r="AM435" s="1113"/>
      <c r="AN435" s="979"/>
      <c r="AO435" s="922" t="s">
        <v>1665</v>
      </c>
      <c r="AP435" s="922">
        <v>5</v>
      </c>
      <c r="AQ435" s="1208"/>
    </row>
    <row r="436" spans="1:54" s="922" customFormat="1" ht="12.75" customHeight="1">
      <c r="A436" s="906"/>
      <c r="B436" s="51"/>
      <c r="C436" s="1205"/>
      <c r="D436" s="1170"/>
      <c r="E436" s="1157"/>
      <c r="F436" s="2679"/>
      <c r="G436" s="2679"/>
      <c r="H436" s="2679"/>
      <c r="I436" s="2679"/>
      <c r="J436" s="2679"/>
      <c r="K436" s="2679"/>
      <c r="L436" s="2679"/>
      <c r="M436" s="2679"/>
      <c r="N436" s="2679"/>
      <c r="O436" s="2679"/>
      <c r="P436" s="2679"/>
      <c r="Q436" s="2679"/>
      <c r="R436" s="2679"/>
      <c r="S436" s="2679"/>
      <c r="T436" s="2679"/>
      <c r="U436" s="2679"/>
      <c r="V436" s="2679"/>
      <c r="W436" s="2679"/>
      <c r="X436" s="2679"/>
      <c r="Y436" s="2679"/>
      <c r="Z436" s="2679"/>
      <c r="AA436" s="2679"/>
      <c r="AB436" s="2679"/>
      <c r="AC436" s="2679"/>
      <c r="AD436" s="2679"/>
      <c r="AE436" s="2679"/>
      <c r="AF436" s="1209"/>
      <c r="AG436" s="1209"/>
      <c r="AH436" s="1209"/>
      <c r="AI436" s="1209"/>
      <c r="AJ436" s="1209"/>
      <c r="AK436" s="1209"/>
      <c r="AL436" s="1159"/>
      <c r="AM436" s="1113"/>
      <c r="AN436" s="979"/>
      <c r="AO436" s="922" t="s">
        <v>1666</v>
      </c>
      <c r="AP436" s="922">
        <v>5</v>
      </c>
      <c r="AQ436" s="1210"/>
    </row>
    <row r="437" spans="1:54" s="922" customFormat="1" ht="12.75" customHeight="1">
      <c r="A437" s="906"/>
      <c r="B437" s="51"/>
      <c r="C437" s="1205"/>
      <c r="D437" s="1170"/>
      <c r="E437" s="1157"/>
      <c r="F437" s="2679"/>
      <c r="G437" s="2679"/>
      <c r="H437" s="2679"/>
      <c r="I437" s="2679"/>
      <c r="J437" s="2679"/>
      <c r="K437" s="2679"/>
      <c r="L437" s="2679"/>
      <c r="M437" s="2679"/>
      <c r="N437" s="2679"/>
      <c r="O437" s="2679"/>
      <c r="P437" s="2679"/>
      <c r="Q437" s="2679"/>
      <c r="R437" s="2679"/>
      <c r="S437" s="2679"/>
      <c r="T437" s="2679"/>
      <c r="U437" s="2679"/>
      <c r="V437" s="2679"/>
      <c r="W437" s="2679"/>
      <c r="X437" s="2679"/>
      <c r="Y437" s="2679"/>
      <c r="Z437" s="2679"/>
      <c r="AA437" s="2679"/>
      <c r="AB437" s="2679"/>
      <c r="AC437" s="2679"/>
      <c r="AD437" s="2679"/>
      <c r="AE437" s="2679"/>
      <c r="AF437" s="1004"/>
      <c r="AG437" s="1004"/>
      <c r="AH437" s="1004"/>
      <c r="AI437" s="1004"/>
      <c r="AJ437" s="1004"/>
      <c r="AK437" s="1004"/>
      <c r="AL437" s="1172"/>
      <c r="AM437" s="1113"/>
      <c r="AN437" s="979"/>
      <c r="AO437" s="922" t="s">
        <v>1667</v>
      </c>
      <c r="AP437" s="922">
        <v>5</v>
      </c>
      <c r="AQ437" s="1211"/>
    </row>
    <row r="438" spans="1:54" s="1004" customFormat="1" ht="12.75" customHeight="1">
      <c r="A438" s="906"/>
      <c r="B438" s="51"/>
      <c r="C438" s="2688" t="s">
        <v>600</v>
      </c>
      <c r="D438" s="2689"/>
      <c r="E438" s="1157"/>
      <c r="F438" s="1160" t="s">
        <v>1668</v>
      </c>
      <c r="G438" s="1161"/>
      <c r="H438" s="1161"/>
      <c r="I438" s="1161"/>
      <c r="J438" s="1161"/>
      <c r="K438" s="1161"/>
      <c r="L438" s="1161"/>
      <c r="M438" s="1161"/>
      <c r="N438" s="1161"/>
      <c r="O438" s="1161"/>
      <c r="P438" s="1161"/>
      <c r="Q438" s="1161"/>
      <c r="R438" s="1161"/>
      <c r="S438" s="1161"/>
      <c r="T438" s="1161"/>
      <c r="U438" s="1161"/>
      <c r="V438" s="1161"/>
      <c r="W438" s="1161"/>
      <c r="X438" s="1161"/>
      <c r="Y438" s="1161"/>
      <c r="Z438" s="1161"/>
      <c r="AA438" s="1161"/>
      <c r="AB438" s="1161"/>
      <c r="AC438" s="1161"/>
      <c r="AD438" s="1161"/>
      <c r="AF438" s="2785" t="s">
        <v>1637</v>
      </c>
      <c r="AG438" s="2785"/>
      <c r="AH438" s="2785"/>
      <c r="AI438" s="2785"/>
      <c r="AJ438" s="2785"/>
      <c r="AK438" s="2785"/>
      <c r="AL438" s="2786"/>
      <c r="AM438" s="1113"/>
      <c r="AN438" s="1212"/>
      <c r="AO438" s="922" t="s">
        <v>1669</v>
      </c>
      <c r="AP438" s="922">
        <v>5</v>
      </c>
      <c r="AQ438" s="922"/>
      <c r="AR438" s="922"/>
      <c r="AS438" s="922"/>
      <c r="AT438" s="922"/>
      <c r="AU438" s="922"/>
      <c r="AV438" s="922"/>
      <c r="AW438" s="922"/>
      <c r="AX438" s="922"/>
      <c r="AY438" s="922"/>
      <c r="AZ438" s="922"/>
      <c r="BA438" s="922"/>
      <c r="BB438" s="922"/>
    </row>
    <row r="439" spans="1:54" s="922" customFormat="1" ht="12.75" customHeight="1">
      <c r="A439" s="906"/>
      <c r="B439" s="51"/>
      <c r="C439" s="1205"/>
      <c r="D439" s="1170"/>
      <c r="E439" s="1157"/>
      <c r="F439" s="1160"/>
      <c r="G439" s="1161"/>
      <c r="H439" s="1161"/>
      <c r="I439" s="1161"/>
      <c r="J439" s="1161"/>
      <c r="K439" s="1161"/>
      <c r="L439" s="1161"/>
      <c r="M439" s="1161"/>
      <c r="N439" s="1161"/>
      <c r="O439" s="1161"/>
      <c r="P439" s="1161"/>
      <c r="Q439" s="1161"/>
      <c r="R439" s="1161"/>
      <c r="S439" s="1161"/>
      <c r="T439" s="1161"/>
      <c r="U439" s="1161"/>
      <c r="V439" s="1161"/>
      <c r="W439" s="1161"/>
      <c r="X439" s="1161"/>
      <c r="Y439" s="1161"/>
      <c r="Z439" s="1161"/>
      <c r="AA439" s="1161"/>
      <c r="AB439" s="1161"/>
      <c r="AC439" s="1161"/>
      <c r="AD439" s="1161"/>
      <c r="AE439" s="1209"/>
      <c r="AF439" s="1004"/>
      <c r="AG439" s="1004"/>
      <c r="AH439" s="1004"/>
      <c r="AI439" s="1004"/>
      <c r="AJ439" s="1004"/>
      <c r="AK439" s="1004"/>
      <c r="AL439" s="1172"/>
      <c r="AM439" s="1113"/>
      <c r="AN439" s="1212"/>
      <c r="AO439" s="922" t="s">
        <v>1670</v>
      </c>
      <c r="AP439" s="922">
        <v>5</v>
      </c>
    </row>
    <row r="440" spans="1:54" s="922" customFormat="1" ht="12.75" customHeight="1">
      <c r="A440" s="906"/>
      <c r="B440" s="51"/>
      <c r="C440" s="1181"/>
      <c r="D440" s="1173"/>
      <c r="E440" s="1174"/>
      <c r="F440" s="1167" t="s">
        <v>1644</v>
      </c>
      <c r="G440" s="1175"/>
      <c r="H440" s="1175"/>
      <c r="I440" s="1175"/>
      <c r="J440" s="1175"/>
      <c r="K440" s="1175"/>
      <c r="L440" s="1175"/>
      <c r="M440" s="1175"/>
      <c r="N440" s="1175"/>
      <c r="O440" s="1175"/>
      <c r="P440" s="1175"/>
      <c r="Q440" s="1175"/>
      <c r="R440" s="1175"/>
      <c r="S440" s="1175"/>
      <c r="T440" s="1175"/>
      <c r="U440" s="1175"/>
      <c r="V440" s="1175"/>
      <c r="W440" s="1175"/>
      <c r="X440" s="1175"/>
      <c r="Y440" s="1175"/>
      <c r="Z440" s="1175"/>
      <c r="AA440" s="1175"/>
      <c r="AB440" s="1175"/>
      <c r="AC440" s="1175"/>
      <c r="AD440" s="1175"/>
      <c r="AE440" s="1177"/>
      <c r="AF440" s="956"/>
      <c r="AG440" s="1177"/>
      <c r="AH440" s="1167"/>
      <c r="AI440" s="1167"/>
      <c r="AJ440" s="1167"/>
      <c r="AK440" s="1167"/>
      <c r="AL440" s="1183"/>
      <c r="AM440" s="1113"/>
      <c r="AN440" s="1212"/>
      <c r="AO440" s="922" t="s">
        <v>1671</v>
      </c>
      <c r="AP440" s="922">
        <v>5</v>
      </c>
    </row>
    <row r="441" spans="1:54" s="922" customFormat="1" ht="12.75" customHeight="1">
      <c r="A441" s="906"/>
      <c r="B441" s="51"/>
      <c r="C441" s="1170"/>
      <c r="D441" s="1170"/>
      <c r="E441" s="1157"/>
      <c r="F441" s="1202"/>
      <c r="G441" s="1185"/>
      <c r="H441" s="1185"/>
      <c r="I441" s="1185"/>
      <c r="J441" s="1185"/>
      <c r="K441" s="1185"/>
      <c r="L441" s="1185"/>
      <c r="M441" s="1185"/>
      <c r="N441" s="1185"/>
      <c r="O441" s="1185"/>
      <c r="P441" s="1185"/>
      <c r="Q441" s="1185"/>
      <c r="R441" s="1185"/>
      <c r="S441" s="1185"/>
      <c r="T441" s="1185"/>
      <c r="U441" s="1185"/>
      <c r="V441" s="1185"/>
      <c r="W441" s="1185"/>
      <c r="X441" s="1185"/>
      <c r="Y441" s="1185"/>
      <c r="Z441" s="1185"/>
      <c r="AA441" s="1185"/>
      <c r="AB441" s="1185"/>
      <c r="AC441" s="1185"/>
      <c r="AD441" s="1185"/>
      <c r="AE441" s="964"/>
      <c r="AM441" s="1113"/>
      <c r="AN441" s="1212"/>
      <c r="AO441" s="922" t="s">
        <v>1672</v>
      </c>
      <c r="AP441" s="922">
        <v>5</v>
      </c>
    </row>
    <row r="442" spans="1:54" s="981" customFormat="1" ht="12.75" customHeight="1">
      <c r="A442" s="906"/>
      <c r="B442" s="51"/>
      <c r="C442" s="2815" t="s">
        <v>600</v>
      </c>
      <c r="D442" s="2816"/>
      <c r="E442" s="1153" t="s">
        <v>1673</v>
      </c>
      <c r="F442" s="2678" t="s">
        <v>1674</v>
      </c>
      <c r="G442" s="2678"/>
      <c r="H442" s="2678"/>
      <c r="I442" s="2678"/>
      <c r="J442" s="2678"/>
      <c r="K442" s="2678"/>
      <c r="L442" s="2678"/>
      <c r="M442" s="2678"/>
      <c r="N442" s="2678"/>
      <c r="O442" s="2678"/>
      <c r="P442" s="2678"/>
      <c r="Q442" s="2678"/>
      <c r="R442" s="2678"/>
      <c r="S442" s="2678"/>
      <c r="T442" s="2678"/>
      <c r="U442" s="2678"/>
      <c r="V442" s="2678"/>
      <c r="W442" s="2678"/>
      <c r="X442" s="2678"/>
      <c r="Y442" s="2678"/>
      <c r="Z442" s="2678"/>
      <c r="AA442" s="2678"/>
      <c r="AB442" s="2678"/>
      <c r="AC442" s="2678"/>
      <c r="AD442" s="2678"/>
      <c r="AE442" s="2678"/>
      <c r="AF442" s="2779" t="s">
        <v>1637</v>
      </c>
      <c r="AG442" s="2779"/>
      <c r="AH442" s="2779"/>
      <c r="AI442" s="2779"/>
      <c r="AJ442" s="2779"/>
      <c r="AK442" s="2779"/>
      <c r="AL442" s="2780"/>
      <c r="AM442" s="1113"/>
      <c r="AN442" s="1212"/>
      <c r="AO442" s="922" t="s">
        <v>1675</v>
      </c>
      <c r="AP442" s="922">
        <v>1</v>
      </c>
      <c r="AQ442" s="922"/>
      <c r="AR442" s="922"/>
      <c r="AS442" s="922"/>
      <c r="AT442" s="922"/>
      <c r="AU442" s="922"/>
      <c r="AV442" s="922"/>
      <c r="AW442" s="922"/>
      <c r="AX442" s="922"/>
      <c r="AY442" s="922"/>
      <c r="AZ442" s="922"/>
      <c r="BA442" s="922"/>
      <c r="BB442" s="922"/>
    </row>
    <row r="443" spans="1:54" s="981" customFormat="1" ht="12.75" customHeight="1">
      <c r="A443" s="906"/>
      <c r="B443" s="51"/>
      <c r="C443" s="1205"/>
      <c r="D443" s="1170"/>
      <c r="E443" s="1157"/>
      <c r="F443" s="2679"/>
      <c r="G443" s="2679"/>
      <c r="H443" s="2679"/>
      <c r="I443" s="2679"/>
      <c r="J443" s="2679"/>
      <c r="K443" s="2679"/>
      <c r="L443" s="2679"/>
      <c r="M443" s="2679"/>
      <c r="N443" s="2679"/>
      <c r="O443" s="2679"/>
      <c r="P443" s="2679"/>
      <c r="Q443" s="2679"/>
      <c r="R443" s="2679"/>
      <c r="S443" s="2679"/>
      <c r="T443" s="2679"/>
      <c r="U443" s="2679"/>
      <c r="V443" s="2679"/>
      <c r="W443" s="2679"/>
      <c r="X443" s="2679"/>
      <c r="Y443" s="2679"/>
      <c r="Z443" s="2679"/>
      <c r="AA443" s="2679"/>
      <c r="AB443" s="2679"/>
      <c r="AC443" s="2679"/>
      <c r="AD443" s="2679"/>
      <c r="AE443" s="2679"/>
      <c r="AF443" s="1209"/>
      <c r="AG443" s="1209"/>
      <c r="AH443" s="1209"/>
      <c r="AI443" s="1209"/>
      <c r="AJ443" s="1209"/>
      <c r="AK443" s="1209"/>
      <c r="AL443" s="1159"/>
      <c r="AM443" s="1113"/>
      <c r="AN443" s="1213"/>
      <c r="AO443" s="922"/>
      <c r="AP443" s="922"/>
      <c r="AQ443" s="922"/>
      <c r="AR443" s="922"/>
      <c r="AS443" s="1214"/>
      <c r="AT443" s="922"/>
      <c r="AU443" s="922"/>
      <c r="AV443" s="922"/>
      <c r="AW443" s="1214" t="s">
        <v>1676</v>
      </c>
      <c r="AX443" s="922"/>
      <c r="AY443" s="922"/>
      <c r="AZ443" s="922"/>
      <c r="BA443" s="1214" t="s">
        <v>1677</v>
      </c>
      <c r="BB443" s="922"/>
    </row>
    <row r="444" spans="1:54" s="922" customFormat="1" ht="17.649999999999999" customHeight="1">
      <c r="A444" s="906"/>
      <c r="B444" s="51"/>
      <c r="C444" s="1215"/>
      <c r="D444" s="1163"/>
      <c r="E444" s="1164"/>
      <c r="F444" s="2778"/>
      <c r="G444" s="2778"/>
      <c r="H444" s="2778"/>
      <c r="I444" s="2778"/>
      <c r="J444" s="2778"/>
      <c r="K444" s="2778"/>
      <c r="L444" s="2778"/>
      <c r="M444" s="2778"/>
      <c r="N444" s="2778"/>
      <c r="O444" s="2778"/>
      <c r="P444" s="2778"/>
      <c r="Q444" s="2778"/>
      <c r="R444" s="2778"/>
      <c r="S444" s="2778"/>
      <c r="T444" s="2778"/>
      <c r="U444" s="2778"/>
      <c r="V444" s="2778"/>
      <c r="W444" s="2778"/>
      <c r="X444" s="2778"/>
      <c r="Y444" s="2778"/>
      <c r="Z444" s="2778"/>
      <c r="AA444" s="2778"/>
      <c r="AB444" s="2778"/>
      <c r="AC444" s="2778"/>
      <c r="AD444" s="2778"/>
      <c r="AE444" s="2778"/>
      <c r="AF444" s="1168"/>
      <c r="AG444" s="1168"/>
      <c r="AH444" s="1168"/>
      <c r="AI444" s="1168"/>
      <c r="AJ444" s="1168"/>
      <c r="AK444" s="1168"/>
      <c r="AL444" s="1216"/>
      <c r="AM444" s="1113"/>
      <c r="AN444" s="1217"/>
      <c r="AO444" s="922" t="s">
        <v>600</v>
      </c>
      <c r="AP444" s="1047">
        <v>0</v>
      </c>
      <c r="AR444" s="922" t="s">
        <v>600</v>
      </c>
      <c r="AS444" s="1047">
        <v>0</v>
      </c>
      <c r="AT444" s="1218"/>
      <c r="AW444" s="922" t="s">
        <v>600</v>
      </c>
      <c r="AX444" s="1218">
        <v>0</v>
      </c>
      <c r="BA444" s="922" t="s">
        <v>600</v>
      </c>
      <c r="BB444" s="1218">
        <v>0</v>
      </c>
    </row>
    <row r="445" spans="1:54" s="922" customFormat="1" ht="12.75" customHeight="1">
      <c r="A445" s="906"/>
      <c r="B445" s="51"/>
      <c r="C445" s="1170"/>
      <c r="D445" s="1170"/>
      <c r="E445" s="1157"/>
      <c r="F445" s="1202"/>
      <c r="G445" s="1185"/>
      <c r="H445" s="1185"/>
      <c r="I445" s="1185"/>
      <c r="J445" s="1185"/>
      <c r="K445" s="1185"/>
      <c r="L445" s="1185"/>
      <c r="M445" s="1185"/>
      <c r="N445" s="1185"/>
      <c r="O445" s="1185"/>
      <c r="P445" s="1185"/>
      <c r="Q445" s="1185"/>
      <c r="R445" s="1185"/>
      <c r="S445" s="1185"/>
      <c r="T445" s="1185"/>
      <c r="U445" s="1185"/>
      <c r="V445" s="1185"/>
      <c r="W445" s="1185"/>
      <c r="X445" s="1185"/>
      <c r="Y445" s="1185"/>
      <c r="Z445" s="1185"/>
      <c r="AA445" s="1185"/>
      <c r="AB445" s="1185"/>
      <c r="AC445" s="1185"/>
      <c r="AD445" s="1185"/>
      <c r="AE445" s="964"/>
      <c r="AM445" s="1113"/>
      <c r="AN445" s="1219"/>
      <c r="AO445" s="1220">
        <v>7.0000000000000007E-2</v>
      </c>
      <c r="AP445" s="1047">
        <v>3</v>
      </c>
      <c r="AR445" s="922" t="s">
        <v>1678</v>
      </c>
      <c r="AS445" s="1047">
        <v>3</v>
      </c>
      <c r="AT445" s="1218"/>
      <c r="AW445" s="1220">
        <v>0.4</v>
      </c>
      <c r="AX445" s="1218">
        <v>3</v>
      </c>
      <c r="BA445" s="1220">
        <v>0.4</v>
      </c>
      <c r="BB445" s="1218">
        <v>4</v>
      </c>
    </row>
    <row r="446" spans="1:54" s="922" customFormat="1" ht="12.75" customHeight="1">
      <c r="A446" s="906"/>
      <c r="B446" s="51"/>
      <c r="C446" s="2688" t="s">
        <v>600</v>
      </c>
      <c r="D446" s="2689"/>
      <c r="E446" s="1153" t="s">
        <v>1679</v>
      </c>
      <c r="F446" s="2678" t="s">
        <v>1680</v>
      </c>
      <c r="G446" s="2678"/>
      <c r="H446" s="2678"/>
      <c r="I446" s="2678"/>
      <c r="J446" s="2678"/>
      <c r="K446" s="2678"/>
      <c r="L446" s="2678"/>
      <c r="M446" s="2678"/>
      <c r="N446" s="2678"/>
      <c r="O446" s="2678"/>
      <c r="P446" s="2678"/>
      <c r="Q446" s="2678"/>
      <c r="R446" s="2678"/>
      <c r="S446" s="2678"/>
      <c r="T446" s="2678"/>
      <c r="U446" s="2678"/>
      <c r="V446" s="2678"/>
      <c r="W446" s="2678"/>
      <c r="X446" s="2678"/>
      <c r="Y446" s="2678"/>
      <c r="Z446" s="2678"/>
      <c r="AA446" s="2678"/>
      <c r="AB446" s="2678"/>
      <c r="AC446" s="2678"/>
      <c r="AD446" s="2678"/>
      <c r="AE446" s="2678"/>
      <c r="AF446" s="2779" t="s">
        <v>1637</v>
      </c>
      <c r="AG446" s="2779"/>
      <c r="AH446" s="2779"/>
      <c r="AI446" s="2779"/>
      <c r="AJ446" s="2779"/>
      <c r="AK446" s="2779"/>
      <c r="AL446" s="2780"/>
      <c r="AM446" s="1113"/>
      <c r="AN446" s="1219"/>
      <c r="AO446" s="1220">
        <v>0.12</v>
      </c>
      <c r="AP446" s="1047">
        <v>5</v>
      </c>
      <c r="AR446" s="922" t="s">
        <v>1681</v>
      </c>
      <c r="AS446" s="1047">
        <v>5</v>
      </c>
      <c r="AT446" s="1218"/>
      <c r="AW446" s="1220">
        <v>0.6</v>
      </c>
      <c r="AX446" s="1218">
        <v>4</v>
      </c>
      <c r="BA446" s="1220">
        <v>0.6</v>
      </c>
      <c r="BB446" s="1218">
        <v>5</v>
      </c>
    </row>
    <row r="447" spans="1:54" s="922" customFormat="1" ht="12.75" customHeight="1">
      <c r="A447" s="906"/>
      <c r="B447" s="51"/>
      <c r="C447" s="1171"/>
      <c r="D447" s="112"/>
      <c r="E447" s="1125"/>
      <c r="F447" s="2679"/>
      <c r="G447" s="2679"/>
      <c r="H447" s="2679"/>
      <c r="I447" s="2679"/>
      <c r="J447" s="2679"/>
      <c r="K447" s="2679"/>
      <c r="L447" s="2679"/>
      <c r="M447" s="2679"/>
      <c r="N447" s="2679"/>
      <c r="O447" s="2679"/>
      <c r="P447" s="2679"/>
      <c r="Q447" s="2679"/>
      <c r="R447" s="2679"/>
      <c r="S447" s="2679"/>
      <c r="T447" s="2679"/>
      <c r="U447" s="2679"/>
      <c r="V447" s="2679"/>
      <c r="W447" s="2679"/>
      <c r="X447" s="2679"/>
      <c r="Y447" s="2679"/>
      <c r="Z447" s="2679"/>
      <c r="AA447" s="2679"/>
      <c r="AB447" s="2679"/>
      <c r="AC447" s="2679"/>
      <c r="AD447" s="2679"/>
      <c r="AE447" s="2679"/>
      <c r="AF447" s="1192"/>
      <c r="AG447" s="970"/>
      <c r="AH447" s="1004"/>
      <c r="AI447" s="1004"/>
      <c r="AJ447" s="1004"/>
      <c r="AK447" s="1004"/>
      <c r="AL447" s="1172"/>
      <c r="AM447" s="1113"/>
      <c r="AN447" s="1219"/>
      <c r="AO447" s="1220"/>
      <c r="AP447" s="1218"/>
      <c r="AS447" s="1220"/>
      <c r="AT447" s="1218"/>
      <c r="AW447" s="1220">
        <v>0.8</v>
      </c>
      <c r="AX447" s="1218">
        <v>5</v>
      </c>
      <c r="BA447" s="1220"/>
      <c r="BB447" s="1218"/>
    </row>
    <row r="448" spans="1:54" s="922" customFormat="1" ht="12.75" customHeight="1">
      <c r="A448" s="906"/>
      <c r="B448" s="51"/>
      <c r="C448" s="1171"/>
      <c r="D448" s="112"/>
      <c r="E448" s="1125"/>
      <c r="F448" s="2679"/>
      <c r="G448" s="2679"/>
      <c r="H448" s="2679"/>
      <c r="I448" s="2679"/>
      <c r="J448" s="2679"/>
      <c r="K448" s="2679"/>
      <c r="L448" s="2679"/>
      <c r="M448" s="2679"/>
      <c r="N448" s="2679"/>
      <c r="O448" s="2679"/>
      <c r="P448" s="2679"/>
      <c r="Q448" s="2679"/>
      <c r="R448" s="2679"/>
      <c r="S448" s="2679"/>
      <c r="T448" s="2679"/>
      <c r="U448" s="2679"/>
      <c r="V448" s="2679"/>
      <c r="W448" s="2679"/>
      <c r="X448" s="2679"/>
      <c r="Y448" s="2679"/>
      <c r="Z448" s="2679"/>
      <c r="AA448" s="2679"/>
      <c r="AB448" s="2679"/>
      <c r="AC448" s="2679"/>
      <c r="AD448" s="2679"/>
      <c r="AE448" s="2679"/>
      <c r="AF448" s="1192"/>
      <c r="AG448" s="970"/>
      <c r="AH448" s="1004"/>
      <c r="AI448" s="1004"/>
      <c r="AJ448" s="1004"/>
      <c r="AK448" s="1004"/>
      <c r="AL448" s="1172"/>
      <c r="AM448" s="1113"/>
      <c r="AN448" s="1219"/>
      <c r="AO448" s="922" t="s">
        <v>600</v>
      </c>
      <c r="AP448" s="1047">
        <v>0</v>
      </c>
      <c r="AW448" s="1220"/>
      <c r="AX448" s="1218"/>
    </row>
    <row r="449" spans="1:49" s="922" customFormat="1" ht="12.75" customHeight="1">
      <c r="A449" s="906"/>
      <c r="B449" s="51"/>
      <c r="C449" s="1215"/>
      <c r="D449" s="1163"/>
      <c r="E449" s="1164"/>
      <c r="F449" s="2778"/>
      <c r="G449" s="2778"/>
      <c r="H449" s="2778"/>
      <c r="I449" s="2778"/>
      <c r="J449" s="2778"/>
      <c r="K449" s="2778"/>
      <c r="L449" s="2778"/>
      <c r="M449" s="2778"/>
      <c r="N449" s="2778"/>
      <c r="O449" s="2778"/>
      <c r="P449" s="2778"/>
      <c r="Q449" s="2778"/>
      <c r="R449" s="2778"/>
      <c r="S449" s="2778"/>
      <c r="T449" s="2778"/>
      <c r="U449" s="2778"/>
      <c r="V449" s="2778"/>
      <c r="W449" s="2778"/>
      <c r="X449" s="2778"/>
      <c r="Y449" s="2778"/>
      <c r="Z449" s="2778"/>
      <c r="AA449" s="2778"/>
      <c r="AB449" s="2778"/>
      <c r="AC449" s="2778"/>
      <c r="AD449" s="2778"/>
      <c r="AE449" s="2778"/>
      <c r="AF449" s="1168"/>
      <c r="AG449" s="1168"/>
      <c r="AH449" s="1168"/>
      <c r="AI449" s="1168"/>
      <c r="AJ449" s="1168"/>
      <c r="AK449" s="1168"/>
      <c r="AL449" s="1216"/>
      <c r="AM449" s="1113"/>
      <c r="AN449" s="979"/>
      <c r="AO449" s="1220">
        <v>0.09</v>
      </c>
      <c r="AP449" s="1047">
        <v>3</v>
      </c>
      <c r="AS449" s="1214"/>
    </row>
    <row r="450" spans="1:49" s="922" customFormat="1" ht="12.75" customHeight="1">
      <c r="A450" s="906"/>
      <c r="B450" s="51"/>
      <c r="C450" s="1004"/>
      <c r="D450" s="1004"/>
      <c r="E450" s="1004"/>
      <c r="F450" s="1004"/>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c r="AA450" s="1194"/>
      <c r="AB450" s="1194"/>
      <c r="AC450" s="1194"/>
      <c r="AD450" s="1194"/>
      <c r="AE450" s="1004"/>
      <c r="AF450" s="1004"/>
      <c r="AG450" s="1004"/>
      <c r="AH450" s="1004"/>
      <c r="AI450" s="1004"/>
      <c r="AJ450" s="1004"/>
      <c r="AK450" s="1004"/>
      <c r="AL450" s="1004"/>
      <c r="AM450" s="1113"/>
      <c r="AN450" s="979"/>
      <c r="AO450" s="1220">
        <v>0.15</v>
      </c>
      <c r="AP450" s="1047">
        <v>5</v>
      </c>
    </row>
    <row r="451" spans="1:49" s="922" customFormat="1" ht="12.75" customHeight="1">
      <c r="A451" s="906"/>
      <c r="B451" s="51"/>
      <c r="C451" s="1221"/>
      <c r="D451" s="1222"/>
      <c r="E451" s="1153" t="s">
        <v>1682</v>
      </c>
      <c r="F451" s="2781" t="s">
        <v>1683</v>
      </c>
      <c r="G451" s="2781"/>
      <c r="H451" s="2781"/>
      <c r="I451" s="2781"/>
      <c r="J451" s="2781"/>
      <c r="K451" s="2781"/>
      <c r="L451" s="2781"/>
      <c r="M451" s="2781"/>
      <c r="N451" s="2781"/>
      <c r="O451" s="2781"/>
      <c r="P451" s="2781"/>
      <c r="Q451" s="2781"/>
      <c r="R451" s="2781"/>
      <c r="S451" s="2781"/>
      <c r="T451" s="2781"/>
      <c r="U451" s="2781"/>
      <c r="V451" s="2781"/>
      <c r="W451" s="2781"/>
      <c r="X451" s="2781"/>
      <c r="Y451" s="2781"/>
      <c r="Z451" s="2781"/>
      <c r="AA451" s="2781"/>
      <c r="AB451" s="2781"/>
      <c r="AC451" s="2781"/>
      <c r="AD451" s="2781"/>
      <c r="AE451" s="2781"/>
      <c r="AF451" s="2781"/>
      <c r="AG451" s="1187"/>
      <c r="AH451" s="1152"/>
      <c r="AI451" s="1152"/>
      <c r="AJ451" s="1152"/>
      <c r="AK451" s="1152"/>
      <c r="AL451" s="1188"/>
      <c r="AM451" s="1113"/>
      <c r="AN451" s="979"/>
    </row>
    <row r="452" spans="1:49" s="922" customFormat="1" ht="12.75" customHeight="1">
      <c r="A452" s="906"/>
      <c r="B452" s="51"/>
      <c r="C452" s="1171"/>
      <c r="D452" s="112"/>
      <c r="E452" s="1125"/>
      <c r="F452" s="2782"/>
      <c r="G452" s="2782"/>
      <c r="H452" s="2782"/>
      <c r="I452" s="2782"/>
      <c r="J452" s="2782"/>
      <c r="K452" s="2782"/>
      <c r="L452" s="2782"/>
      <c r="M452" s="2782"/>
      <c r="N452" s="2782"/>
      <c r="O452" s="2782"/>
      <c r="P452" s="2782"/>
      <c r="Q452" s="2782"/>
      <c r="R452" s="2782"/>
      <c r="S452" s="2782"/>
      <c r="T452" s="2782"/>
      <c r="U452" s="2782"/>
      <c r="V452" s="2782"/>
      <c r="W452" s="2782"/>
      <c r="X452" s="2782"/>
      <c r="Y452" s="2782"/>
      <c r="Z452" s="2782"/>
      <c r="AA452" s="2782"/>
      <c r="AB452" s="2782"/>
      <c r="AC452" s="2782"/>
      <c r="AD452" s="2782"/>
      <c r="AE452" s="2782"/>
      <c r="AF452" s="2782"/>
      <c r="AG452" s="1004"/>
      <c r="AH452" s="1004"/>
      <c r="AI452" s="1004"/>
      <c r="AJ452" s="1004"/>
      <c r="AK452" s="1004"/>
      <c r="AL452" s="1172"/>
      <c r="AM452" s="1113"/>
      <c r="AN452" s="979"/>
    </row>
    <row r="453" spans="1:49" s="922" customFormat="1" ht="12.75" customHeight="1">
      <c r="A453" s="906"/>
      <c r="B453" s="51"/>
      <c r="C453" s="1180"/>
      <c r="D453" s="1004"/>
      <c r="E453" s="1004"/>
      <c r="F453" s="2782"/>
      <c r="G453" s="2782"/>
      <c r="H453" s="2782"/>
      <c r="I453" s="2782"/>
      <c r="J453" s="2782"/>
      <c r="K453" s="2782"/>
      <c r="L453" s="2782"/>
      <c r="M453" s="2782"/>
      <c r="N453" s="2782"/>
      <c r="O453" s="2782"/>
      <c r="P453" s="2782"/>
      <c r="Q453" s="2782"/>
      <c r="R453" s="2782"/>
      <c r="S453" s="2782"/>
      <c r="T453" s="2782"/>
      <c r="U453" s="2782"/>
      <c r="V453" s="2782"/>
      <c r="W453" s="2782"/>
      <c r="X453" s="2782"/>
      <c r="Y453" s="2782"/>
      <c r="Z453" s="2782"/>
      <c r="AA453" s="2782"/>
      <c r="AB453" s="2782"/>
      <c r="AC453" s="2782"/>
      <c r="AD453" s="2782"/>
      <c r="AE453" s="2782"/>
      <c r="AF453" s="2782"/>
      <c r="AG453" s="1004"/>
      <c r="AH453" s="1004"/>
      <c r="AI453" s="1004"/>
      <c r="AJ453" s="1004"/>
      <c r="AK453" s="1004"/>
      <c r="AL453" s="1172"/>
      <c r="AM453" s="1113"/>
      <c r="AN453" s="979"/>
    </row>
    <row r="454" spans="1:49" s="922" customFormat="1" ht="12.75" customHeight="1">
      <c r="A454" s="906"/>
      <c r="B454" s="51"/>
      <c r="C454" s="1180"/>
      <c r="D454" s="1004"/>
      <c r="E454" s="1004"/>
      <c r="F454" s="2782"/>
      <c r="G454" s="2782"/>
      <c r="H454" s="2782"/>
      <c r="I454" s="2782"/>
      <c r="J454" s="2782"/>
      <c r="K454" s="2782"/>
      <c r="L454" s="2782"/>
      <c r="M454" s="2782"/>
      <c r="N454" s="2782"/>
      <c r="O454" s="2782"/>
      <c r="P454" s="2782"/>
      <c r="Q454" s="2782"/>
      <c r="R454" s="2782"/>
      <c r="S454" s="2782"/>
      <c r="T454" s="2782"/>
      <c r="U454" s="2782"/>
      <c r="V454" s="2782"/>
      <c r="W454" s="2782"/>
      <c r="X454" s="2782"/>
      <c r="Y454" s="2782"/>
      <c r="Z454" s="2782"/>
      <c r="AA454" s="2782"/>
      <c r="AB454" s="2782"/>
      <c r="AC454" s="2782"/>
      <c r="AD454" s="2782"/>
      <c r="AE454" s="2782"/>
      <c r="AF454" s="2782"/>
      <c r="AG454" s="1004"/>
      <c r="AH454" s="1004"/>
      <c r="AI454" s="1004"/>
      <c r="AJ454" s="1004"/>
      <c r="AK454" s="1004"/>
      <c r="AL454" s="1172"/>
      <c r="AM454" s="1113"/>
      <c r="AN454" s="979"/>
    </row>
    <row r="455" spans="1:49" s="922" customFormat="1" ht="12.75" customHeight="1">
      <c r="A455" s="906"/>
      <c r="B455" s="51"/>
      <c r="C455" s="2688" t="s">
        <v>600</v>
      </c>
      <c r="D455" s="2689"/>
      <c r="E455" s="1157"/>
      <c r="F455" s="1193" t="s">
        <v>1654</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004"/>
      <c r="AF455" s="2690" t="s">
        <v>1637</v>
      </c>
      <c r="AG455" s="2690"/>
      <c r="AH455" s="2690"/>
      <c r="AI455" s="2690"/>
      <c r="AJ455" s="2690"/>
      <c r="AK455" s="2690"/>
      <c r="AL455" s="2691"/>
      <c r="AM455" s="1113"/>
      <c r="AN455" s="979"/>
    </row>
    <row r="456" spans="1:49" s="922" customFormat="1" ht="12.75" customHeight="1">
      <c r="A456" s="906"/>
      <c r="B456" s="51"/>
      <c r="C456" s="1181"/>
      <c r="D456" s="1173"/>
      <c r="E456" s="1174"/>
      <c r="F456" s="1167"/>
      <c r="G456" s="1167"/>
      <c r="H456" s="1167"/>
      <c r="I456" s="1167"/>
      <c r="J456" s="1167"/>
      <c r="K456" s="1167"/>
      <c r="L456" s="1167"/>
      <c r="M456" s="1167"/>
      <c r="N456" s="1167"/>
      <c r="O456" s="1167"/>
      <c r="P456" s="1167"/>
      <c r="Q456" s="1167"/>
      <c r="R456" s="1167"/>
      <c r="S456" s="1167"/>
      <c r="T456" s="1167"/>
      <c r="U456" s="1167"/>
      <c r="V456" s="1167"/>
      <c r="W456" s="1167"/>
      <c r="X456" s="1167"/>
      <c r="Y456" s="1167"/>
      <c r="Z456" s="1167"/>
      <c r="AA456" s="1167"/>
      <c r="AB456" s="1167"/>
      <c r="AC456" s="1167"/>
      <c r="AD456" s="1167"/>
      <c r="AE456" s="1167"/>
      <c r="AF456" s="1167"/>
      <c r="AG456" s="1167"/>
      <c r="AH456" s="1167"/>
      <c r="AI456" s="1167"/>
      <c r="AJ456" s="1167"/>
      <c r="AK456" s="1167"/>
      <c r="AL456" s="1183"/>
      <c r="AN456" s="979"/>
    </row>
    <row r="457" spans="1:49" s="922" customFormat="1" ht="12.75" customHeight="1">
      <c r="A457" s="906"/>
      <c r="B457" s="51"/>
      <c r="C457" s="1645"/>
      <c r="D457" s="1235"/>
      <c r="E457" s="1005"/>
      <c r="F457" s="1646"/>
      <c r="G457" s="1048"/>
      <c r="H457" s="1048"/>
      <c r="I457" s="1048"/>
      <c r="J457" s="1048"/>
      <c r="K457" s="1048"/>
      <c r="L457" s="1048"/>
      <c r="M457" s="1048"/>
      <c r="N457" s="1048"/>
      <c r="O457" s="1048"/>
      <c r="P457" s="1048"/>
      <c r="Q457" s="1048"/>
      <c r="R457" s="1048"/>
      <c r="S457" s="1048"/>
      <c r="T457" s="1048"/>
      <c r="U457" s="1048"/>
      <c r="V457" s="1048"/>
      <c r="W457" s="1048"/>
      <c r="X457" s="1048"/>
      <c r="Y457" s="1048"/>
      <c r="Z457" s="1048"/>
      <c r="AA457" s="1048"/>
      <c r="AB457" s="1048"/>
      <c r="AC457" s="1048"/>
      <c r="AD457" s="1048"/>
      <c r="AE457" s="1005"/>
      <c r="AF457" s="1010"/>
      <c r="AG457" s="1010"/>
      <c r="AH457" s="1010"/>
      <c r="AI457" s="1010"/>
      <c r="AJ457" s="1010"/>
      <c r="AK457" s="1010"/>
      <c r="AL457" s="1010"/>
      <c r="AN457" s="979"/>
    </row>
    <row r="458" spans="1:49" s="922" customFormat="1" ht="12.75" customHeight="1">
      <c r="A458" s="987"/>
      <c r="B458" s="1354" t="s">
        <v>1684</v>
      </c>
      <c r="C458" s="981"/>
      <c r="D458" s="1103"/>
      <c r="E458" s="988"/>
      <c r="F458" s="988"/>
      <c r="G458" s="988"/>
      <c r="H458" s="988"/>
      <c r="I458" s="988"/>
      <c r="J458" s="988"/>
      <c r="K458" s="988"/>
      <c r="L458" s="988"/>
      <c r="M458" s="988"/>
      <c r="N458" s="988"/>
      <c r="O458" s="988"/>
      <c r="P458" s="988"/>
      <c r="Q458" s="988"/>
      <c r="R458" s="988"/>
      <c r="S458" s="988"/>
      <c r="T458" s="988"/>
      <c r="U458" s="988"/>
      <c r="V458" s="988"/>
      <c r="W458" s="988"/>
      <c r="X458" s="988"/>
      <c r="Y458" s="988"/>
      <c r="Z458" s="988"/>
      <c r="AA458" s="988"/>
      <c r="AB458" s="988"/>
      <c r="AC458" s="988"/>
      <c r="AD458" s="988"/>
      <c r="AE458" s="997"/>
      <c r="AF458" s="997"/>
      <c r="AG458" s="997"/>
      <c r="AH458" s="997"/>
      <c r="AI458" s="938"/>
      <c r="AJ458" s="938" t="s">
        <v>1685</v>
      </c>
      <c r="AK458" s="2674">
        <f>IF(Application!D213="N/A",AS347,AS349)</f>
        <v>17</v>
      </c>
      <c r="AL458" s="2675"/>
      <c r="AM458" s="2676"/>
      <c r="AN458" s="979"/>
    </row>
    <row r="459" spans="1:49" s="922" customFormat="1" ht="12.75" customHeight="1" thickBot="1">
      <c r="A459" s="1223"/>
      <c r="B459" s="1223"/>
      <c r="C459" s="1223"/>
      <c r="D459" s="1223"/>
      <c r="E459" s="1223"/>
      <c r="F459" s="1223"/>
      <c r="G459" s="1223"/>
      <c r="H459" s="1223"/>
      <c r="I459" s="1223"/>
      <c r="J459" s="1223"/>
      <c r="K459" s="1223"/>
      <c r="L459" s="1223"/>
      <c r="M459" s="1223"/>
      <c r="N459" s="1223"/>
      <c r="O459" s="1223"/>
      <c r="P459" s="1223"/>
      <c r="Q459" s="1223"/>
      <c r="R459" s="1223"/>
      <c r="S459" s="1223"/>
      <c r="T459" s="1223"/>
      <c r="U459" s="1223"/>
      <c r="V459" s="1223"/>
      <c r="W459" s="1223"/>
      <c r="X459" s="1223"/>
      <c r="Y459" s="1223"/>
      <c r="Z459" s="1223"/>
      <c r="AA459" s="1223"/>
      <c r="AB459" s="1223"/>
      <c r="AC459" s="1223"/>
      <c r="AD459" s="1223"/>
      <c r="AE459" s="1223"/>
      <c r="AF459" s="1223"/>
      <c r="AG459" s="1223"/>
      <c r="AH459" s="1223"/>
      <c r="AI459" s="1223"/>
      <c r="AJ459" s="1223"/>
      <c r="AK459" s="1223"/>
      <c r="AL459" s="1223"/>
      <c r="AM459" s="1224"/>
      <c r="AN459" s="979"/>
    </row>
    <row r="460" spans="1:49" s="922" customFormat="1" ht="12.75" hidden="1" customHeight="1" thickTop="1">
      <c r="A460" s="124"/>
      <c r="B460" s="944"/>
      <c r="C460" s="945"/>
      <c r="D460" s="945"/>
      <c r="E460" s="945"/>
      <c r="F460" s="945"/>
      <c r="G460" s="945"/>
      <c r="H460" s="945"/>
      <c r="I460" s="1626"/>
      <c r="J460" s="1626"/>
      <c r="K460" s="1626"/>
      <c r="L460" s="1626"/>
      <c r="M460" s="1626"/>
      <c r="N460" s="1626"/>
      <c r="O460" s="1626"/>
      <c r="P460" s="1626"/>
      <c r="Q460" s="1626"/>
      <c r="R460" s="943"/>
      <c r="S460" s="911"/>
      <c r="T460" s="911"/>
      <c r="U460" s="911"/>
      <c r="V460" s="911"/>
      <c r="W460" s="911"/>
      <c r="X460" s="911"/>
      <c r="Y460" s="911"/>
      <c r="Z460" s="911"/>
      <c r="AA460" s="911"/>
      <c r="AB460" s="911"/>
      <c r="AC460" s="911"/>
      <c r="AD460" s="911"/>
      <c r="AE460" s="911"/>
      <c r="AF460" s="943"/>
      <c r="AG460" s="911"/>
      <c r="AH460" s="911"/>
      <c r="AI460" s="911"/>
      <c r="AJ460" s="911"/>
      <c r="AM460" s="51"/>
      <c r="AN460" s="979"/>
      <c r="AO460" s="922" t="s">
        <v>600</v>
      </c>
      <c r="AP460" s="1004">
        <v>0</v>
      </c>
    </row>
    <row r="461" spans="1:49" s="922" customFormat="1" ht="12.75" hidden="1" customHeight="1">
      <c r="A461" s="991" t="s">
        <v>1686</v>
      </c>
      <c r="B461" s="1005"/>
      <c r="C461" s="991"/>
      <c r="D461" s="1005"/>
      <c r="E461" s="978"/>
      <c r="F461" s="1005"/>
      <c r="G461" s="1005"/>
      <c r="H461" s="1005"/>
      <c r="I461" s="1005"/>
      <c r="J461" s="1005"/>
      <c r="K461" s="1005"/>
      <c r="L461" s="1005"/>
      <c r="M461" s="1005"/>
      <c r="N461" s="1005"/>
      <c r="O461" s="1005"/>
      <c r="P461" s="1005"/>
      <c r="Q461" s="1005"/>
      <c r="R461" s="1005"/>
      <c r="S461" s="1005"/>
      <c r="T461" s="1005"/>
      <c r="U461" s="1005"/>
      <c r="V461" s="1005"/>
      <c r="W461" s="1005"/>
      <c r="X461" s="1005"/>
      <c r="Y461" s="1005"/>
      <c r="Z461" s="1005"/>
      <c r="AA461" s="1005"/>
      <c r="AB461" s="1005"/>
      <c r="AE461" s="2677" t="s">
        <v>1687</v>
      </c>
      <c r="AF461" s="2677"/>
      <c r="AG461" s="2677"/>
      <c r="AH461" s="2677"/>
      <c r="AI461" s="2677"/>
      <c r="AJ461" s="2677"/>
      <c r="AK461" s="2677"/>
      <c r="AL461" s="1622"/>
      <c r="AM461" s="1005"/>
      <c r="AN461" s="979"/>
      <c r="AO461" s="922" t="s">
        <v>1665</v>
      </c>
      <c r="AP461" s="922">
        <v>5</v>
      </c>
      <c r="AQ461" s="1004"/>
      <c r="AR461" s="1004"/>
      <c r="AS461" s="1004"/>
      <c r="AT461" s="1004"/>
      <c r="AU461" s="1004"/>
      <c r="AV461" s="1004"/>
      <c r="AW461" s="1004"/>
    </row>
    <row r="462" spans="1:49" s="922" customFormat="1" ht="12.75" hidden="1" customHeight="1">
      <c r="A462" s="991"/>
      <c r="B462" s="985" t="s">
        <v>1688</v>
      </c>
      <c r="C462" s="991"/>
      <c r="D462" s="1005"/>
      <c r="E462" s="978"/>
      <c r="F462" s="1005"/>
      <c r="G462" s="1005"/>
      <c r="H462" s="1005"/>
      <c r="I462" s="1005"/>
      <c r="J462" s="1005"/>
      <c r="K462" s="1005"/>
      <c r="L462" s="1005"/>
      <c r="M462" s="1005"/>
      <c r="N462" s="1005"/>
      <c r="O462" s="1005"/>
      <c r="P462" s="1005"/>
      <c r="Q462" s="1005"/>
      <c r="R462" s="1005"/>
      <c r="S462" s="1005"/>
      <c r="T462" s="1005"/>
      <c r="U462" s="1005"/>
      <c r="V462" s="1005"/>
      <c r="W462" s="1005"/>
      <c r="X462" s="1005"/>
      <c r="Y462" s="1005"/>
      <c r="Z462" s="1005"/>
      <c r="AA462" s="1005"/>
      <c r="AB462" s="1005"/>
      <c r="AE462" s="1622"/>
      <c r="AF462" s="1622"/>
      <c r="AG462" s="1622"/>
      <c r="AH462" s="1622"/>
      <c r="AI462" s="1622"/>
      <c r="AJ462" s="1622"/>
      <c r="AK462" s="1622"/>
      <c r="AL462" s="1622"/>
      <c r="AM462" s="1005"/>
      <c r="AN462" s="979"/>
      <c r="AO462" s="922" t="s">
        <v>1689</v>
      </c>
      <c r="AP462" s="922">
        <v>5</v>
      </c>
      <c r="AQ462" s="1004"/>
      <c r="AR462" s="1004"/>
      <c r="AS462" s="1004"/>
      <c r="AT462" s="1004"/>
      <c r="AU462" s="1004"/>
      <c r="AV462" s="1004"/>
      <c r="AW462" s="1004"/>
    </row>
    <row r="463" spans="1:49" s="922" customFormat="1" ht="12.75" hidden="1" customHeight="1">
      <c r="A463" s="991"/>
      <c r="B463" s="965" t="s">
        <v>1690</v>
      </c>
      <c r="C463" s="991"/>
      <c r="D463" s="1005"/>
      <c r="E463" s="978"/>
      <c r="F463" s="1005"/>
      <c r="G463" s="1005"/>
      <c r="H463" s="1005"/>
      <c r="I463" s="1005"/>
      <c r="J463" s="1005"/>
      <c r="K463" s="1005"/>
      <c r="L463" s="1005"/>
      <c r="M463" s="1005"/>
      <c r="N463" s="1005"/>
      <c r="O463" s="1005"/>
      <c r="P463" s="1005"/>
      <c r="Q463" s="1005"/>
      <c r="R463" s="1005"/>
      <c r="S463" s="1005"/>
      <c r="T463" s="1005"/>
      <c r="U463" s="1005"/>
      <c r="V463" s="1005"/>
      <c r="W463" s="1005"/>
      <c r="X463" s="1005"/>
      <c r="Y463" s="1005"/>
      <c r="Z463" s="1005"/>
      <c r="AA463" s="1005"/>
      <c r="AB463" s="1005"/>
      <c r="AE463" s="1622"/>
      <c r="AF463" s="1622"/>
      <c r="AG463" s="1622"/>
      <c r="AH463" s="1622"/>
      <c r="AI463" s="1622"/>
      <c r="AJ463" s="1622"/>
      <c r="AK463" s="1622"/>
      <c r="AL463" s="1622"/>
      <c r="AM463" s="1005"/>
      <c r="AN463" s="979"/>
      <c r="AO463" s="922" t="s">
        <v>1667</v>
      </c>
      <c r="AP463" s="922">
        <v>5</v>
      </c>
      <c r="AQ463" s="1158"/>
      <c r="AR463" s="1158"/>
      <c r="AS463" s="1214"/>
      <c r="AW463" s="1214"/>
    </row>
    <row r="464" spans="1:49" s="922" customFormat="1" ht="12.75" hidden="1" customHeight="1">
      <c r="A464" s="991"/>
      <c r="B464" s="965" t="s">
        <v>1691</v>
      </c>
      <c r="C464" s="991"/>
      <c r="D464" s="1005"/>
      <c r="E464" s="978"/>
      <c r="F464" s="1005"/>
      <c r="G464" s="1005"/>
      <c r="H464" s="1005"/>
      <c r="I464" s="1005"/>
      <c r="J464" s="1005"/>
      <c r="K464" s="1005"/>
      <c r="L464" s="1005"/>
      <c r="M464" s="1005"/>
      <c r="N464" s="1005"/>
      <c r="O464" s="1005"/>
      <c r="P464" s="1005"/>
      <c r="Q464" s="1005"/>
      <c r="R464" s="1005"/>
      <c r="S464" s="1005"/>
      <c r="T464" s="1005"/>
      <c r="U464" s="1005"/>
      <c r="V464" s="1005"/>
      <c r="W464" s="1005"/>
      <c r="X464" s="1005"/>
      <c r="Y464" s="1005"/>
      <c r="Z464" s="1005"/>
      <c r="AA464" s="1005"/>
      <c r="AB464" s="1005"/>
      <c r="AE464" s="1622"/>
      <c r="AF464" s="1622"/>
      <c r="AG464" s="1622"/>
      <c r="AH464" s="1622"/>
      <c r="AI464" s="1622"/>
      <c r="AJ464" s="1622"/>
      <c r="AK464" s="1622"/>
      <c r="AL464" s="1622"/>
      <c r="AM464" s="1005"/>
      <c r="AN464" s="979"/>
      <c r="AO464" s="922" t="s">
        <v>1669</v>
      </c>
      <c r="AP464" s="922">
        <v>5</v>
      </c>
      <c r="AQ464" s="1158"/>
      <c r="AR464" s="1158"/>
      <c r="AW464" s="1225"/>
    </row>
    <row r="465" spans="1:50" s="922" customFormat="1" ht="12.75" hidden="1" customHeight="1">
      <c r="A465" s="991"/>
      <c r="B465" s="1005"/>
      <c r="C465" s="991"/>
      <c r="D465" s="1005"/>
      <c r="E465" s="978"/>
      <c r="F465" s="1005"/>
      <c r="G465" s="1005"/>
      <c r="H465" s="1005"/>
      <c r="I465" s="1005"/>
      <c r="J465" s="1005"/>
      <c r="K465" s="1005"/>
      <c r="L465" s="1005"/>
      <c r="M465" s="1005"/>
      <c r="N465" s="1005"/>
      <c r="O465" s="1005"/>
      <c r="P465" s="1005"/>
      <c r="Q465" s="1005"/>
      <c r="R465" s="1005"/>
      <c r="S465" s="1005"/>
      <c r="T465" s="1005"/>
      <c r="U465" s="1005"/>
      <c r="V465" s="1005"/>
      <c r="W465" s="1005"/>
      <c r="X465" s="1005"/>
      <c r="Y465" s="1005"/>
      <c r="Z465" s="1005"/>
      <c r="AA465" s="1005"/>
      <c r="AB465" s="1005"/>
      <c r="AE465" s="1622"/>
      <c r="AF465" s="1622"/>
      <c r="AG465" s="1622"/>
      <c r="AH465" s="1622"/>
      <c r="AI465" s="1622"/>
      <c r="AJ465" s="1622"/>
      <c r="AK465" s="1622"/>
      <c r="AL465" s="1622"/>
      <c r="AM465" s="1005"/>
      <c r="AN465" s="979"/>
      <c r="AO465" s="922" t="s">
        <v>1670</v>
      </c>
      <c r="AP465" s="922">
        <v>5</v>
      </c>
      <c r="AQ465" s="1158"/>
      <c r="AR465" s="1158"/>
      <c r="AW465" s="1225"/>
    </row>
    <row r="466" spans="1:50" s="922" customFormat="1" ht="12.75" hidden="1" customHeight="1">
      <c r="A466" s="991"/>
      <c r="B466" s="1005"/>
      <c r="C466" s="1226" t="s">
        <v>1692</v>
      </c>
      <c r="D466" s="1113"/>
      <c r="F466" s="1005"/>
      <c r="G466" s="1005"/>
      <c r="H466" s="1005"/>
      <c r="I466" s="1005"/>
      <c r="J466" s="1005"/>
      <c r="K466" s="1005"/>
      <c r="L466" s="1005"/>
      <c r="M466" s="1005"/>
      <c r="N466" s="1005"/>
      <c r="O466" s="1005"/>
      <c r="P466" s="1005"/>
      <c r="Q466" s="1005"/>
      <c r="R466" s="1005"/>
      <c r="S466" s="1005"/>
      <c r="T466" s="1005"/>
      <c r="U466" s="1005"/>
      <c r="V466" s="1005"/>
      <c r="W466" s="1005"/>
      <c r="X466" s="1005"/>
      <c r="Y466" s="1005"/>
      <c r="Z466" s="1005"/>
      <c r="AA466" s="1005"/>
      <c r="AB466" s="1005"/>
      <c r="AE466" s="1622"/>
      <c r="AF466" s="1622"/>
      <c r="AG466" s="978"/>
      <c r="AH466" s="978"/>
      <c r="AI466" s="978"/>
      <c r="AJ466" s="978"/>
      <c r="AK466" s="978"/>
      <c r="AL466" s="978"/>
      <c r="AM466" s="1005"/>
      <c r="AN466" s="979"/>
      <c r="AO466" s="922" t="s">
        <v>1671</v>
      </c>
      <c r="AP466" s="922">
        <v>5</v>
      </c>
      <c r="AW466" s="1225"/>
    </row>
    <row r="467" spans="1:50" s="922" customFormat="1" ht="12.75" hidden="1" customHeight="1">
      <c r="A467" s="991"/>
      <c r="C467" s="2758" t="s">
        <v>600</v>
      </c>
      <c r="D467" s="2759"/>
      <c r="E467" s="1227" t="s">
        <v>516</v>
      </c>
      <c r="F467" s="2783" t="s">
        <v>1693</v>
      </c>
      <c r="G467" s="2783"/>
      <c r="H467" s="2783"/>
      <c r="I467" s="2783"/>
      <c r="J467" s="2783"/>
      <c r="K467" s="2783"/>
      <c r="L467" s="2783"/>
      <c r="M467" s="2783"/>
      <c r="N467" s="2783"/>
      <c r="O467" s="2783"/>
      <c r="P467" s="2783"/>
      <c r="Q467" s="2783"/>
      <c r="R467" s="2783"/>
      <c r="S467" s="2783"/>
      <c r="T467" s="2783"/>
      <c r="U467" s="2783"/>
      <c r="V467" s="2783"/>
      <c r="W467" s="2783"/>
      <c r="X467" s="2783"/>
      <c r="Y467" s="2783"/>
      <c r="Z467" s="2783"/>
      <c r="AA467" s="2783"/>
      <c r="AB467" s="2783"/>
      <c r="AC467" s="2783"/>
      <c r="AD467" s="2783"/>
      <c r="AE467" s="2783"/>
      <c r="AF467" s="1152"/>
      <c r="AG467" s="1152"/>
      <c r="AH467" s="1152"/>
      <c r="AI467" s="1152"/>
      <c r="AJ467" s="1152"/>
      <c r="AK467" s="1188"/>
      <c r="AL467" s="1004"/>
      <c r="AN467" s="979"/>
      <c r="AO467" s="922" t="s">
        <v>1694</v>
      </c>
      <c r="AP467" s="922">
        <v>5</v>
      </c>
      <c r="AS467" s="1220"/>
      <c r="AT467" s="1218"/>
      <c r="AW467" s="1225"/>
      <c r="AX467" s="1047"/>
    </row>
    <row r="468" spans="1:50" s="922" customFormat="1" ht="12.75" hidden="1" customHeight="1">
      <c r="A468" s="1039"/>
      <c r="C468" s="1228"/>
      <c r="D468" s="1004"/>
      <c r="E468" s="1229"/>
      <c r="F468" s="2784"/>
      <c r="G468" s="2784"/>
      <c r="H468" s="2784"/>
      <c r="I468" s="2784"/>
      <c r="J468" s="2784"/>
      <c r="K468" s="2784"/>
      <c r="L468" s="2784"/>
      <c r="M468" s="2784"/>
      <c r="N468" s="2784"/>
      <c r="O468" s="2784"/>
      <c r="P468" s="2784"/>
      <c r="Q468" s="2784"/>
      <c r="R468" s="2784"/>
      <c r="S468" s="2784"/>
      <c r="T468" s="2784"/>
      <c r="U468" s="2784"/>
      <c r="V468" s="2784"/>
      <c r="W468" s="2784"/>
      <c r="X468" s="2784"/>
      <c r="Y468" s="2784"/>
      <c r="Z468" s="2784"/>
      <c r="AA468" s="2784"/>
      <c r="AB468" s="2784"/>
      <c r="AC468" s="2784"/>
      <c r="AD468" s="2784"/>
      <c r="AE468" s="2784"/>
      <c r="AF468" s="1004"/>
      <c r="AG468" s="923"/>
      <c r="AH468" s="923"/>
      <c r="AI468" s="923"/>
      <c r="AJ468" s="923"/>
      <c r="AK468" s="1172"/>
      <c r="AL468" s="1004"/>
      <c r="AN468" s="979"/>
      <c r="AO468" s="922" t="s">
        <v>1675</v>
      </c>
      <c r="AP468" s="922">
        <v>1</v>
      </c>
    </row>
    <row r="469" spans="1:50" s="922" customFormat="1" ht="12.75" hidden="1" customHeight="1">
      <c r="A469" s="1039"/>
      <c r="C469" s="1230"/>
      <c r="D469" s="1167"/>
      <c r="E469" s="1231"/>
      <c r="F469" s="2775" t="s">
        <v>600</v>
      </c>
      <c r="G469" s="2775"/>
      <c r="H469" s="2775"/>
      <c r="I469" s="2775"/>
      <c r="J469" s="2775"/>
      <c r="K469" s="2775"/>
      <c r="L469" s="2775"/>
      <c r="M469" s="2775"/>
      <c r="N469" s="2775"/>
      <c r="O469" s="2775"/>
      <c r="P469" s="2775"/>
      <c r="Q469" s="2775"/>
      <c r="R469" s="2775"/>
      <c r="S469" s="2775"/>
      <c r="T469" s="2775"/>
      <c r="U469" s="2775"/>
      <c r="V469" s="2775"/>
      <c r="W469" s="2775"/>
      <c r="X469" s="2775"/>
      <c r="Y469" s="2775"/>
      <c r="Z469" s="2775"/>
      <c r="AA469" s="1232"/>
      <c r="AB469" s="1079"/>
      <c r="AC469" s="1079"/>
      <c r="AD469" s="1167"/>
      <c r="AE469" s="1167"/>
      <c r="AF469" s="1167"/>
      <c r="AG469" s="1233">
        <f>IF($C$467="Yes",(VLOOKUP($F$469,$AO$434:$AP$442,2,FALSE)),0)</f>
        <v>0</v>
      </c>
      <c r="AH469" s="1234" t="s">
        <v>1499</v>
      </c>
      <c r="AI469" s="1233"/>
      <c r="AJ469" s="1233"/>
      <c r="AK469" s="1183"/>
      <c r="AL469" s="1004"/>
      <c r="AN469" s="979"/>
      <c r="AS469" s="1214"/>
      <c r="AW469" s="1214"/>
    </row>
    <row r="470" spans="1:50" s="922" customFormat="1" ht="12.75" hidden="1" customHeight="1">
      <c r="A470" s="1039"/>
      <c r="C470" s="923"/>
      <c r="E470" s="1229"/>
      <c r="F470" s="968"/>
      <c r="G470" s="968"/>
      <c r="H470" s="968"/>
      <c r="I470" s="968"/>
      <c r="J470" s="968"/>
      <c r="K470" s="968"/>
      <c r="L470" s="968"/>
      <c r="M470" s="968"/>
      <c r="N470" s="968"/>
      <c r="O470" s="968"/>
      <c r="P470" s="968"/>
      <c r="Q470" s="968"/>
      <c r="R470" s="968"/>
      <c r="S470" s="968"/>
      <c r="T470" s="968"/>
      <c r="U470" s="968"/>
      <c r="V470" s="968"/>
      <c r="W470" s="968"/>
      <c r="X470" s="968"/>
      <c r="Y470" s="968"/>
      <c r="Z470" s="968"/>
      <c r="AA470" s="1235"/>
      <c r="AB470" s="923"/>
      <c r="AC470" s="923"/>
      <c r="AG470" s="923"/>
      <c r="AH470" s="923"/>
      <c r="AI470" s="923"/>
      <c r="AJ470" s="923"/>
      <c r="AN470" s="979"/>
      <c r="AO470" s="922" t="s">
        <v>600</v>
      </c>
      <c r="AP470" s="1047">
        <v>0</v>
      </c>
    </row>
    <row r="471" spans="1:50" s="922" customFormat="1" ht="12.75" hidden="1" customHeight="1">
      <c r="A471" s="1039"/>
      <c r="C471" s="2776" t="s">
        <v>554</v>
      </c>
      <c r="D471" s="2777"/>
      <c r="E471" s="1227" t="s">
        <v>769</v>
      </c>
      <c r="F471" s="1236" t="s">
        <v>1695</v>
      </c>
      <c r="G471" s="1066"/>
      <c r="H471" s="1066"/>
      <c r="I471" s="1066"/>
      <c r="J471" s="1066"/>
      <c r="K471" s="1066"/>
      <c r="L471" s="1066"/>
      <c r="M471" s="1066"/>
      <c r="N471" s="1066"/>
      <c r="O471" s="1066"/>
      <c r="P471" s="1066"/>
      <c r="Q471" s="1066"/>
      <c r="R471" s="1066"/>
      <c r="S471" s="1066"/>
      <c r="T471" s="1066"/>
      <c r="U471" s="1066"/>
      <c r="V471" s="1066"/>
      <c r="W471" s="1066"/>
      <c r="X471" s="1066"/>
      <c r="Y471" s="1066"/>
      <c r="Z471" s="1066"/>
      <c r="AA471" s="1066"/>
      <c r="AB471" s="1066"/>
      <c r="AC471" s="1066"/>
      <c r="AD471" s="1152"/>
      <c r="AE471" s="1152"/>
      <c r="AF471" s="1152"/>
      <c r="AG471" s="1066"/>
      <c r="AH471" s="1066"/>
      <c r="AI471" s="1066"/>
      <c r="AJ471" s="1066"/>
      <c r="AK471" s="1188"/>
      <c r="AL471" s="1004"/>
      <c r="AN471" s="979"/>
      <c r="AO471" s="1220">
        <v>0.15</v>
      </c>
      <c r="AP471" s="1047">
        <v>3</v>
      </c>
    </row>
    <row r="472" spans="1:50" s="922" customFormat="1" ht="12.75" hidden="1" customHeight="1">
      <c r="A472" s="1039"/>
      <c r="C472" s="1237" t="s">
        <v>1696</v>
      </c>
      <c r="D472" s="1004"/>
      <c r="E472" s="1004"/>
      <c r="F472" s="1238" t="s">
        <v>1697</v>
      </c>
      <c r="G472" s="923"/>
      <c r="H472" s="923"/>
      <c r="I472" s="923"/>
      <c r="J472" s="923"/>
      <c r="K472" s="923"/>
      <c r="L472" s="923"/>
      <c r="M472" s="923"/>
      <c r="N472" s="923"/>
      <c r="O472" s="923"/>
      <c r="P472" s="923"/>
      <c r="Q472" s="923"/>
      <c r="R472" s="923"/>
      <c r="S472" s="923"/>
      <c r="T472" s="923"/>
      <c r="U472" s="923"/>
      <c r="V472" s="923"/>
      <c r="W472" s="923"/>
      <c r="X472" s="923"/>
      <c r="Y472" s="923"/>
      <c r="Z472" s="923"/>
      <c r="AA472" s="923"/>
      <c r="AB472" s="923"/>
      <c r="AC472" s="1622"/>
      <c r="AD472" s="1004"/>
      <c r="AE472" s="1004"/>
      <c r="AF472" s="1004"/>
      <c r="AG472" s="1010"/>
      <c r="AH472" s="1010"/>
      <c r="AI472" s="1010"/>
      <c r="AJ472" s="1010"/>
      <c r="AK472" s="1172"/>
      <c r="AL472" s="1004"/>
      <c r="AN472" s="979"/>
      <c r="AO472" s="1220">
        <v>0.2</v>
      </c>
      <c r="AP472" s="1047">
        <v>5</v>
      </c>
    </row>
    <row r="473" spans="1:50" s="922" customFormat="1" ht="12.75" hidden="1" customHeight="1">
      <c r="A473" s="1039"/>
      <c r="C473" s="1624"/>
      <c r="D473" s="1625"/>
      <c r="E473" s="1239"/>
      <c r="F473" s="1238" t="s">
        <v>1698</v>
      </c>
      <c r="G473" s="1238"/>
      <c r="H473" s="1238"/>
      <c r="I473" s="1238"/>
      <c r="J473" s="1238"/>
      <c r="K473" s="1238"/>
      <c r="L473" s="1238"/>
      <c r="M473" s="1238"/>
      <c r="N473" s="1238"/>
      <c r="O473" s="1238"/>
      <c r="P473" s="1238"/>
      <c r="Q473" s="1238"/>
      <c r="R473" s="1238"/>
      <c r="S473" s="1238"/>
      <c r="T473" s="1238"/>
      <c r="U473" s="1238"/>
      <c r="V473" s="1238"/>
      <c r="W473" s="1238"/>
      <c r="X473" s="1238"/>
      <c r="Y473" s="1238"/>
      <c r="Z473" s="1238"/>
      <c r="AA473" s="1238"/>
      <c r="AB473" s="1238"/>
      <c r="AC473" s="1240"/>
      <c r="AD473" s="1241"/>
      <c r="AE473" s="1241"/>
      <c r="AF473" s="1241"/>
      <c r="AG473" s="1242"/>
      <c r="AH473" s="1010"/>
      <c r="AI473" s="1010"/>
      <c r="AJ473" s="1010"/>
      <c r="AK473" s="1172"/>
      <c r="AL473" s="1004"/>
      <c r="AN473" s="1104"/>
      <c r="AO473" s="1220"/>
      <c r="AP473" s="1218"/>
    </row>
    <row r="474" spans="1:50" s="972" customFormat="1" ht="12.75" hidden="1" customHeight="1">
      <c r="A474" s="1098"/>
      <c r="B474" s="922"/>
      <c r="C474" s="1228"/>
      <c r="D474" s="1004"/>
      <c r="E474" s="1229"/>
      <c r="F474" s="1243" t="s">
        <v>1699</v>
      </c>
      <c r="G474" s="1004"/>
      <c r="H474" s="1004"/>
      <c r="I474" s="1238"/>
      <c r="J474" s="1238"/>
      <c r="K474" s="1238"/>
      <c r="L474" s="1238"/>
      <c r="M474" s="1238"/>
      <c r="N474" s="1238"/>
      <c r="O474" s="1238"/>
      <c r="P474" s="1238"/>
      <c r="Q474" s="1238"/>
      <c r="R474" s="1238"/>
      <c r="S474" s="1238"/>
      <c r="T474" s="1238"/>
      <c r="U474" s="1238"/>
      <c r="V474" s="2683" t="s">
        <v>600</v>
      </c>
      <c r="W474" s="2683"/>
      <c r="X474" s="2683"/>
      <c r="Y474" s="1238"/>
      <c r="Z474" s="1238"/>
      <c r="AA474" s="1238"/>
      <c r="AB474" s="1238"/>
      <c r="AC474" s="1238"/>
      <c r="AD474" s="1241"/>
      <c r="AE474" s="1241"/>
      <c r="AF474" s="1241"/>
      <c r="AG474" s="1010">
        <f>IF(AND($C$471="Yes",$V$476="N/A",$V$481="N/A",$V$485="N/A",$V$487="N/A"),(VLOOKUP(V474,$AR$444:$AS$446,2,FALSE)),0)</f>
        <v>0</v>
      </c>
      <c r="AH474" s="1630" t="s">
        <v>1499</v>
      </c>
      <c r="AI474" s="923"/>
      <c r="AJ474" s="923"/>
      <c r="AK474" s="1172"/>
      <c r="AL474" s="1004"/>
      <c r="AM474" s="922"/>
      <c r="AN474" s="979"/>
    </row>
    <row r="475" spans="1:50" s="972" customFormat="1" ht="12.75" hidden="1" customHeight="1">
      <c r="A475" s="1098"/>
      <c r="B475" s="922"/>
      <c r="C475" s="1228"/>
      <c r="D475" s="1004"/>
      <c r="E475" s="1229"/>
      <c r="F475" s="1243"/>
      <c r="G475" s="1004"/>
      <c r="H475" s="1004"/>
      <c r="I475" s="1238"/>
      <c r="J475" s="1238"/>
      <c r="K475" s="1238"/>
      <c r="L475" s="1238"/>
      <c r="M475" s="1238"/>
      <c r="N475" s="1238"/>
      <c r="O475" s="1238"/>
      <c r="P475" s="1238"/>
      <c r="Q475" s="1238"/>
      <c r="R475" s="1238"/>
      <c r="S475" s="1238"/>
      <c r="T475" s="1238"/>
      <c r="U475" s="1238"/>
      <c r="V475" s="1238"/>
      <c r="W475" s="1238"/>
      <c r="X475" s="1238"/>
      <c r="Y475" s="1238"/>
      <c r="Z475" s="1238"/>
      <c r="AA475" s="1238"/>
      <c r="AB475" s="1238"/>
      <c r="AC475" s="1238"/>
      <c r="AD475" s="1241"/>
      <c r="AE475" s="1241"/>
      <c r="AF475" s="1241"/>
      <c r="AG475" s="1010"/>
      <c r="AH475" s="1630"/>
      <c r="AI475" s="923"/>
      <c r="AJ475" s="923"/>
      <c r="AK475" s="1172"/>
      <c r="AL475" s="1004"/>
      <c r="AM475" s="922"/>
      <c r="AN475" s="979"/>
    </row>
    <row r="476" spans="1:50" s="972" customFormat="1" ht="12.75" hidden="1" customHeight="1">
      <c r="A476" s="1098"/>
      <c r="B476" s="922"/>
      <c r="C476" s="1228"/>
      <c r="D476" s="1004"/>
      <c r="E476" s="1229"/>
      <c r="F476" s="1243" t="s">
        <v>1700</v>
      </c>
      <c r="G476" s="1004"/>
      <c r="H476" s="1004"/>
      <c r="I476" s="1238"/>
      <c r="J476" s="1238"/>
      <c r="K476" s="1238"/>
      <c r="L476" s="1238"/>
      <c r="M476" s="1238"/>
      <c r="N476" s="1238"/>
      <c r="O476" s="1238"/>
      <c r="P476" s="1238"/>
      <c r="Q476" s="1238"/>
      <c r="R476" s="1238"/>
      <c r="S476" s="1238"/>
      <c r="T476" s="1238"/>
      <c r="U476" s="1238"/>
      <c r="V476" s="2683" t="s">
        <v>600</v>
      </c>
      <c r="W476" s="2683"/>
      <c r="X476" s="2683"/>
      <c r="Y476" s="1238"/>
      <c r="Z476" s="1238"/>
      <c r="AA476" s="1238"/>
      <c r="AB476" s="1238"/>
      <c r="AC476" s="1238"/>
      <c r="AD476" s="1241"/>
      <c r="AE476" s="1241"/>
      <c r="AF476" s="1241"/>
      <c r="AG476" s="1010">
        <f>IF(AND($C$471="Yes",$V$474="N/A", $V$481="N/A",$V$485="N/A",$V$487="N/A"),(VLOOKUP(V476,$AO$444:$AP$446,2,FALSE)),0)</f>
        <v>0</v>
      </c>
      <c r="AH476" s="1630" t="s">
        <v>1499</v>
      </c>
      <c r="AI476" s="923"/>
      <c r="AJ476" s="923"/>
      <c r="AK476" s="1172"/>
      <c r="AL476" s="1004"/>
      <c r="AM476" s="922"/>
      <c r="AN476" s="979"/>
    </row>
    <row r="477" spans="1:50" s="922" customFormat="1" ht="12.75" hidden="1" customHeight="1">
      <c r="A477" s="1039"/>
      <c r="C477" s="1228"/>
      <c r="D477" s="1004"/>
      <c r="E477" s="1229"/>
      <c r="F477" s="1195"/>
      <c r="G477" s="1244"/>
      <c r="H477" s="1244"/>
      <c r="I477" s="1244"/>
      <c r="J477" s="1244"/>
      <c r="K477" s="1244"/>
      <c r="L477" s="1244"/>
      <c r="M477" s="1244"/>
      <c r="N477" s="1244"/>
      <c r="O477" s="1244"/>
      <c r="P477" s="1244"/>
      <c r="Q477" s="923"/>
      <c r="R477" s="923"/>
      <c r="S477" s="923"/>
      <c r="T477" s="923"/>
      <c r="U477" s="923"/>
      <c r="V477" s="923"/>
      <c r="W477" s="923"/>
      <c r="X477" s="923"/>
      <c r="Y477" s="923"/>
      <c r="Z477" s="923"/>
      <c r="AA477" s="923"/>
      <c r="AB477" s="923"/>
      <c r="AC477" s="923"/>
      <c r="AD477" s="1004"/>
      <c r="AE477" s="1004"/>
      <c r="AF477" s="1004"/>
      <c r="AG477" s="1195"/>
      <c r="AH477" s="1195"/>
      <c r="AI477" s="1195"/>
      <c r="AJ477" s="1195"/>
      <c r="AK477" s="1172"/>
      <c r="AL477" s="1004"/>
      <c r="AN477" s="979"/>
      <c r="AO477" s="922" t="s">
        <v>600</v>
      </c>
      <c r="AP477" s="922">
        <v>0</v>
      </c>
    </row>
    <row r="478" spans="1:50" s="922" customFormat="1" ht="12.75" hidden="1" customHeight="1">
      <c r="A478" s="1039"/>
      <c r="C478" s="1228"/>
      <c r="D478" s="1004"/>
      <c r="E478" s="1229"/>
      <c r="F478" s="1244" t="s">
        <v>1701</v>
      </c>
      <c r="G478" s="1004"/>
      <c r="H478" s="1004"/>
      <c r="I478" s="1229"/>
      <c r="J478" s="1229"/>
      <c r="K478" s="1229"/>
      <c r="L478" s="1229"/>
      <c r="M478" s="1229"/>
      <c r="N478" s="1229"/>
      <c r="O478" s="1229"/>
      <c r="P478" s="1229"/>
      <c r="Q478" s="923"/>
      <c r="R478" s="923"/>
      <c r="S478" s="923"/>
      <c r="T478" s="923"/>
      <c r="U478" s="923"/>
      <c r="V478" s="923"/>
      <c r="W478" s="923"/>
      <c r="X478" s="923"/>
      <c r="Y478" s="923"/>
      <c r="Z478" s="923"/>
      <c r="AA478" s="923"/>
      <c r="AB478" s="923"/>
      <c r="AC478" s="923"/>
      <c r="AD478" s="1004"/>
      <c r="AE478" s="1004"/>
      <c r="AF478" s="1004"/>
      <c r="AG478" s="1004"/>
      <c r="AH478" s="1004"/>
      <c r="AI478" s="1004"/>
      <c r="AJ478" s="923"/>
      <c r="AK478" s="1172"/>
      <c r="AL478" s="1004"/>
      <c r="AN478" s="979"/>
      <c r="AO478" s="922" t="s">
        <v>1702</v>
      </c>
      <c r="AP478" s="1047">
        <v>2</v>
      </c>
    </row>
    <row r="479" spans="1:50" s="922" customFormat="1" ht="12.75" hidden="1" customHeight="1">
      <c r="A479" s="1039"/>
      <c r="C479" s="1228"/>
      <c r="D479" s="1039"/>
      <c r="E479" s="1039"/>
      <c r="F479" s="1241" t="s">
        <v>1703</v>
      </c>
      <c r="G479" s="1039"/>
      <c r="H479" s="1039"/>
      <c r="I479" s="1039"/>
      <c r="J479" s="1039"/>
      <c r="K479" s="1039"/>
      <c r="L479" s="1039"/>
      <c r="M479" s="1229"/>
      <c r="N479" s="1229"/>
      <c r="O479" s="1229"/>
      <c r="P479" s="1229"/>
      <c r="Q479" s="923"/>
      <c r="R479" s="923"/>
      <c r="S479" s="923"/>
      <c r="T479" s="923"/>
      <c r="U479" s="923"/>
      <c r="V479" s="923"/>
      <c r="W479" s="923"/>
      <c r="X479" s="923"/>
      <c r="Y479" s="923"/>
      <c r="Z479" s="923"/>
      <c r="AA479" s="923"/>
      <c r="AB479" s="923"/>
      <c r="AC479" s="923"/>
      <c r="AD479" s="1004"/>
      <c r="AE479" s="1004"/>
      <c r="AF479" s="1004"/>
      <c r="AG479" s="1010"/>
      <c r="AH479" s="1630"/>
      <c r="AI479" s="923"/>
      <c r="AJ479" s="923"/>
      <c r="AK479" s="1172"/>
      <c r="AL479" s="1004"/>
      <c r="AN479" s="979"/>
      <c r="AO479" s="922" t="s">
        <v>1704</v>
      </c>
      <c r="AP479" s="922">
        <v>2</v>
      </c>
    </row>
    <row r="480" spans="1:50" s="972" customFormat="1" ht="12.75" hidden="1" customHeight="1">
      <c r="A480" s="1039"/>
      <c r="B480" s="922"/>
      <c r="C480" s="1180"/>
      <c r="D480" s="1235"/>
      <c r="E480" s="1235"/>
      <c r="F480" s="1241" t="s">
        <v>1705</v>
      </c>
      <c r="G480" s="1039"/>
      <c r="H480" s="1039"/>
      <c r="I480" s="1039"/>
      <c r="J480" s="1039"/>
      <c r="K480" s="1039"/>
      <c r="L480" s="1039"/>
      <c r="M480" s="1229"/>
      <c r="N480" s="1229"/>
      <c r="O480" s="1229"/>
      <c r="P480" s="1229"/>
      <c r="Q480" s="923"/>
      <c r="R480" s="923"/>
      <c r="S480" s="923"/>
      <c r="T480" s="923"/>
      <c r="U480" s="923"/>
      <c r="V480" s="923"/>
      <c r="W480" s="923"/>
      <c r="X480" s="923"/>
      <c r="Y480" s="923"/>
      <c r="Z480" s="923"/>
      <c r="AA480" s="923"/>
      <c r="AB480" s="923"/>
      <c r="AC480" s="923"/>
      <c r="AD480" s="1004"/>
      <c r="AE480" s="1004"/>
      <c r="AF480" s="1004"/>
      <c r="AG480" s="1010"/>
      <c r="AH480" s="1630"/>
      <c r="AI480" s="923"/>
      <c r="AJ480" s="923"/>
      <c r="AK480" s="1172"/>
      <c r="AL480" s="1004"/>
      <c r="AM480" s="922"/>
      <c r="AN480" s="1104"/>
      <c r="AO480" s="922" t="s">
        <v>1706</v>
      </c>
      <c r="AP480" s="922">
        <v>2</v>
      </c>
    </row>
    <row r="481" spans="1:81" s="922" customFormat="1" ht="12.75" hidden="1" customHeight="1">
      <c r="A481" s="1039"/>
      <c r="C481" s="1245"/>
      <c r="D481" s="1039"/>
      <c r="E481" s="1039"/>
      <c r="F481" s="1243" t="s">
        <v>1707</v>
      </c>
      <c r="G481" s="1039"/>
      <c r="H481" s="1039"/>
      <c r="I481" s="1039"/>
      <c r="J481" s="1039"/>
      <c r="K481" s="1039"/>
      <c r="L481" s="1039"/>
      <c r="M481" s="1229"/>
      <c r="N481" s="1229"/>
      <c r="O481" s="1229"/>
      <c r="P481" s="1229"/>
      <c r="Q481" s="923"/>
      <c r="R481" s="923"/>
      <c r="S481" s="923"/>
      <c r="T481" s="923"/>
      <c r="U481" s="923"/>
      <c r="V481" s="2683" t="s">
        <v>600</v>
      </c>
      <c r="W481" s="2683"/>
      <c r="X481" s="2683"/>
      <c r="Y481" s="923"/>
      <c r="Z481" s="923"/>
      <c r="AA481" s="923"/>
      <c r="AB481" s="923"/>
      <c r="AC481" s="923"/>
      <c r="AD481" s="1004"/>
      <c r="AE481" s="1004"/>
      <c r="AF481" s="1004"/>
      <c r="AG481" s="1010">
        <f>IF(AND($C$471="Yes",$V$474="N/A",$V$476="N/A", $V$485="N/A",$V$487="N/A"),(VLOOKUP($V$481,$AO$448:$AP$450,2,FALSE)),0)</f>
        <v>0</v>
      </c>
      <c r="AH481" s="1630" t="s">
        <v>1499</v>
      </c>
      <c r="AI481" s="923"/>
      <c r="AJ481" s="923"/>
      <c r="AK481" s="1172"/>
      <c r="AL481" s="1004"/>
      <c r="AN481" s="905"/>
    </row>
    <row r="482" spans="1:81" s="922" customFormat="1" ht="12.75" hidden="1" customHeight="1">
      <c r="A482" s="1039"/>
      <c r="C482" s="1228"/>
      <c r="D482" s="1039"/>
      <c r="E482" s="1039"/>
      <c r="F482" s="1004"/>
      <c r="G482" s="1004"/>
      <c r="H482" s="1004"/>
      <c r="I482" s="1039"/>
      <c r="J482" s="1039"/>
      <c r="K482" s="1039"/>
      <c r="L482" s="1039"/>
      <c r="M482" s="1229"/>
      <c r="N482" s="1229"/>
      <c r="O482" s="1229"/>
      <c r="P482" s="1229"/>
      <c r="Q482" s="923"/>
      <c r="R482" s="923"/>
      <c r="S482" s="923"/>
      <c r="T482" s="923"/>
      <c r="U482" s="923"/>
      <c r="V482" s="923"/>
      <c r="W482" s="923"/>
      <c r="X482" s="923"/>
      <c r="Y482" s="923"/>
      <c r="Z482" s="923"/>
      <c r="AA482" s="923"/>
      <c r="AB482" s="923"/>
      <c r="AC482" s="923"/>
      <c r="AD482" s="1004"/>
      <c r="AE482" s="1004"/>
      <c r="AF482" s="1004"/>
      <c r="AG482" s="1004"/>
      <c r="AH482" s="1004"/>
      <c r="AI482" s="1004"/>
      <c r="AJ482" s="923"/>
      <c r="AK482" s="1172"/>
      <c r="AL482" s="1004"/>
      <c r="AN482" s="1246"/>
    </row>
    <row r="483" spans="1:81" s="972" customFormat="1" ht="12.75" hidden="1" customHeight="1">
      <c r="A483" s="1039"/>
      <c r="B483" s="1005"/>
      <c r="C483" s="1247" t="s">
        <v>1708</v>
      </c>
      <c r="D483" s="1248"/>
      <c r="E483" s="1248"/>
      <c r="F483" s="1249" t="s">
        <v>1709</v>
      </c>
      <c r="G483" s="1152"/>
      <c r="H483" s="1152"/>
      <c r="I483" s="1248"/>
      <c r="J483" s="1248"/>
      <c r="K483" s="1248"/>
      <c r="L483" s="1248"/>
      <c r="M483" s="1248"/>
      <c r="N483" s="1248"/>
      <c r="O483" s="1248"/>
      <c r="P483" s="1248"/>
      <c r="Q483" s="1248"/>
      <c r="R483" s="1248"/>
      <c r="S483" s="1248"/>
      <c r="T483" s="1248"/>
      <c r="U483" s="1248"/>
      <c r="V483" s="1248"/>
      <c r="W483" s="1248"/>
      <c r="X483" s="1248"/>
      <c r="Y483" s="1248"/>
      <c r="Z483" s="1248"/>
      <c r="AA483" s="1248"/>
      <c r="AB483" s="1248"/>
      <c r="AC483" s="1248"/>
      <c r="AD483" s="1152"/>
      <c r="AE483" s="1152"/>
      <c r="AF483" s="1152"/>
      <c r="AG483" s="1152"/>
      <c r="AH483" s="1152"/>
      <c r="AI483" s="1152"/>
      <c r="AJ483" s="1248"/>
      <c r="AK483" s="1188"/>
      <c r="AL483" s="1004"/>
      <c r="AM483" s="922"/>
      <c r="AN483" s="966"/>
      <c r="AO483" s="922" t="s">
        <v>600</v>
      </c>
      <c r="AP483" s="922">
        <v>0</v>
      </c>
      <c r="AQ483" s="1192"/>
    </row>
    <row r="484" spans="1:81" s="972" customFormat="1" ht="12.75" hidden="1" customHeight="1">
      <c r="A484" s="1039"/>
      <c r="B484" s="1005"/>
      <c r="C484" s="1250"/>
      <c r="D484" s="2761"/>
      <c r="E484" s="2761"/>
      <c r="F484" s="1238" t="s">
        <v>1710</v>
      </c>
      <c r="G484" s="1195"/>
      <c r="H484" s="1195"/>
      <c r="I484" s="1004"/>
      <c r="J484" s="1004"/>
      <c r="K484" s="1004"/>
      <c r="L484" s="1004"/>
      <c r="M484" s="1004"/>
      <c r="N484" s="1004"/>
      <c r="O484" s="1004"/>
      <c r="P484" s="1004"/>
      <c r="Q484" s="1004"/>
      <c r="R484" s="1004"/>
      <c r="S484" s="1004"/>
      <c r="T484" s="1004"/>
      <c r="U484" s="1004"/>
      <c r="V484" s="1195"/>
      <c r="W484" s="1195"/>
      <c r="X484" s="1195"/>
      <c r="Y484" s="1004"/>
      <c r="Z484" s="1004"/>
      <c r="AA484" s="1004"/>
      <c r="AB484" s="1004"/>
      <c r="AC484" s="1004"/>
      <c r="AD484" s="1004"/>
      <c r="AE484" s="1004"/>
      <c r="AF484" s="1004"/>
      <c r="AG484" s="1195"/>
      <c r="AH484" s="1195"/>
      <c r="AI484" s="1195"/>
      <c r="AJ484" s="1195"/>
      <c r="AK484" s="1172"/>
      <c r="AL484" s="1004"/>
      <c r="AM484" s="922"/>
      <c r="AN484" s="966"/>
      <c r="AO484" s="922" t="s">
        <v>1711</v>
      </c>
      <c r="AP484" s="1047">
        <v>5</v>
      </c>
      <c r="AQ484" s="911"/>
    </row>
    <row r="485" spans="1:81" s="1113" customFormat="1" ht="12.75" hidden="1" customHeight="1">
      <c r="A485" s="1628"/>
      <c r="B485" s="1005"/>
      <c r="C485" s="1228"/>
      <c r="D485" s="1004"/>
      <c r="E485" s="1004"/>
      <c r="F485" s="1251" t="s">
        <v>1699</v>
      </c>
      <c r="G485" s="1004"/>
      <c r="H485" s="1004"/>
      <c r="I485" s="1004"/>
      <c r="J485" s="1004"/>
      <c r="K485" s="1004"/>
      <c r="L485" s="1004"/>
      <c r="M485" s="1004"/>
      <c r="N485" s="1004"/>
      <c r="O485" s="1004"/>
      <c r="P485" s="1004"/>
      <c r="Q485" s="1004"/>
      <c r="R485" s="1004"/>
      <c r="S485" s="1004"/>
      <c r="T485" s="1004"/>
      <c r="U485" s="1004"/>
      <c r="V485" s="2683" t="s">
        <v>600</v>
      </c>
      <c r="W485" s="2683"/>
      <c r="X485" s="2683"/>
      <c r="Y485" s="1004"/>
      <c r="Z485" s="1004"/>
      <c r="AA485" s="1004"/>
      <c r="AB485" s="1004"/>
      <c r="AC485" s="1004"/>
      <c r="AD485" s="1004"/>
      <c r="AE485" s="1004"/>
      <c r="AF485" s="1004"/>
      <c r="AG485" s="1010">
        <f>IF(AND($C$471="Yes",$V$474="N/A",V476="N/A",$V$481="N/A",$V$487="N/A"),(VLOOKUP($V$485,$AW$444:$AX$447,2,FALSE)),0)</f>
        <v>0</v>
      </c>
      <c r="AH485" s="1630" t="s">
        <v>1499</v>
      </c>
      <c r="AI485" s="923"/>
      <c r="AJ485" s="1004"/>
      <c r="AK485" s="1172"/>
      <c r="AL485" s="1004"/>
      <c r="AM485" s="922"/>
      <c r="AN485" s="1112"/>
      <c r="AO485" s="922" t="s">
        <v>1712</v>
      </c>
      <c r="AP485" s="922">
        <v>5</v>
      </c>
      <c r="AS485" s="922"/>
      <c r="AT485" s="922"/>
      <c r="AU485" s="922"/>
      <c r="AV485" s="922"/>
      <c r="AW485" s="922"/>
      <c r="AX485" s="922"/>
      <c r="AY485" s="922"/>
      <c r="AZ485" s="922"/>
      <c r="BA485" s="922"/>
      <c r="BB485" s="922"/>
      <c r="BO485" s="922"/>
      <c r="BP485" s="922"/>
      <c r="BQ485" s="922"/>
      <c r="BR485" s="922"/>
      <c r="BS485" s="922"/>
      <c r="BT485" s="922"/>
      <c r="BU485" s="922"/>
      <c r="BV485" s="922"/>
      <c r="BW485" s="922"/>
      <c r="BX485" s="922"/>
      <c r="BY485" s="922"/>
      <c r="BZ485" s="922"/>
      <c r="CA485" s="922"/>
      <c r="CB485" s="922"/>
      <c r="CC485" s="922"/>
    </row>
    <row r="486" spans="1:81" s="1113" customFormat="1" ht="12.75" hidden="1" customHeight="1">
      <c r="A486" s="1628"/>
      <c r="B486" s="1005"/>
      <c r="C486" s="1228"/>
      <c r="D486" s="1004"/>
      <c r="E486" s="1004"/>
      <c r="F486" s="943"/>
      <c r="G486" s="943"/>
      <c r="H486" s="943"/>
      <c r="I486" s="1004"/>
      <c r="J486" s="1004"/>
      <c r="K486" s="1004"/>
      <c r="L486" s="1004"/>
      <c r="M486" s="1004"/>
      <c r="N486" s="1004"/>
      <c r="O486" s="1004"/>
      <c r="P486" s="1004"/>
      <c r="Q486" s="1004"/>
      <c r="R486" s="1004"/>
      <c r="S486" s="1004"/>
      <c r="T486" s="1004"/>
      <c r="U486" s="1004"/>
      <c r="V486" s="1004"/>
      <c r="W486" s="1004"/>
      <c r="X486" s="1004"/>
      <c r="Y486" s="1004"/>
      <c r="Z486" s="1004"/>
      <c r="AA486" s="1004"/>
      <c r="AB486" s="1004"/>
      <c r="AC486" s="1004"/>
      <c r="AD486" s="1004"/>
      <c r="AE486" s="1004"/>
      <c r="AF486" s="1004"/>
      <c r="AG486" s="943"/>
      <c r="AH486" s="943"/>
      <c r="AI486" s="943"/>
      <c r="AJ486" s="943"/>
      <c r="AK486" s="1172"/>
      <c r="AL486" s="1004"/>
      <c r="AM486" s="922"/>
      <c r="AN486" s="1112"/>
      <c r="AO486" s="922" t="s">
        <v>1713</v>
      </c>
      <c r="AP486" s="922">
        <v>5</v>
      </c>
      <c r="AS486" s="922"/>
      <c r="AT486" s="922"/>
      <c r="AU486" s="922"/>
      <c r="AV486" s="922"/>
      <c r="AW486" s="922"/>
      <c r="AX486" s="922"/>
      <c r="AY486" s="922"/>
      <c r="AZ486" s="922"/>
      <c r="BA486" s="922"/>
      <c r="BB486" s="922"/>
      <c r="BC486" s="922"/>
      <c r="BD486" s="922"/>
      <c r="BE486" s="922"/>
      <c r="BF486" s="922"/>
      <c r="BG486" s="922"/>
      <c r="BH486" s="922"/>
      <c r="BI486" s="922"/>
      <c r="BJ486" s="922"/>
      <c r="BK486" s="922"/>
      <c r="BL486" s="922"/>
      <c r="BM486" s="922"/>
      <c r="BN486" s="922"/>
      <c r="BO486" s="922"/>
      <c r="BP486" s="922"/>
      <c r="BQ486" s="922"/>
      <c r="BR486" s="922"/>
      <c r="BS486" s="922"/>
      <c r="BT486" s="922"/>
      <c r="BU486" s="922"/>
      <c r="BV486" s="922"/>
      <c r="BW486" s="922"/>
      <c r="BX486" s="922"/>
      <c r="BY486" s="922"/>
      <c r="BZ486" s="922"/>
      <c r="CA486" s="922"/>
      <c r="CB486" s="922"/>
      <c r="CC486" s="922"/>
    </row>
    <row r="487" spans="1:81" s="911" customFormat="1" ht="12.75" hidden="1" customHeight="1">
      <c r="A487" s="1628"/>
      <c r="B487" s="1005"/>
      <c r="C487" s="1230"/>
      <c r="D487" s="1167"/>
      <c r="E487" s="1167"/>
      <c r="F487" s="1243" t="s">
        <v>1700</v>
      </c>
      <c r="G487" s="1252"/>
      <c r="H487" s="1252"/>
      <c r="I487" s="1167"/>
      <c r="J487" s="1167"/>
      <c r="K487" s="1167"/>
      <c r="L487" s="1167"/>
      <c r="M487" s="1167"/>
      <c r="N487" s="1167"/>
      <c r="O487" s="1167"/>
      <c r="P487" s="1167"/>
      <c r="Q487" s="1167"/>
      <c r="R487" s="1167"/>
      <c r="S487" s="1167"/>
      <c r="T487" s="1167"/>
      <c r="U487" s="1167"/>
      <c r="V487" s="2683" t="s">
        <v>600</v>
      </c>
      <c r="W487" s="2683"/>
      <c r="X487" s="2683"/>
      <c r="Y487" s="1167"/>
      <c r="Z487" s="1167"/>
      <c r="AA487" s="1167"/>
      <c r="AB487" s="1167"/>
      <c r="AC487" s="1167"/>
      <c r="AD487" s="1167"/>
      <c r="AE487" s="1167"/>
      <c r="AF487" s="1167"/>
      <c r="AG487" s="1253">
        <f>IF(AND($C$471="Yes",$V$474="N/A",$V$476="N/A",$V$481="N/A",$V$485="N/A"),(VLOOKUP($V$487,$BA$444:$BB$446,2,FALSE)),0)</f>
        <v>0</v>
      </c>
      <c r="AH487" s="1234" t="s">
        <v>1499</v>
      </c>
      <c r="AI487" s="1167"/>
      <c r="AJ487" s="1167"/>
      <c r="AK487" s="1183"/>
      <c r="AL487" s="1004"/>
      <c r="AM487" s="922"/>
      <c r="AN487" s="1254"/>
      <c r="AP487" s="972"/>
      <c r="AQ487" s="972"/>
      <c r="AR487" s="972"/>
      <c r="AS487" s="972"/>
      <c r="AT487" s="972"/>
      <c r="AU487" s="972"/>
      <c r="AV487" s="972"/>
      <c r="AW487" s="972"/>
      <c r="AX487" s="972"/>
      <c r="AY487" s="972"/>
      <c r="AZ487" s="972"/>
      <c r="BA487" s="972"/>
      <c r="BB487" s="972"/>
      <c r="BC487" s="972"/>
      <c r="BE487" s="972"/>
      <c r="BF487" s="972"/>
      <c r="BG487" s="972"/>
      <c r="BH487" s="972"/>
      <c r="BI487" s="972"/>
      <c r="BJ487" s="972"/>
      <c r="BK487" s="972"/>
      <c r="BL487" s="972"/>
      <c r="BM487" s="972"/>
      <c r="BN487" s="972"/>
      <c r="BO487" s="972"/>
      <c r="BP487" s="972"/>
      <c r="BQ487" s="972"/>
      <c r="BR487" s="972"/>
    </row>
    <row r="488" spans="1:81" s="911" customFormat="1" ht="12.75" hidden="1" customHeight="1">
      <c r="A488" s="1628"/>
      <c r="B488" s="1005"/>
      <c r="C488" s="923"/>
      <c r="D488" s="922"/>
      <c r="E488" s="1229"/>
      <c r="F488" s="922"/>
      <c r="G488" s="922"/>
      <c r="H488" s="922"/>
      <c r="I488" s="922"/>
      <c r="J488" s="922"/>
      <c r="K488" s="922"/>
      <c r="L488" s="922"/>
      <c r="M488" s="922"/>
      <c r="N488" s="922"/>
      <c r="O488" s="922"/>
      <c r="P488" s="922"/>
      <c r="Q488" s="922"/>
      <c r="R488" s="922"/>
      <c r="S488" s="922"/>
      <c r="T488" s="922"/>
      <c r="U488" s="922"/>
      <c r="V488" s="922"/>
      <c r="W488" s="922"/>
      <c r="X488" s="922"/>
      <c r="Y488" s="922"/>
      <c r="Z488" s="922"/>
      <c r="AA488" s="922"/>
      <c r="AB488" s="922"/>
      <c r="AC488" s="922"/>
      <c r="AD488" s="922"/>
      <c r="AE488" s="922"/>
      <c r="AF488" s="922"/>
      <c r="AG488" s="922"/>
      <c r="AH488" s="922"/>
      <c r="AI488" s="922"/>
      <c r="AJ488" s="922"/>
      <c r="AK488" s="922"/>
      <c r="AL488" s="922"/>
      <c r="AM488" s="922"/>
      <c r="AN488" s="1254"/>
      <c r="AO488" s="1255"/>
      <c r="AP488" s="1005"/>
      <c r="AQ488" s="1005"/>
      <c r="AR488" s="1005"/>
      <c r="AS488" s="1005"/>
      <c r="AT488" s="1005"/>
      <c r="AU488" s="1256"/>
      <c r="AV488" s="1256"/>
      <c r="AW488" s="1256"/>
      <c r="AX488" s="1256"/>
      <c r="AY488" s="1256"/>
      <c r="AZ488" s="1256"/>
      <c r="BA488" s="1256"/>
      <c r="BB488" s="1044"/>
      <c r="BC488" s="1044"/>
      <c r="BD488" s="965"/>
      <c r="BE488" s="1005"/>
      <c r="BF488" s="1005"/>
      <c r="BG488" s="1005"/>
      <c r="BH488" s="1005"/>
      <c r="BI488" s="1005"/>
      <c r="BJ488" s="1256"/>
      <c r="BK488" s="1256"/>
      <c r="BL488" s="1256"/>
      <c r="BM488" s="1256"/>
      <c r="BN488" s="1256"/>
      <c r="BO488" s="1256"/>
      <c r="BP488" s="1256"/>
      <c r="BQ488" s="1044"/>
      <c r="BR488" s="1005"/>
      <c r="BS488" s="965"/>
      <c r="BT488" s="965"/>
      <c r="BU488" s="965"/>
      <c r="BV488" s="965"/>
      <c r="BW488" s="965"/>
      <c r="BX488" s="965"/>
      <c r="BY488" s="965"/>
      <c r="BZ488" s="965"/>
      <c r="CA488" s="965"/>
      <c r="CB488" s="965"/>
      <c r="CC488" s="965"/>
    </row>
    <row r="489" spans="1:81" s="911" customFormat="1" ht="12.75" hidden="1" customHeight="1">
      <c r="A489" s="1628"/>
      <c r="B489" s="922"/>
      <c r="C489" s="1226" t="s">
        <v>1714</v>
      </c>
      <c r="D489" s="1005"/>
      <c r="E489" s="1229"/>
      <c r="F489" s="923"/>
      <c r="G489" s="923"/>
      <c r="H489" s="923"/>
      <c r="I489" s="923"/>
      <c r="J489" s="923"/>
      <c r="K489" s="923"/>
      <c r="L489" s="923"/>
      <c r="M489" s="923"/>
      <c r="N489" s="923"/>
      <c r="O489" s="923"/>
      <c r="P489" s="923"/>
      <c r="Q489" s="923"/>
      <c r="R489" s="923"/>
      <c r="S489" s="923"/>
      <c r="T489" s="923"/>
      <c r="U489" s="923"/>
      <c r="V489" s="923"/>
      <c r="W489" s="923"/>
      <c r="X489" s="923"/>
      <c r="Y489" s="923"/>
      <c r="Z489" s="923"/>
      <c r="AA489" s="923"/>
      <c r="AB489" s="923"/>
      <c r="AC489" s="923"/>
      <c r="AD489" s="922"/>
      <c r="AE489" s="922"/>
      <c r="AF489" s="922"/>
      <c r="AG489" s="923"/>
      <c r="AH489" s="923"/>
      <c r="AI489" s="923"/>
      <c r="AJ489" s="923"/>
      <c r="AK489" s="922"/>
      <c r="AL489" s="922"/>
      <c r="AM489" s="922"/>
      <c r="AN489" s="1254"/>
      <c r="AO489" s="1255"/>
      <c r="AP489" s="1005"/>
      <c r="AQ489" s="1005"/>
      <c r="AR489" s="1005"/>
      <c r="AS489" s="1005"/>
      <c r="AT489" s="1005"/>
      <c r="AU489" s="1256"/>
      <c r="AV489" s="1256"/>
      <c r="AW489" s="1256"/>
      <c r="AX489" s="1256"/>
      <c r="AY489" s="1256"/>
      <c r="AZ489" s="1256"/>
      <c r="BA489" s="1256"/>
      <c r="BB489" s="1044"/>
      <c r="BC489" s="1044"/>
      <c r="BD489" s="965"/>
      <c r="BE489" s="1005"/>
      <c r="BF489" s="1005"/>
      <c r="BG489" s="1005"/>
      <c r="BH489" s="1005"/>
      <c r="BI489" s="1005"/>
      <c r="BJ489" s="1256"/>
      <c r="BK489" s="1256"/>
      <c r="BL489" s="1256"/>
      <c r="BM489" s="1256"/>
      <c r="BN489" s="1256"/>
      <c r="BO489" s="1256"/>
      <c r="BP489" s="1256"/>
      <c r="BQ489" s="1044"/>
      <c r="BR489" s="1005"/>
      <c r="BS489" s="965"/>
      <c r="BT489" s="965"/>
      <c r="BU489" s="965"/>
      <c r="BV489" s="965"/>
      <c r="BW489" s="965"/>
      <c r="BX489" s="965"/>
      <c r="BY489" s="965"/>
      <c r="BZ489" s="965"/>
      <c r="CA489" s="965"/>
      <c r="CB489" s="965"/>
      <c r="CC489" s="965"/>
    </row>
    <row r="490" spans="1:81" s="1113" customFormat="1" ht="12.75" hidden="1" customHeight="1">
      <c r="A490" s="1628"/>
      <c r="B490" s="922"/>
      <c r="C490" s="2758" t="s">
        <v>600</v>
      </c>
      <c r="D490" s="2759"/>
      <c r="E490" s="1227" t="s">
        <v>516</v>
      </c>
      <c r="F490" s="2783" t="s">
        <v>1693</v>
      </c>
      <c r="G490" s="2783"/>
      <c r="H490" s="2783"/>
      <c r="I490" s="2783"/>
      <c r="J490" s="2783"/>
      <c r="K490" s="2783"/>
      <c r="L490" s="2783"/>
      <c r="M490" s="2783"/>
      <c r="N490" s="2783"/>
      <c r="O490" s="2783"/>
      <c r="P490" s="2783"/>
      <c r="Q490" s="2783"/>
      <c r="R490" s="2783"/>
      <c r="S490" s="2783"/>
      <c r="T490" s="2783"/>
      <c r="U490" s="2783"/>
      <c r="V490" s="2783"/>
      <c r="W490" s="2783"/>
      <c r="X490" s="2783"/>
      <c r="Y490" s="2783"/>
      <c r="Z490" s="2783"/>
      <c r="AA490" s="2783"/>
      <c r="AB490" s="2783"/>
      <c r="AC490" s="2783"/>
      <c r="AD490" s="2783"/>
      <c r="AE490" s="2783"/>
      <c r="AF490" s="1152"/>
      <c r="AG490" s="1186"/>
      <c r="AH490" s="1186"/>
      <c r="AI490" s="1186"/>
      <c r="AJ490" s="1186"/>
      <c r="AK490" s="1188"/>
      <c r="AL490" s="1004"/>
      <c r="AM490" s="922"/>
      <c r="AN490" s="904"/>
      <c r="AO490" s="1084"/>
      <c r="AP490" s="1005"/>
      <c r="AQ490" s="1005"/>
      <c r="AR490" s="1005"/>
      <c r="AS490" s="1005"/>
      <c r="AT490" s="1005"/>
      <c r="AU490" s="1257"/>
      <c r="AV490" s="1257"/>
      <c r="AW490" s="1257"/>
      <c r="AX490" s="1257"/>
      <c r="AY490" s="1257"/>
      <c r="AZ490" s="1257"/>
      <c r="BA490" s="1257"/>
      <c r="BB490" s="1005"/>
      <c r="BC490" s="1005"/>
      <c r="BD490" s="985"/>
      <c r="BE490" s="1005"/>
      <c r="BF490" s="1005"/>
      <c r="BG490" s="1005"/>
      <c r="BH490" s="1005"/>
      <c r="BI490" s="1005"/>
      <c r="BJ490" s="1257"/>
      <c r="BK490" s="1257"/>
      <c r="BL490" s="1257"/>
      <c r="BM490" s="1257"/>
      <c r="BN490" s="1257"/>
      <c r="BO490" s="1257"/>
      <c r="BP490" s="1257"/>
      <c r="BQ490" s="1005"/>
      <c r="BR490" s="1005"/>
      <c r="BS490" s="985"/>
      <c r="BT490" s="985"/>
      <c r="BU490" s="985"/>
      <c r="BV490" s="985"/>
      <c r="BW490" s="985"/>
      <c r="BX490" s="985"/>
      <c r="BY490" s="985"/>
      <c r="BZ490" s="985"/>
      <c r="CA490" s="985"/>
      <c r="CB490" s="985"/>
      <c r="CC490" s="985"/>
    </row>
    <row r="491" spans="1:81" s="1113" customFormat="1" ht="12.75" hidden="1" customHeight="1">
      <c r="A491" s="1628"/>
      <c r="B491" s="922"/>
      <c r="C491" s="1228"/>
      <c r="D491" s="1004"/>
      <c r="E491" s="1229"/>
      <c r="F491" s="2784"/>
      <c r="G491" s="2784"/>
      <c r="H491" s="2784"/>
      <c r="I491" s="2784"/>
      <c r="J491" s="2784"/>
      <c r="K491" s="2784"/>
      <c r="L491" s="2784"/>
      <c r="M491" s="2784"/>
      <c r="N491" s="2784"/>
      <c r="O491" s="2784"/>
      <c r="P491" s="2784"/>
      <c r="Q491" s="2784"/>
      <c r="R491" s="2784"/>
      <c r="S491" s="2784"/>
      <c r="T491" s="2784"/>
      <c r="U491" s="2784"/>
      <c r="V491" s="2784"/>
      <c r="W491" s="2784"/>
      <c r="X491" s="2784"/>
      <c r="Y491" s="2784"/>
      <c r="Z491" s="2784"/>
      <c r="AA491" s="2784"/>
      <c r="AB491" s="2784"/>
      <c r="AC491" s="2784"/>
      <c r="AD491" s="2784"/>
      <c r="AE491" s="2784"/>
      <c r="AF491" s="1004"/>
      <c r="AG491" s="923"/>
      <c r="AH491" s="923"/>
      <c r="AI491" s="923"/>
      <c r="AJ491" s="923"/>
      <c r="AK491" s="1172"/>
      <c r="AL491" s="1004"/>
      <c r="AM491" s="922"/>
      <c r="AN491" s="904"/>
      <c r="AO491" s="1084"/>
      <c r="AP491" s="1258"/>
      <c r="AQ491" s="1258"/>
      <c r="AR491" s="1258"/>
      <c r="AS491" s="1259"/>
      <c r="AT491" s="1005"/>
      <c r="AU491" s="1260"/>
      <c r="AV491" s="1260"/>
      <c r="AW491" s="1260"/>
      <c r="AX491" s="1260"/>
      <c r="AY491" s="1260"/>
      <c r="AZ491" s="1260"/>
      <c r="BA491" s="1260"/>
      <c r="BB491" s="1041"/>
      <c r="BC491" s="1041"/>
      <c r="BD491" s="985"/>
      <c r="BE491" s="1258"/>
      <c r="BF491" s="1258"/>
      <c r="BG491" s="1258"/>
      <c r="BH491" s="1259"/>
      <c r="BI491" s="1005"/>
      <c r="BJ491" s="1261"/>
      <c r="BK491" s="1260"/>
      <c r="BL491" s="1260"/>
      <c r="BM491" s="1260"/>
      <c r="BN491" s="1260"/>
      <c r="BO491" s="1260"/>
      <c r="BP491" s="1260"/>
      <c r="BQ491" s="1041"/>
      <c r="BR491" s="1005"/>
      <c r="BS491" s="985"/>
      <c r="BT491" s="985"/>
      <c r="BU491" s="985"/>
      <c r="BV491" s="985"/>
      <c r="BW491" s="985"/>
      <c r="BX491" s="985"/>
      <c r="BY491" s="985"/>
      <c r="BZ491" s="985"/>
      <c r="CA491" s="985"/>
      <c r="CB491" s="985"/>
      <c r="CC491" s="985"/>
    </row>
    <row r="492" spans="1:81" s="1113" customFormat="1" ht="12.75" hidden="1" customHeight="1">
      <c r="A492" s="1628"/>
      <c r="B492" s="922"/>
      <c r="C492" s="1230"/>
      <c r="D492" s="1167"/>
      <c r="E492" s="1231"/>
      <c r="F492" s="2767" t="s">
        <v>600</v>
      </c>
      <c r="G492" s="2767"/>
      <c r="H492" s="2767"/>
      <c r="I492" s="2767"/>
      <c r="J492" s="2767"/>
      <c r="K492" s="2767"/>
      <c r="L492" s="2767"/>
      <c r="M492" s="2767"/>
      <c r="N492" s="2767"/>
      <c r="O492" s="2767"/>
      <c r="P492" s="2767"/>
      <c r="Q492" s="2767"/>
      <c r="R492" s="2767"/>
      <c r="S492" s="2767"/>
      <c r="T492" s="2767"/>
      <c r="U492" s="2767"/>
      <c r="V492" s="2767"/>
      <c r="W492" s="2767"/>
      <c r="X492" s="2767"/>
      <c r="Y492" s="2767"/>
      <c r="Z492" s="2767"/>
      <c r="AA492" s="1232"/>
      <c r="AB492" s="1079"/>
      <c r="AC492" s="1079"/>
      <c r="AD492" s="1167"/>
      <c r="AE492" s="1167"/>
      <c r="AF492" s="1167"/>
      <c r="AG492" s="1233">
        <f>IF($C$490="Yes",(VLOOKUP($F$492,$AO$460:$AP$468,2,FALSE)),0)</f>
        <v>0</v>
      </c>
      <c r="AH492" s="1234" t="s">
        <v>1499</v>
      </c>
      <c r="AI492" s="1233"/>
      <c r="AJ492" s="1079"/>
      <c r="AK492" s="1183"/>
      <c r="AL492" s="1004"/>
      <c r="AM492" s="922"/>
      <c r="AN492" s="904"/>
      <c r="AO492" s="1084"/>
      <c r="AP492" s="1258"/>
      <c r="AQ492" s="1258"/>
      <c r="AR492" s="1258"/>
      <c r="AS492" s="1259"/>
      <c r="AT492" s="1005"/>
      <c r="AU492" s="1260"/>
      <c r="AV492" s="1260"/>
      <c r="AW492" s="1260"/>
      <c r="AX492" s="1260"/>
      <c r="AY492" s="1260"/>
      <c r="AZ492" s="1260"/>
      <c r="BA492" s="1260"/>
      <c r="BB492" s="1041"/>
      <c r="BC492" s="1041"/>
      <c r="BD492" s="985"/>
      <c r="BE492" s="1258"/>
      <c r="BF492" s="1258"/>
      <c r="BG492" s="1258"/>
      <c r="BH492" s="1259"/>
      <c r="BI492" s="1005"/>
      <c r="BJ492" s="1261"/>
      <c r="BK492" s="1260"/>
      <c r="BL492" s="1260"/>
      <c r="BM492" s="1260"/>
      <c r="BN492" s="1260"/>
      <c r="BO492" s="1260"/>
      <c r="BP492" s="1260"/>
      <c r="BQ492" s="1041"/>
      <c r="BR492" s="1005"/>
      <c r="BS492" s="985"/>
      <c r="BT492" s="985"/>
      <c r="BU492" s="985"/>
      <c r="BV492" s="985"/>
      <c r="BW492" s="985"/>
      <c r="BX492" s="985"/>
      <c r="BY492" s="985"/>
      <c r="BZ492" s="985"/>
      <c r="CA492" s="985"/>
      <c r="CB492" s="985"/>
      <c r="CC492" s="985"/>
    </row>
    <row r="493" spans="1:81" s="1113" customFormat="1" ht="12.75" hidden="1" customHeight="1">
      <c r="A493" s="1628"/>
      <c r="B493" s="922"/>
      <c r="C493" s="1226"/>
      <c r="D493" s="1005"/>
      <c r="E493" s="1229"/>
      <c r="F493" s="923"/>
      <c r="G493" s="923"/>
      <c r="H493" s="923"/>
      <c r="I493" s="923"/>
      <c r="J493" s="923"/>
      <c r="K493" s="923"/>
      <c r="L493" s="923"/>
      <c r="M493" s="923"/>
      <c r="N493" s="923"/>
      <c r="O493" s="923"/>
      <c r="P493" s="923"/>
      <c r="Q493" s="923"/>
      <c r="R493" s="923"/>
      <c r="S493" s="923"/>
      <c r="T493" s="923"/>
      <c r="U493" s="923"/>
      <c r="V493" s="923"/>
      <c r="W493" s="923"/>
      <c r="X493" s="923"/>
      <c r="Y493" s="923"/>
      <c r="Z493" s="923"/>
      <c r="AA493" s="923"/>
      <c r="AB493" s="923"/>
      <c r="AC493" s="923"/>
      <c r="AD493" s="1004"/>
      <c r="AE493" s="1004"/>
      <c r="AF493" s="1004"/>
      <c r="AG493" s="923"/>
      <c r="AH493" s="923"/>
      <c r="AI493" s="923"/>
      <c r="AJ493" s="923"/>
      <c r="AK493" s="1004"/>
      <c r="AL493" s="1004"/>
      <c r="AM493" s="922"/>
      <c r="AN493" s="904"/>
      <c r="AO493" s="1084"/>
      <c r="AP493" s="1258"/>
      <c r="AQ493" s="1258"/>
      <c r="AR493" s="1258"/>
      <c r="AS493" s="1259"/>
      <c r="AT493" s="1005"/>
      <c r="AU493" s="1260"/>
      <c r="AV493" s="1260"/>
      <c r="AW493" s="1260"/>
      <c r="AX493" s="1260"/>
      <c r="AY493" s="1260"/>
      <c r="AZ493" s="1260"/>
      <c r="BA493" s="1260"/>
      <c r="BB493" s="1041"/>
      <c r="BC493" s="1041"/>
      <c r="BD493" s="985"/>
      <c r="BE493" s="1258"/>
      <c r="BF493" s="1258"/>
      <c r="BG493" s="1258"/>
      <c r="BH493" s="1259"/>
      <c r="BI493" s="1005"/>
      <c r="BJ493" s="1261"/>
      <c r="BK493" s="1260"/>
      <c r="BL493" s="1260"/>
      <c r="BM493" s="1260"/>
      <c r="BN493" s="1260"/>
      <c r="BO493" s="1260"/>
      <c r="BP493" s="1260"/>
      <c r="BQ493" s="1041"/>
      <c r="BR493" s="1005"/>
      <c r="BS493" s="985"/>
      <c r="BT493" s="985"/>
      <c r="BU493" s="985"/>
      <c r="BV493" s="985"/>
      <c r="BW493" s="985"/>
      <c r="BX493" s="985"/>
      <c r="BY493" s="985"/>
      <c r="BZ493" s="985"/>
      <c r="CA493" s="985"/>
      <c r="CB493" s="985"/>
      <c r="CC493" s="985"/>
    </row>
    <row r="494" spans="1:81" s="1113" customFormat="1" ht="12.75" hidden="1" customHeight="1">
      <c r="A494" s="1039"/>
      <c r="B494" s="922"/>
      <c r="C494" s="2758" t="s">
        <v>600</v>
      </c>
      <c r="D494" s="2759"/>
      <c r="E494" s="1227" t="s">
        <v>769</v>
      </c>
      <c r="F494" s="2768" t="s">
        <v>1715</v>
      </c>
      <c r="G494" s="2768"/>
      <c r="H494" s="2768"/>
      <c r="I494" s="2768"/>
      <c r="J494" s="2768"/>
      <c r="K494" s="2768"/>
      <c r="L494" s="2768"/>
      <c r="M494" s="2768"/>
      <c r="N494" s="2768"/>
      <c r="O494" s="2768"/>
      <c r="P494" s="2768"/>
      <c r="Q494" s="2768"/>
      <c r="R494" s="2768"/>
      <c r="S494" s="2768"/>
      <c r="T494" s="2768"/>
      <c r="U494" s="2768"/>
      <c r="V494" s="2768"/>
      <c r="W494" s="2768"/>
      <c r="X494" s="2768"/>
      <c r="Y494" s="2768"/>
      <c r="Z494" s="2768"/>
      <c r="AA494" s="2768"/>
      <c r="AB494" s="2768"/>
      <c r="AC494" s="2768"/>
      <c r="AD494" s="2768"/>
      <c r="AE494" s="2768"/>
      <c r="AF494" s="1152"/>
      <c r="AG494" s="1066"/>
      <c r="AH494" s="1066"/>
      <c r="AI494" s="1066"/>
      <c r="AJ494" s="1066"/>
      <c r="AK494" s="1188"/>
      <c r="AL494" s="1004"/>
      <c r="AM494" s="922"/>
      <c r="AN494" s="904"/>
      <c r="AO494" s="1084"/>
      <c r="AP494" s="1258"/>
      <c r="AQ494" s="1258"/>
      <c r="AR494" s="1258"/>
      <c r="AS494" s="1259"/>
      <c r="AT494" s="1005"/>
      <c r="AU494" s="1260"/>
      <c r="AV494" s="1260"/>
      <c r="AW494" s="1260"/>
      <c r="AX494" s="1260"/>
      <c r="AY494" s="1260"/>
      <c r="AZ494" s="1260"/>
      <c r="BA494" s="1260"/>
      <c r="BB494" s="1041"/>
      <c r="BC494" s="1041"/>
      <c r="BD494" s="985"/>
      <c r="BE494" s="1258"/>
      <c r="BF494" s="1258"/>
      <c r="BG494" s="1258"/>
      <c r="BH494" s="1259"/>
      <c r="BI494" s="1005"/>
      <c r="BJ494" s="1261"/>
      <c r="BK494" s="1260"/>
      <c r="BL494" s="1260"/>
      <c r="BM494" s="1260"/>
      <c r="BN494" s="1260"/>
      <c r="BO494" s="1260"/>
      <c r="BP494" s="1260"/>
      <c r="BQ494" s="1041"/>
      <c r="BR494" s="1005"/>
      <c r="BS494" s="985"/>
      <c r="BT494" s="985"/>
      <c r="BU494" s="985"/>
      <c r="BV494" s="985"/>
      <c r="BW494" s="985"/>
      <c r="BX494" s="985"/>
      <c r="BY494" s="985"/>
      <c r="BZ494" s="985"/>
      <c r="CA494" s="985"/>
      <c r="CB494" s="985"/>
      <c r="CC494" s="985"/>
    </row>
    <row r="495" spans="1:81" s="1113" customFormat="1" ht="12.75" hidden="1" customHeight="1">
      <c r="A495" s="1039"/>
      <c r="B495" s="922"/>
      <c r="C495" s="1228"/>
      <c r="D495" s="1004"/>
      <c r="E495" s="1229"/>
      <c r="F495" s="2769"/>
      <c r="G495" s="2769"/>
      <c r="H495" s="2769"/>
      <c r="I495" s="2769"/>
      <c r="J495" s="2769"/>
      <c r="K495" s="2769"/>
      <c r="L495" s="2769"/>
      <c r="M495" s="2769"/>
      <c r="N495" s="2769"/>
      <c r="O495" s="2769"/>
      <c r="P495" s="2769"/>
      <c r="Q495" s="2769"/>
      <c r="R495" s="2769"/>
      <c r="S495" s="2769"/>
      <c r="T495" s="2769"/>
      <c r="U495" s="2769"/>
      <c r="V495" s="2769"/>
      <c r="W495" s="2769"/>
      <c r="X495" s="2769"/>
      <c r="Y495" s="2769"/>
      <c r="Z495" s="2769"/>
      <c r="AA495" s="2769"/>
      <c r="AB495" s="2769"/>
      <c r="AC495" s="2769"/>
      <c r="AD495" s="2769"/>
      <c r="AE495" s="2769"/>
      <c r="AF495" s="1004"/>
      <c r="AG495" s="923"/>
      <c r="AH495" s="923"/>
      <c r="AI495" s="923"/>
      <c r="AJ495" s="923"/>
      <c r="AK495" s="1172"/>
      <c r="AL495" s="1004"/>
      <c r="AM495" s="922"/>
      <c r="AN495" s="904"/>
      <c r="AO495" s="1084"/>
      <c r="AP495" s="1258"/>
      <c r="AQ495" s="1258"/>
      <c r="AR495" s="1258"/>
      <c r="AS495" s="1259"/>
      <c r="AT495" s="1005"/>
      <c r="AU495" s="1260"/>
      <c r="AV495" s="1260"/>
      <c r="AW495" s="1260"/>
      <c r="AX495" s="1260"/>
      <c r="AY495" s="1260"/>
      <c r="AZ495" s="1260"/>
      <c r="BA495" s="1260"/>
      <c r="BB495" s="1041"/>
      <c r="BC495" s="1041"/>
      <c r="BD495" s="985"/>
      <c r="BE495" s="1258"/>
      <c r="BF495" s="1258"/>
      <c r="BG495" s="1258"/>
      <c r="BH495" s="1259"/>
      <c r="BI495" s="1005"/>
      <c r="BJ495" s="1261"/>
      <c r="BK495" s="1260"/>
      <c r="BL495" s="1260"/>
      <c r="BM495" s="1260"/>
      <c r="BN495" s="1260"/>
      <c r="BO495" s="1260"/>
      <c r="BP495" s="1260"/>
      <c r="BQ495" s="1041"/>
      <c r="BR495" s="1005"/>
      <c r="BS495" s="985"/>
      <c r="BT495" s="985"/>
      <c r="BU495" s="985"/>
      <c r="BV495" s="985"/>
      <c r="BW495" s="985"/>
      <c r="BX495" s="985"/>
      <c r="BY495" s="985"/>
      <c r="BZ495" s="985"/>
      <c r="CA495" s="985"/>
      <c r="CB495" s="985"/>
      <c r="CC495" s="985"/>
    </row>
    <row r="496" spans="1:81" s="1113" customFormat="1" ht="12.75" hidden="1" customHeight="1">
      <c r="A496" s="1039"/>
      <c r="B496" s="922"/>
      <c r="C496" s="1180"/>
      <c r="D496" s="1004"/>
      <c r="E496" s="1004"/>
      <c r="F496" s="1251" t="s">
        <v>1716</v>
      </c>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1622"/>
      <c r="AD496" s="1004"/>
      <c r="AE496" s="1004"/>
      <c r="AF496" s="1004"/>
      <c r="AG496" s="1010"/>
      <c r="AH496" s="1010"/>
      <c r="AI496" s="1010"/>
      <c r="AJ496" s="1010"/>
      <c r="AK496" s="1172"/>
      <c r="AL496" s="1004"/>
      <c r="AM496" s="922"/>
      <c r="AN496" s="904"/>
      <c r="AO496" s="985"/>
      <c r="AP496" s="1258"/>
      <c r="AQ496" s="1258"/>
      <c r="AR496" s="1258"/>
      <c r="AS496" s="1259"/>
      <c r="AT496" s="1005"/>
      <c r="AU496" s="1260"/>
      <c r="AV496" s="1260"/>
      <c r="AW496" s="1260"/>
      <c r="AX496" s="1260"/>
      <c r="AY496" s="1260"/>
      <c r="AZ496" s="1260"/>
      <c r="BA496" s="1260"/>
      <c r="BB496" s="985"/>
      <c r="BC496" s="985"/>
      <c r="BD496" s="985"/>
      <c r="BE496" s="1258"/>
      <c r="BF496" s="1258"/>
      <c r="BG496" s="1258"/>
      <c r="BH496" s="1259"/>
      <c r="BI496" s="1005"/>
      <c r="BJ496" s="1261"/>
      <c r="BK496" s="1260"/>
      <c r="BL496" s="1260"/>
      <c r="BM496" s="1260"/>
      <c r="BN496" s="1260"/>
      <c r="BO496" s="1260"/>
      <c r="BP496" s="1260"/>
      <c r="BQ496" s="985"/>
      <c r="BR496" s="1005"/>
      <c r="BS496" s="985"/>
      <c r="BT496" s="985"/>
      <c r="BU496" s="985"/>
      <c r="BV496" s="985"/>
      <c r="BW496" s="985"/>
      <c r="BX496" s="985"/>
      <c r="BY496" s="985"/>
      <c r="BZ496" s="985"/>
      <c r="CA496" s="985"/>
      <c r="CB496" s="985"/>
      <c r="CC496" s="985"/>
    </row>
    <row r="497" spans="1:81" s="1113" customFormat="1" ht="13.5" hidden="1" thickTop="1">
      <c r="A497" s="1039"/>
      <c r="B497" s="922"/>
      <c r="C497" s="1230"/>
      <c r="D497" s="1167"/>
      <c r="E497" s="1231"/>
      <c r="F497" s="2770" t="s">
        <v>600</v>
      </c>
      <c r="G497" s="2770"/>
      <c r="H497" s="2770"/>
      <c r="I497" s="1079"/>
      <c r="J497" s="1079"/>
      <c r="K497" s="1079"/>
      <c r="L497" s="1079"/>
      <c r="M497" s="1079"/>
      <c r="N497" s="1079"/>
      <c r="O497" s="1079"/>
      <c r="P497" s="1079"/>
      <c r="Q497" s="1079"/>
      <c r="R497" s="1079"/>
      <c r="S497" s="1079"/>
      <c r="T497" s="1079"/>
      <c r="U497" s="1079"/>
      <c r="V497" s="1079"/>
      <c r="W497" s="1079"/>
      <c r="X497" s="1079"/>
      <c r="Y497" s="1079"/>
      <c r="Z497" s="1079"/>
      <c r="AA497" s="1079"/>
      <c r="AB497" s="1079"/>
      <c r="AC497" s="1079"/>
      <c r="AD497" s="1167"/>
      <c r="AE497" s="1167"/>
      <c r="AF497" s="1167"/>
      <c r="AG497" s="1233">
        <f>IF($C$494="Yes",(VLOOKUP($F$497,$AO$470:$AP$472,2,FALSE)),0)</f>
        <v>0</v>
      </c>
      <c r="AH497" s="1234" t="s">
        <v>1499</v>
      </c>
      <c r="AI497" s="1079"/>
      <c r="AJ497" s="1079"/>
      <c r="AK497" s="1183"/>
      <c r="AL497" s="1004"/>
      <c r="AM497" s="922"/>
      <c r="AN497" s="904"/>
      <c r="AO497" s="985"/>
      <c r="AP497" s="1258"/>
      <c r="AQ497" s="1258"/>
      <c r="AR497" s="1258"/>
      <c r="AS497" s="1257"/>
      <c r="AT497" s="1005"/>
      <c r="AU497" s="1260"/>
      <c r="AV497" s="1260"/>
      <c r="AW497" s="1260"/>
      <c r="AX497" s="1260"/>
      <c r="AY497" s="1260"/>
      <c r="AZ497" s="1260"/>
      <c r="BA497" s="1260"/>
      <c r="BB497" s="985"/>
      <c r="BC497" s="985"/>
      <c r="BD497" s="985"/>
      <c r="BE497" s="1258"/>
      <c r="BF497" s="1258"/>
      <c r="BG497" s="1258"/>
      <c r="BH497" s="1257"/>
      <c r="BI497" s="1005"/>
      <c r="BJ497" s="1261"/>
      <c r="BK497" s="1260"/>
      <c r="BL497" s="1260"/>
      <c r="BM497" s="1260"/>
      <c r="BN497" s="1260"/>
      <c r="BO497" s="1260"/>
      <c r="BP497" s="1260"/>
      <c r="BQ497" s="985"/>
      <c r="BR497" s="1005"/>
      <c r="BS497" s="985"/>
      <c r="BT497" s="985"/>
      <c r="BU497" s="985"/>
      <c r="BV497" s="985"/>
      <c r="BW497" s="985"/>
      <c r="BX497" s="985"/>
      <c r="BY497" s="985"/>
      <c r="BZ497" s="985"/>
      <c r="CA497" s="985"/>
      <c r="CB497" s="985"/>
      <c r="CC497" s="985"/>
    </row>
    <row r="498" spans="1:81" s="1113" customFormat="1" ht="13.5" hidden="1" thickTop="1">
      <c r="A498" s="923"/>
      <c r="B498" s="923"/>
      <c r="C498" s="923"/>
      <c r="D498" s="923"/>
      <c r="E498" s="923"/>
      <c r="F498" s="923"/>
      <c r="G498" s="923"/>
      <c r="H498" s="923"/>
      <c r="I498" s="923"/>
      <c r="J498" s="923"/>
      <c r="K498" s="923"/>
      <c r="L498" s="923"/>
      <c r="M498" s="923"/>
      <c r="N498" s="923"/>
      <c r="O498" s="923"/>
      <c r="P498" s="923"/>
      <c r="Q498" s="923"/>
      <c r="R498" s="923"/>
      <c r="S498" s="923"/>
      <c r="T498" s="923"/>
      <c r="U498" s="923"/>
      <c r="V498" s="923"/>
      <c r="W498" s="923"/>
      <c r="X498" s="923"/>
      <c r="Y498" s="923"/>
      <c r="Z498" s="923"/>
      <c r="AA498" s="923"/>
      <c r="AB498" s="923"/>
      <c r="AC498" s="923"/>
      <c r="AD498" s="923"/>
      <c r="AE498" s="1004"/>
      <c r="AF498" s="1004"/>
      <c r="AG498" s="1010"/>
      <c r="AH498" s="1630"/>
      <c r="AI498" s="923"/>
      <c r="AJ498" s="923"/>
      <c r="AK498" s="1004"/>
      <c r="AL498" s="1004"/>
      <c r="AM498" s="922"/>
      <c r="AN498" s="904"/>
      <c r="AO498" s="985"/>
      <c r="AP498" s="1258"/>
      <c r="AQ498" s="1258"/>
      <c r="AR498" s="1258"/>
      <c r="AS498" s="1257"/>
      <c r="AT498" s="1005"/>
      <c r="AU498" s="1260"/>
      <c r="AV498" s="1260"/>
      <c r="AW498" s="1260"/>
      <c r="AX498" s="1260"/>
      <c r="AY498" s="1260"/>
      <c r="AZ498" s="1260"/>
      <c r="BA498" s="1260"/>
      <c r="BB498" s="985"/>
      <c r="BC498" s="985"/>
      <c r="BD498" s="985"/>
      <c r="BE498" s="1258"/>
      <c r="BF498" s="1258"/>
      <c r="BG498" s="1258"/>
      <c r="BH498" s="1257"/>
      <c r="BI498" s="1005"/>
      <c r="BJ498" s="1261"/>
      <c r="BK498" s="1260"/>
      <c r="BL498" s="1260"/>
      <c r="BM498" s="1260"/>
      <c r="BN498" s="1260"/>
      <c r="BO498" s="1260"/>
      <c r="BP498" s="1260"/>
      <c r="BQ498" s="985"/>
      <c r="BR498" s="1005"/>
      <c r="BS498" s="985"/>
      <c r="BT498" s="985"/>
      <c r="BU498" s="985"/>
      <c r="BV498" s="985"/>
      <c r="BW498" s="985"/>
      <c r="BX498" s="985"/>
      <c r="BY498" s="985"/>
      <c r="BZ498" s="985"/>
      <c r="CA498" s="985"/>
      <c r="CB498" s="985"/>
      <c r="CC498" s="985"/>
    </row>
    <row r="499" spans="1:81" s="1113" customFormat="1" ht="13.5" hidden="1" thickTop="1">
      <c r="A499" s="1039"/>
      <c r="B499" s="922"/>
      <c r="C499" s="2758" t="s">
        <v>600</v>
      </c>
      <c r="D499" s="2759"/>
      <c r="E499" s="1227" t="s">
        <v>1717</v>
      </c>
      <c r="F499" s="1249" t="s">
        <v>1718</v>
      </c>
      <c r="G499" s="1066"/>
      <c r="H499" s="1066"/>
      <c r="I499" s="1066"/>
      <c r="J499" s="1066"/>
      <c r="K499" s="1066"/>
      <c r="L499" s="1066"/>
      <c r="M499" s="1066"/>
      <c r="N499" s="1066"/>
      <c r="O499" s="1066"/>
      <c r="P499" s="1066"/>
      <c r="Q499" s="1066"/>
      <c r="R499" s="1066"/>
      <c r="S499" s="1066"/>
      <c r="T499" s="1066"/>
      <c r="U499" s="1066"/>
      <c r="V499" s="1066"/>
      <c r="W499" s="1066"/>
      <c r="X499" s="1066"/>
      <c r="Y499" s="1066"/>
      <c r="Z499" s="1066"/>
      <c r="AA499" s="1066"/>
      <c r="AB499" s="1066"/>
      <c r="AC499" s="1262"/>
      <c r="AD499" s="1152"/>
      <c r="AE499" s="1152"/>
      <c r="AF499" s="1152"/>
      <c r="AG499" s="1263"/>
      <c r="AH499" s="1263"/>
      <c r="AI499" s="1263"/>
      <c r="AJ499" s="1263"/>
      <c r="AK499" s="1188"/>
      <c r="AL499" s="1004"/>
      <c r="AM499" s="922"/>
      <c r="AN499" s="904"/>
      <c r="AO499" s="985"/>
      <c r="AP499" s="1258"/>
      <c r="AQ499" s="1258"/>
      <c r="AR499" s="1258"/>
      <c r="AS499" s="1257"/>
      <c r="AT499" s="1005"/>
      <c r="AU499" s="1260"/>
      <c r="AV499" s="1260"/>
      <c r="AW499" s="1260"/>
      <c r="AX499" s="1260"/>
      <c r="AY499" s="1260"/>
      <c r="AZ499" s="1260"/>
      <c r="BA499" s="1260"/>
      <c r="BB499" s="985"/>
      <c r="BC499" s="985"/>
      <c r="BD499" s="985"/>
      <c r="BE499" s="1258"/>
      <c r="BF499" s="1258"/>
      <c r="BG499" s="1258"/>
      <c r="BH499" s="1257"/>
      <c r="BI499" s="1005"/>
      <c r="BJ499" s="1261"/>
      <c r="BK499" s="1260"/>
      <c r="BL499" s="1260"/>
      <c r="BM499" s="1260"/>
      <c r="BN499" s="1260"/>
      <c r="BO499" s="1260"/>
      <c r="BP499" s="1260"/>
      <c r="BQ499" s="985"/>
      <c r="BR499" s="1005"/>
      <c r="BS499" s="985"/>
      <c r="BT499" s="985"/>
      <c r="BU499" s="985"/>
      <c r="BV499" s="985"/>
      <c r="BW499" s="985"/>
      <c r="BX499" s="985"/>
      <c r="BY499" s="985"/>
      <c r="BZ499" s="985"/>
      <c r="CA499" s="985"/>
      <c r="CB499" s="985"/>
      <c r="CC499" s="985"/>
    </row>
    <row r="500" spans="1:81" s="1113" customFormat="1" ht="13.5" hidden="1" thickTop="1">
      <c r="A500" s="1005"/>
      <c r="B500" s="922"/>
      <c r="C500" s="1228"/>
      <c r="D500" s="1004"/>
      <c r="E500" s="1229"/>
      <c r="F500" s="923"/>
      <c r="G500" s="923"/>
      <c r="H500" s="923"/>
      <c r="I500" s="923"/>
      <c r="J500" s="923"/>
      <c r="K500" s="923"/>
      <c r="L500" s="923"/>
      <c r="M500" s="923"/>
      <c r="N500" s="923"/>
      <c r="O500" s="923"/>
      <c r="P500" s="923"/>
      <c r="Q500" s="923"/>
      <c r="R500" s="923"/>
      <c r="S500" s="923"/>
      <c r="T500" s="923"/>
      <c r="U500" s="923"/>
      <c r="V500" s="923"/>
      <c r="W500" s="923"/>
      <c r="X500" s="923"/>
      <c r="Y500" s="923"/>
      <c r="Z500" s="923"/>
      <c r="AA500" s="923"/>
      <c r="AB500" s="923"/>
      <c r="AC500" s="923"/>
      <c r="AD500" s="1004"/>
      <c r="AE500" s="1004"/>
      <c r="AF500" s="1004"/>
      <c r="AG500" s="923"/>
      <c r="AH500" s="923"/>
      <c r="AI500" s="923"/>
      <c r="AJ500" s="923"/>
      <c r="AK500" s="1172"/>
      <c r="AL500" s="1004"/>
      <c r="AM500" s="922"/>
      <c r="AN500" s="904"/>
      <c r="AO500" s="985"/>
      <c r="AP500" s="1258"/>
      <c r="AQ500" s="1258"/>
      <c r="AR500" s="1258"/>
      <c r="AS500" s="1257"/>
      <c r="AT500" s="1005"/>
      <c r="AU500" s="1260"/>
      <c r="AV500" s="1260"/>
      <c r="AW500" s="1260"/>
      <c r="AX500" s="1260"/>
      <c r="AY500" s="1260"/>
      <c r="AZ500" s="1260"/>
      <c r="BA500" s="1260"/>
      <c r="BB500" s="985"/>
      <c r="BC500" s="985"/>
      <c r="BD500" s="985"/>
      <c r="BE500" s="1258"/>
      <c r="BF500" s="1258"/>
      <c r="BG500" s="1258"/>
      <c r="BH500" s="1257"/>
      <c r="BI500" s="1005"/>
      <c r="BJ500" s="1261"/>
      <c r="BK500" s="1260"/>
      <c r="BL500" s="1260"/>
      <c r="BM500" s="1260"/>
      <c r="BN500" s="1260"/>
      <c r="BO500" s="1260"/>
      <c r="BP500" s="1260"/>
      <c r="BQ500" s="985"/>
      <c r="BR500" s="1041"/>
      <c r="BS500" s="985"/>
      <c r="BT500" s="985"/>
      <c r="BU500" s="985"/>
      <c r="BV500" s="985"/>
      <c r="BW500" s="985"/>
      <c r="BX500" s="985"/>
      <c r="BY500" s="985"/>
      <c r="BZ500" s="985"/>
      <c r="CA500" s="985"/>
      <c r="CB500" s="985"/>
      <c r="CC500" s="985"/>
    </row>
    <row r="501" spans="1:81" s="1113" customFormat="1" ht="13.5" hidden="1" thickTop="1">
      <c r="A501" s="1005"/>
      <c r="B501" s="922"/>
      <c r="C501" s="2760"/>
      <c r="D501" s="2761"/>
      <c r="E501" s="1239"/>
      <c r="F501" s="923" t="s">
        <v>1719</v>
      </c>
      <c r="G501" s="923"/>
      <c r="H501" s="923"/>
      <c r="I501" s="923"/>
      <c r="J501" s="923"/>
      <c r="K501" s="923"/>
      <c r="L501" s="923"/>
      <c r="M501" s="923"/>
      <c r="N501" s="923"/>
      <c r="O501" s="923"/>
      <c r="P501" s="923"/>
      <c r="Q501" s="923"/>
      <c r="R501" s="923"/>
      <c r="S501" s="923"/>
      <c r="T501" s="923"/>
      <c r="U501" s="923"/>
      <c r="V501" s="923"/>
      <c r="W501" s="923"/>
      <c r="X501" s="923"/>
      <c r="Y501" s="923"/>
      <c r="Z501" s="923"/>
      <c r="AA501" s="923"/>
      <c r="AB501" s="923"/>
      <c r="AC501" s="1622"/>
      <c r="AD501" s="1004"/>
      <c r="AE501" s="1004"/>
      <c r="AF501" s="1004"/>
      <c r="AG501" s="1010">
        <f>IF($C$499="Yes",(VLOOKUP($G$502,$AO$477:$AP$480,2,FALSE)),0)</f>
        <v>0</v>
      </c>
      <c r="AH501" s="1630" t="s">
        <v>1499</v>
      </c>
      <c r="AI501" s="923"/>
      <c r="AJ501" s="1010"/>
      <c r="AK501" s="1172"/>
      <c r="AL501" s="1004"/>
      <c r="AM501" s="922"/>
      <c r="AN501" s="904"/>
      <c r="AO501" s="985"/>
      <c r="AP501" s="1258"/>
      <c r="AQ501" s="1258"/>
      <c r="AR501" s="1258"/>
      <c r="AS501" s="1257"/>
      <c r="AT501" s="1005"/>
      <c r="AU501" s="1260"/>
      <c r="AV501" s="1260"/>
      <c r="AW501" s="1260"/>
      <c r="AX501" s="1260"/>
      <c r="AY501" s="1260"/>
      <c r="AZ501" s="1260"/>
      <c r="BA501" s="1260"/>
      <c r="BB501" s="985"/>
      <c r="BC501" s="985"/>
      <c r="BD501" s="985"/>
      <c r="BE501" s="1258"/>
      <c r="BF501" s="1258"/>
      <c r="BG501" s="1258"/>
      <c r="BH501" s="1257"/>
      <c r="BI501" s="1005"/>
      <c r="BJ501" s="1261"/>
      <c r="BK501" s="1260"/>
      <c r="BL501" s="1260"/>
      <c r="BM501" s="1260"/>
      <c r="BN501" s="1260"/>
      <c r="BO501" s="1260"/>
      <c r="BP501" s="1260"/>
      <c r="BQ501" s="985"/>
      <c r="BR501" s="1005"/>
      <c r="BS501" s="985"/>
      <c r="BT501" s="985"/>
      <c r="BU501" s="985"/>
      <c r="BV501" s="985"/>
      <c r="BW501" s="985"/>
      <c r="BX501" s="985"/>
      <c r="BY501" s="985"/>
      <c r="BZ501" s="985"/>
      <c r="CA501" s="985"/>
      <c r="CB501" s="985"/>
      <c r="CC501" s="985"/>
    </row>
    <row r="502" spans="1:81" s="1113" customFormat="1" ht="13.5" hidden="1" thickTop="1">
      <c r="A502" s="1005"/>
      <c r="B502" s="922"/>
      <c r="C502" s="1228"/>
      <c r="D502" s="1005"/>
      <c r="E502" s="1229"/>
      <c r="F502" s="923"/>
      <c r="G502" s="2762" t="s">
        <v>600</v>
      </c>
      <c r="H502" s="2762"/>
      <c r="I502" s="2762"/>
      <c r="J502" s="2762"/>
      <c r="K502" s="2762"/>
      <c r="L502" s="2762"/>
      <c r="M502" s="2762"/>
      <c r="N502" s="2762"/>
      <c r="O502" s="2762"/>
      <c r="P502" s="2762"/>
      <c r="Q502" s="2762"/>
      <c r="R502" s="2762"/>
      <c r="S502" s="2762"/>
      <c r="T502" s="2762"/>
      <c r="U502" s="2762"/>
      <c r="V502" s="2762"/>
      <c r="W502" s="2762"/>
      <c r="X502" s="2762"/>
      <c r="Y502" s="2762"/>
      <c r="Z502" s="2762"/>
      <c r="AA502" s="2762"/>
      <c r="AB502" s="2762"/>
      <c r="AC502" s="2762"/>
      <c r="AD502" s="2762"/>
      <c r="AE502" s="2762"/>
      <c r="AF502" s="2762"/>
      <c r="AG502" s="1004"/>
      <c r="AH502" s="1004"/>
      <c r="AI502" s="1004"/>
      <c r="AJ502" s="923"/>
      <c r="AK502" s="1172"/>
      <c r="AL502" s="1004"/>
      <c r="AM502" s="922"/>
      <c r="AN502" s="904"/>
      <c r="AO502" s="985"/>
      <c r="AP502" s="1258"/>
      <c r="AQ502" s="1258"/>
      <c r="AR502" s="1258"/>
      <c r="AS502" s="1257"/>
      <c r="AT502" s="1005"/>
      <c r="AU502" s="1260"/>
      <c r="AV502" s="1260"/>
      <c r="AW502" s="1260"/>
      <c r="AX502" s="1260"/>
      <c r="AY502" s="1260"/>
      <c r="AZ502" s="1260"/>
      <c r="BA502" s="1260"/>
      <c r="BB502" s="985"/>
      <c r="BC502" s="985"/>
      <c r="BD502" s="985"/>
      <c r="BE502" s="1258"/>
      <c r="BF502" s="1258"/>
      <c r="BG502" s="1258"/>
      <c r="BH502" s="1257"/>
      <c r="BI502" s="1005"/>
      <c r="BJ502" s="1261"/>
      <c r="BK502" s="1260"/>
      <c r="BL502" s="1260"/>
      <c r="BM502" s="1260"/>
      <c r="BN502" s="1260"/>
      <c r="BO502" s="1260"/>
      <c r="BP502" s="1260"/>
      <c r="BQ502" s="985"/>
      <c r="BR502" s="1005"/>
      <c r="BS502" s="985"/>
      <c r="BT502" s="985"/>
      <c r="BU502" s="985"/>
      <c r="BV502" s="985"/>
      <c r="BW502" s="985"/>
      <c r="BX502" s="985"/>
      <c r="BY502" s="985"/>
      <c r="BZ502" s="985"/>
      <c r="CA502" s="985"/>
      <c r="CB502" s="985"/>
      <c r="CC502" s="985"/>
    </row>
    <row r="503" spans="1:81" s="1113" customFormat="1" ht="13.5" hidden="1" thickTop="1">
      <c r="A503" s="1005"/>
      <c r="B503" s="922"/>
      <c r="C503" s="1264"/>
      <c r="D503" s="943"/>
      <c r="E503" s="943"/>
      <c r="F503" s="1042"/>
      <c r="G503" s="1265"/>
      <c r="H503" s="1265"/>
      <c r="I503" s="1265"/>
      <c r="J503" s="1265"/>
      <c r="K503" s="1265"/>
      <c r="L503" s="1265"/>
      <c r="M503" s="1265"/>
      <c r="N503" s="1265"/>
      <c r="O503" s="1265"/>
      <c r="P503" s="1265"/>
      <c r="Q503" s="1265"/>
      <c r="R503" s="1265"/>
      <c r="S503" s="1265"/>
      <c r="T503" s="1265"/>
      <c r="U503" s="1265"/>
      <c r="V503" s="1265"/>
      <c r="W503" s="1265"/>
      <c r="X503" s="1265"/>
      <c r="Y503" s="1265"/>
      <c r="Z503" s="1265"/>
      <c r="AA503" s="1265"/>
      <c r="AB503" s="1265"/>
      <c r="AC503" s="1265"/>
      <c r="AD503" s="1004"/>
      <c r="AE503" s="1004"/>
      <c r="AF503" s="1004"/>
      <c r="AG503" s="1265"/>
      <c r="AH503" s="1265"/>
      <c r="AI503" s="1265"/>
      <c r="AJ503" s="1265"/>
      <c r="AK503" s="1172"/>
      <c r="AL503" s="1004"/>
      <c r="AM503" s="922"/>
      <c r="AN503" s="904"/>
      <c r="AO503" s="985"/>
      <c r="AP503" s="1258"/>
      <c r="AQ503" s="1258"/>
      <c r="AR503" s="1258"/>
      <c r="AS503" s="1257"/>
      <c r="AT503" s="1005"/>
      <c r="AU503" s="1260"/>
      <c r="AV503" s="1260"/>
      <c r="AW503" s="1260"/>
      <c r="AX503" s="1260"/>
      <c r="AY503" s="1260"/>
      <c r="AZ503" s="1260"/>
      <c r="BA503" s="1260"/>
      <c r="BB503" s="985"/>
      <c r="BC503" s="985"/>
      <c r="BD503" s="985"/>
      <c r="BE503" s="1258"/>
      <c r="BF503" s="1258"/>
      <c r="BG503" s="1258"/>
      <c r="BH503" s="1257"/>
      <c r="BI503" s="1005"/>
      <c r="BJ503" s="1261"/>
      <c r="BK503" s="1260"/>
      <c r="BL503" s="1260"/>
      <c r="BM503" s="1260"/>
      <c r="BN503" s="1260"/>
      <c r="BO503" s="1260"/>
      <c r="BP503" s="1260"/>
      <c r="BQ503" s="985"/>
      <c r="BR503" s="1005"/>
      <c r="BS503" s="985"/>
      <c r="BT503" s="985"/>
      <c r="BU503" s="985"/>
      <c r="BV503" s="985"/>
      <c r="BW503" s="985"/>
      <c r="BX503" s="985"/>
      <c r="BY503" s="985"/>
      <c r="BZ503" s="985"/>
      <c r="CA503" s="985"/>
      <c r="CB503" s="985"/>
      <c r="CC503" s="985"/>
    </row>
    <row r="504" spans="1:81" s="1113" customFormat="1" ht="12.75" hidden="1" customHeight="1">
      <c r="A504" s="51"/>
      <c r="B504" s="922"/>
      <c r="C504" s="2763" t="s">
        <v>600</v>
      </c>
      <c r="D504" s="2764"/>
      <c r="E504" s="943"/>
      <c r="F504" s="923" t="s">
        <v>1720</v>
      </c>
      <c r="G504" s="923"/>
      <c r="H504" s="923"/>
      <c r="I504" s="923"/>
      <c r="J504" s="923"/>
      <c r="K504" s="923"/>
      <c r="L504" s="923"/>
      <c r="M504" s="923"/>
      <c r="N504" s="923"/>
      <c r="O504" s="923"/>
      <c r="P504" s="923"/>
      <c r="Q504" s="923"/>
      <c r="R504" s="923"/>
      <c r="S504" s="923"/>
      <c r="T504" s="923"/>
      <c r="U504" s="923"/>
      <c r="V504" s="923"/>
      <c r="W504" s="923"/>
      <c r="X504" s="923"/>
      <c r="Y504" s="923"/>
      <c r="Z504" s="923"/>
      <c r="AA504" s="923"/>
      <c r="AB504" s="923"/>
      <c r="AC504" s="1622"/>
      <c r="AD504" s="1004"/>
      <c r="AE504" s="1004"/>
      <c r="AF504" s="1004"/>
      <c r="AG504" s="1010">
        <f>IF(AND($C$504="Yes",$C$499="Yes"),2,0)</f>
        <v>0</v>
      </c>
      <c r="AH504" s="1630" t="s">
        <v>1499</v>
      </c>
      <c r="AI504" s="923"/>
      <c r="AJ504" s="1627"/>
      <c r="AK504" s="1172"/>
      <c r="AL504" s="1004"/>
      <c r="AM504" s="922"/>
      <c r="AN504" s="904"/>
      <c r="AO504" s="985"/>
      <c r="AP504" s="1258"/>
      <c r="AQ504" s="1258"/>
      <c r="AR504" s="1258"/>
      <c r="AS504" s="1257"/>
      <c r="AT504" s="1005"/>
      <c r="AU504" s="1260"/>
      <c r="AV504" s="1260"/>
      <c r="AW504" s="1260"/>
      <c r="AX504" s="1260"/>
      <c r="AY504" s="1260"/>
      <c r="AZ504" s="1260"/>
      <c r="BA504" s="1260"/>
      <c r="BB504" s="985"/>
      <c r="BC504" s="985"/>
      <c r="BD504" s="985"/>
      <c r="BE504" s="1258"/>
      <c r="BF504" s="1258"/>
      <c r="BG504" s="1258"/>
      <c r="BH504" s="1257"/>
      <c r="BI504" s="1005"/>
      <c r="BJ504" s="1261"/>
      <c r="BK504" s="1260"/>
      <c r="BL504" s="1260"/>
      <c r="BM504" s="1260"/>
      <c r="BN504" s="1260"/>
      <c r="BO504" s="1260"/>
      <c r="BP504" s="1260"/>
      <c r="BQ504" s="985"/>
      <c r="BR504" s="1005"/>
      <c r="BS504" s="985"/>
      <c r="BT504" s="985"/>
      <c r="BU504" s="985"/>
      <c r="BV504" s="985"/>
      <c r="BW504" s="985"/>
      <c r="BX504" s="985"/>
      <c r="BY504" s="985"/>
      <c r="BZ504" s="985"/>
      <c r="CA504" s="985"/>
      <c r="CB504" s="985"/>
      <c r="CC504" s="985"/>
    </row>
    <row r="505" spans="1:81" s="1113" customFormat="1" ht="13.5" hidden="1" thickTop="1">
      <c r="A505" s="51"/>
      <c r="B505" s="922"/>
      <c r="C505" s="1250"/>
      <c r="D505" s="1625"/>
      <c r="E505" s="1625"/>
      <c r="F505" s="923"/>
      <c r="G505" s="923" t="s">
        <v>1721</v>
      </c>
      <c r="H505" s="923"/>
      <c r="I505" s="923"/>
      <c r="J505" s="923"/>
      <c r="K505" s="923"/>
      <c r="L505" s="923"/>
      <c r="M505" s="923"/>
      <c r="N505" s="923"/>
      <c r="O505" s="923"/>
      <c r="P505" s="923"/>
      <c r="Q505" s="923"/>
      <c r="R505" s="923"/>
      <c r="S505" s="923"/>
      <c r="T505" s="923"/>
      <c r="U505" s="923"/>
      <c r="V505" s="923"/>
      <c r="W505" s="923"/>
      <c r="X505" s="923"/>
      <c r="Y505" s="923"/>
      <c r="Z505" s="923"/>
      <c r="AA505" s="923"/>
      <c r="AB505" s="923"/>
      <c r="AC505" s="1622"/>
      <c r="AD505" s="1004"/>
      <c r="AE505" s="1004"/>
      <c r="AF505" s="1004"/>
      <c r="AG505" s="1627"/>
      <c r="AH505" s="1627"/>
      <c r="AI505" s="1627"/>
      <c r="AJ505" s="1627"/>
      <c r="AK505" s="1172"/>
      <c r="AL505" s="1004"/>
      <c r="AM505" s="922"/>
      <c r="AN505" s="980"/>
      <c r="AO505" s="985"/>
      <c r="AP505" s="1258"/>
      <c r="AQ505" s="1258"/>
      <c r="AR505" s="1258"/>
      <c r="AS505" s="1257"/>
      <c r="AT505" s="1005"/>
      <c r="AU505" s="1260"/>
      <c r="AV505" s="1260"/>
      <c r="AW505" s="1260"/>
      <c r="AX505" s="1260"/>
      <c r="AY505" s="1260"/>
      <c r="AZ505" s="1260"/>
      <c r="BA505" s="1260"/>
      <c r="BB505" s="985"/>
      <c r="BC505" s="985"/>
      <c r="BD505" s="985"/>
      <c r="BE505" s="1258"/>
      <c r="BF505" s="1258"/>
      <c r="BG505" s="1258"/>
      <c r="BH505" s="1257"/>
      <c r="BI505" s="1005"/>
      <c r="BJ505" s="1261"/>
      <c r="BK505" s="1260"/>
      <c r="BL505" s="1260"/>
      <c r="BM505" s="1260"/>
      <c r="BN505" s="1260"/>
      <c r="BO505" s="1260"/>
      <c r="BP505" s="1260"/>
      <c r="BQ505" s="985"/>
      <c r="BR505" s="1005"/>
      <c r="BS505" s="985"/>
      <c r="BT505" s="985"/>
      <c r="BU505" s="985"/>
      <c r="BV505" s="985"/>
      <c r="BW505" s="985"/>
      <c r="BX505" s="985"/>
      <c r="BY505" s="985"/>
      <c r="BZ505" s="985"/>
      <c r="CA505" s="985"/>
      <c r="CB505" s="985"/>
      <c r="CC505" s="985"/>
    </row>
    <row r="506" spans="1:81" s="981" customFormat="1" ht="12.75" hidden="1" customHeight="1">
      <c r="A506" s="1041"/>
      <c r="B506" s="1005"/>
      <c r="C506" s="1250"/>
      <c r="D506" s="1625"/>
      <c r="E506" s="1625"/>
      <c r="F506" s="923"/>
      <c r="G506" s="923" t="s">
        <v>1722</v>
      </c>
      <c r="H506" s="923"/>
      <c r="I506" s="923"/>
      <c r="J506" s="923"/>
      <c r="K506" s="923"/>
      <c r="L506" s="923"/>
      <c r="M506" s="923"/>
      <c r="N506" s="923"/>
      <c r="O506" s="923"/>
      <c r="P506" s="923"/>
      <c r="Q506" s="923"/>
      <c r="R506" s="923"/>
      <c r="S506" s="923"/>
      <c r="T506" s="923"/>
      <c r="U506" s="923"/>
      <c r="V506" s="923"/>
      <c r="W506" s="923"/>
      <c r="X506" s="923"/>
      <c r="Y506" s="923"/>
      <c r="Z506" s="923"/>
      <c r="AA506" s="923"/>
      <c r="AB506" s="923"/>
      <c r="AC506" s="1622"/>
      <c r="AD506" s="1005"/>
      <c r="AE506" s="1005"/>
      <c r="AF506" s="1005"/>
      <c r="AG506" s="1627"/>
      <c r="AH506" s="1627"/>
      <c r="AI506" s="1627"/>
      <c r="AJ506" s="1627"/>
      <c r="AK506" s="1266"/>
      <c r="AL506" s="1005"/>
      <c r="AM506" s="1005"/>
      <c r="AN506" s="905"/>
      <c r="AO506" s="1005"/>
      <c r="AP506" s="985"/>
      <c r="AQ506" s="985"/>
      <c r="AR506" s="985"/>
      <c r="AS506" s="1005"/>
      <c r="AT506" s="1005"/>
      <c r="AU506" s="1005"/>
      <c r="AV506" s="1005"/>
      <c r="AW506" s="1005"/>
      <c r="AX506" s="1005"/>
      <c r="AY506" s="1005"/>
      <c r="AZ506" s="1005"/>
      <c r="BA506" s="1005"/>
      <c r="BB506" s="1005"/>
      <c r="BC506" s="1005"/>
      <c r="BD506" s="1005"/>
      <c r="BE506" s="1005"/>
      <c r="BF506" s="1005"/>
      <c r="BG506" s="1005"/>
      <c r="BH506" s="1005"/>
      <c r="BI506" s="1005"/>
      <c r="BJ506" s="1005"/>
      <c r="BK506" s="1005"/>
      <c r="BL506" s="1005"/>
      <c r="BM506" s="1005"/>
      <c r="BN506" s="1005"/>
      <c r="BO506" s="1005"/>
      <c r="BP506" s="1005"/>
      <c r="BQ506" s="1005"/>
      <c r="BR506" s="1005"/>
      <c r="BS506" s="1005"/>
      <c r="BT506" s="1005"/>
      <c r="BU506" s="1005"/>
      <c r="BV506" s="1005"/>
      <c r="BW506" s="1005"/>
      <c r="BX506" s="1005"/>
      <c r="BY506" s="1005"/>
      <c r="BZ506" s="1005"/>
      <c r="CA506" s="1005"/>
      <c r="CB506" s="1005"/>
      <c r="CC506" s="1005"/>
    </row>
    <row r="507" spans="1:81" s="922" customFormat="1" ht="12.75" hidden="1" customHeight="1">
      <c r="A507" s="1098"/>
      <c r="B507" s="51"/>
      <c r="C507" s="1267"/>
      <c r="D507" s="1041"/>
      <c r="E507" s="1005"/>
      <c r="F507" s="1005"/>
      <c r="G507" s="1097"/>
      <c r="H507" s="1097"/>
      <c r="I507" s="1097"/>
      <c r="J507" s="1097"/>
      <c r="K507" s="1097"/>
      <c r="L507" s="1097"/>
      <c r="M507" s="1097"/>
      <c r="N507" s="1097"/>
      <c r="O507" s="1097"/>
      <c r="P507" s="1097"/>
      <c r="Q507" s="1097"/>
      <c r="R507" s="1097"/>
      <c r="S507" s="1097"/>
      <c r="T507" s="1097"/>
      <c r="U507" s="1097"/>
      <c r="V507" s="1097"/>
      <c r="W507" s="1097"/>
      <c r="X507" s="1097"/>
      <c r="Y507" s="1097"/>
      <c r="Z507" s="1097"/>
      <c r="AA507" s="1097"/>
      <c r="AB507" s="1097"/>
      <c r="AC507" s="1097"/>
      <c r="AD507" s="1097"/>
      <c r="AE507" s="1097"/>
      <c r="AF507" s="1097"/>
      <c r="AG507" s="1622"/>
      <c r="AH507" s="1622"/>
      <c r="AI507" s="1622"/>
      <c r="AJ507" s="1622"/>
      <c r="AK507" s="1268"/>
      <c r="AL507" s="112"/>
      <c r="AM507" s="51"/>
      <c r="AN507" s="905"/>
      <c r="AO507" s="985"/>
      <c r="AP507" s="985"/>
      <c r="AQ507" s="985"/>
      <c r="AR507" s="985"/>
      <c r="AS507" s="1005"/>
      <c r="AT507" s="1005"/>
      <c r="AU507" s="1005"/>
      <c r="AV507" s="1005"/>
      <c r="AW507" s="1005"/>
      <c r="AX507" s="1005"/>
      <c r="AY507" s="1005"/>
      <c r="AZ507" s="1005"/>
      <c r="BA507" s="1005"/>
      <c r="BB507" s="1005"/>
      <c r="BC507" s="1005"/>
      <c r="BD507" s="1005"/>
      <c r="BE507" s="1005"/>
      <c r="BF507" s="1005"/>
      <c r="BG507" s="1005"/>
      <c r="BH507" s="1005"/>
      <c r="BI507" s="1005"/>
      <c r="BJ507" s="1005"/>
      <c r="BK507" s="1005"/>
      <c r="BL507" s="1005"/>
      <c r="BM507" s="1005"/>
      <c r="BN507" s="1005"/>
      <c r="BO507" s="1005"/>
      <c r="BP507" s="1005"/>
      <c r="BQ507" s="1005"/>
      <c r="BR507" s="1005"/>
      <c r="BS507" s="1005"/>
      <c r="BT507" s="1005"/>
      <c r="BU507" s="1005"/>
      <c r="BV507" s="1005"/>
      <c r="BW507" s="1005"/>
      <c r="BX507" s="1005"/>
      <c r="BY507" s="1005"/>
      <c r="BZ507" s="1005"/>
      <c r="CA507" s="1005"/>
      <c r="CB507" s="1005"/>
      <c r="CC507" s="1005"/>
    </row>
    <row r="508" spans="1:81" s="922" customFormat="1" ht="12.75" hidden="1" customHeight="1">
      <c r="A508" s="1098"/>
      <c r="C508" s="2763" t="s">
        <v>600</v>
      </c>
      <c r="D508" s="2764"/>
      <c r="E508" s="1004"/>
      <c r="F508" s="1269" t="s">
        <v>1723</v>
      </c>
      <c r="G508" s="2765" t="s">
        <v>1724</v>
      </c>
      <c r="H508" s="2765"/>
      <c r="I508" s="2765"/>
      <c r="J508" s="2765"/>
      <c r="K508" s="2765"/>
      <c r="L508" s="2765"/>
      <c r="M508" s="2765"/>
      <c r="N508" s="2765"/>
      <c r="O508" s="2765"/>
      <c r="P508" s="2765"/>
      <c r="Q508" s="2765"/>
      <c r="R508" s="2765"/>
      <c r="S508" s="2765"/>
      <c r="T508" s="2765"/>
      <c r="U508" s="2765"/>
      <c r="V508" s="2765"/>
      <c r="W508" s="2765"/>
      <c r="X508" s="2765"/>
      <c r="Y508" s="2765"/>
      <c r="Z508" s="2765"/>
      <c r="AA508" s="2765"/>
      <c r="AB508" s="2765"/>
      <c r="AC508" s="2765"/>
      <c r="AD508" s="2765"/>
      <c r="AE508" s="2765"/>
      <c r="AF508" s="2765"/>
      <c r="AG508" s="1010">
        <f>IF(AND($C$508="Yes",$C$499="Yes"),2,0)</f>
        <v>0</v>
      </c>
      <c r="AH508" s="1630" t="s">
        <v>1499</v>
      </c>
      <c r="AI508" s="923"/>
      <c r="AJ508" s="1627"/>
      <c r="AK508" s="1172"/>
      <c r="AL508" s="1004"/>
      <c r="AN508" s="905"/>
      <c r="AO508" s="1005"/>
      <c r="AP508" s="1005"/>
      <c r="AQ508" s="1005"/>
      <c r="AR508" s="1005"/>
      <c r="AS508" s="1005"/>
      <c r="AT508" s="1005"/>
      <c r="AU508" s="1005"/>
      <c r="AV508" s="1005"/>
      <c r="AW508" s="1005"/>
      <c r="AX508" s="1005"/>
      <c r="AY508" s="1005"/>
      <c r="AZ508" s="991"/>
      <c r="BA508" s="1005"/>
      <c r="BB508" s="1005"/>
      <c r="BC508" s="1016"/>
      <c r="BD508" s="991"/>
      <c r="BE508" s="991"/>
      <c r="BF508" s="991"/>
      <c r="BG508" s="1005"/>
      <c r="BH508" s="1005"/>
      <c r="BI508" s="1005"/>
      <c r="BJ508" s="1005"/>
      <c r="BK508" s="1005"/>
      <c r="BL508" s="1005"/>
      <c r="BM508" s="985"/>
      <c r="BN508" s="965"/>
      <c r="BO508" s="985"/>
      <c r="BP508" s="965"/>
      <c r="BQ508" s="965"/>
      <c r="BR508" s="965"/>
      <c r="BS508" s="965"/>
      <c r="BT508" s="965"/>
      <c r="BU508" s="965"/>
      <c r="BV508" s="985"/>
      <c r="BW508" s="985"/>
      <c r="BX508" s="985"/>
      <c r="BY508" s="985"/>
      <c r="BZ508" s="985"/>
      <c r="CA508" s="985"/>
      <c r="CB508" s="985"/>
      <c r="CC508" s="985"/>
    </row>
    <row r="509" spans="1:81" s="922" customFormat="1" ht="12.75" hidden="1" customHeight="1">
      <c r="A509" s="1039"/>
      <c r="C509" s="1270"/>
      <c r="D509" s="1271"/>
      <c r="E509" s="1231"/>
      <c r="F509" s="1272"/>
      <c r="G509" s="2766"/>
      <c r="H509" s="2766"/>
      <c r="I509" s="2766"/>
      <c r="J509" s="2766"/>
      <c r="K509" s="2766"/>
      <c r="L509" s="2766"/>
      <c r="M509" s="2766"/>
      <c r="N509" s="2766"/>
      <c r="O509" s="2766"/>
      <c r="P509" s="2766"/>
      <c r="Q509" s="2766"/>
      <c r="R509" s="2766"/>
      <c r="S509" s="2766"/>
      <c r="T509" s="2766"/>
      <c r="U509" s="2766"/>
      <c r="V509" s="2766"/>
      <c r="W509" s="2766"/>
      <c r="X509" s="2766"/>
      <c r="Y509" s="2766"/>
      <c r="Z509" s="2766"/>
      <c r="AA509" s="2766"/>
      <c r="AB509" s="2766"/>
      <c r="AC509" s="2766"/>
      <c r="AD509" s="2766"/>
      <c r="AE509" s="2766"/>
      <c r="AF509" s="2766"/>
      <c r="AG509" s="1079"/>
      <c r="AH509" s="1079"/>
      <c r="AI509" s="1079"/>
      <c r="AJ509" s="1079"/>
      <c r="AK509" s="1183"/>
      <c r="AL509" s="1004"/>
      <c r="AN509" s="905"/>
      <c r="AO509" s="1005"/>
      <c r="AP509" s="1005"/>
      <c r="AQ509" s="1005"/>
      <c r="AR509" s="1005"/>
      <c r="AS509" s="1005"/>
      <c r="AT509" s="1005"/>
      <c r="AU509" s="1005"/>
      <c r="AV509" s="1005"/>
      <c r="AW509" s="1005"/>
      <c r="AX509" s="1005"/>
      <c r="AY509" s="1005"/>
      <c r="AZ509" s="991"/>
      <c r="BA509" s="1005"/>
      <c r="BB509" s="1005"/>
      <c r="BC509" s="1016"/>
      <c r="BD509" s="991"/>
      <c r="BE509" s="991"/>
      <c r="BF509" s="991"/>
      <c r="BG509" s="1005"/>
      <c r="BH509" s="1005"/>
      <c r="BI509" s="1005"/>
      <c r="BJ509" s="1005"/>
      <c r="BK509" s="1005"/>
      <c r="BL509" s="1005"/>
      <c r="BM509" s="984"/>
      <c r="BN509" s="984"/>
      <c r="BO509" s="984"/>
      <c r="BP509" s="984"/>
      <c r="BQ509" s="984"/>
      <c r="BR509" s="984"/>
      <c r="BS509" s="984"/>
      <c r="BT509" s="984"/>
      <c r="BU509" s="984"/>
      <c r="BV509" s="984"/>
      <c r="BW509" s="984"/>
      <c r="BX509" s="984"/>
      <c r="BY509" s="984"/>
      <c r="BZ509" s="984"/>
      <c r="CA509" s="984"/>
      <c r="CB509" s="984"/>
      <c r="CC509" s="984"/>
    </row>
    <row r="510" spans="1:81" s="981" customFormat="1" ht="12.75" hidden="1" customHeight="1">
      <c r="A510" s="1039"/>
      <c r="B510" s="922"/>
      <c r="C510" s="1002"/>
      <c r="D510" s="1005"/>
      <c r="E510" s="1229"/>
      <c r="F510" s="1006"/>
      <c r="G510" s="1626"/>
      <c r="H510" s="1626"/>
      <c r="I510" s="1626"/>
      <c r="J510" s="1626"/>
      <c r="K510" s="1626"/>
      <c r="L510" s="1626"/>
      <c r="M510" s="1626"/>
      <c r="N510" s="1626"/>
      <c r="O510" s="1626"/>
      <c r="P510" s="1626"/>
      <c r="Q510" s="1626"/>
      <c r="R510" s="1626"/>
      <c r="S510" s="1626"/>
      <c r="T510" s="1626"/>
      <c r="U510" s="1626"/>
      <c r="V510" s="1626"/>
      <c r="W510" s="1626"/>
      <c r="X510" s="1626"/>
      <c r="Y510" s="1626"/>
      <c r="Z510" s="1626"/>
      <c r="AA510" s="1626"/>
      <c r="AB510" s="1626"/>
      <c r="AC510" s="1626"/>
      <c r="AD510" s="1626"/>
      <c r="AE510" s="1626"/>
      <c r="AF510" s="1626"/>
      <c r="AG510" s="923"/>
      <c r="AH510" s="923"/>
      <c r="AI510" s="923"/>
      <c r="AJ510" s="923"/>
      <c r="AK510" s="1004"/>
      <c r="AL510" s="1004"/>
      <c r="AM510" s="922"/>
      <c r="AN510" s="908"/>
      <c r="AO510" s="1005"/>
      <c r="AP510" s="991"/>
      <c r="AQ510" s="991"/>
      <c r="AR510" s="991"/>
      <c r="AS510" s="991"/>
      <c r="AT510" s="991"/>
      <c r="AU510" s="991"/>
      <c r="AV510" s="991"/>
      <c r="AW510" s="991"/>
      <c r="AX510" s="991"/>
      <c r="AY510" s="991"/>
      <c r="AZ510" s="991"/>
      <c r="BA510" s="991"/>
      <c r="BB510" s="991"/>
      <c r="BC510" s="991"/>
      <c r="BD510" s="991"/>
      <c r="BE510" s="991"/>
      <c r="BF510" s="991"/>
      <c r="BG510" s="991"/>
      <c r="BH510" s="991"/>
      <c r="BI510" s="1016"/>
      <c r="BJ510" s="1273"/>
      <c r="BK510" s="1273"/>
      <c r="BL510" s="1005"/>
      <c r="BM510" s="984"/>
      <c r="BN510" s="984"/>
      <c r="BO510" s="984"/>
      <c r="BP510" s="984"/>
      <c r="BQ510" s="984"/>
      <c r="BR510" s="984"/>
      <c r="BS510" s="984"/>
      <c r="BT510" s="984"/>
      <c r="BU510" s="984"/>
      <c r="BV510" s="984"/>
      <c r="BW510" s="984"/>
      <c r="BX510" s="984"/>
      <c r="BY510" s="984"/>
      <c r="BZ510" s="984"/>
      <c r="CA510" s="984"/>
      <c r="CB510" s="984"/>
      <c r="CC510" s="984"/>
    </row>
    <row r="511" spans="1:81" s="922" customFormat="1" ht="12.75" hidden="1" customHeight="1">
      <c r="A511" s="1039"/>
      <c r="C511" s="1274" t="s">
        <v>1725</v>
      </c>
      <c r="D511" s="1222"/>
      <c r="E511" s="1275"/>
      <c r="F511" s="1276"/>
      <c r="G511" s="1277"/>
      <c r="H511" s="1277"/>
      <c r="I511" s="1277"/>
      <c r="J511" s="1277"/>
      <c r="K511" s="1277"/>
      <c r="L511" s="1277"/>
      <c r="M511" s="1277"/>
      <c r="N511" s="1277"/>
      <c r="O511" s="1277"/>
      <c r="P511" s="1277"/>
      <c r="Q511" s="1277"/>
      <c r="R511" s="1277"/>
      <c r="S511" s="1277"/>
      <c r="T511" s="1277"/>
      <c r="U511" s="1277"/>
      <c r="V511" s="1277"/>
      <c r="W511" s="1277"/>
      <c r="X511" s="1277"/>
      <c r="Y511" s="1277"/>
      <c r="Z511" s="1277"/>
      <c r="AA511" s="1277"/>
      <c r="AB511" s="1277"/>
      <c r="AC511" s="1277"/>
      <c r="AD511" s="1277"/>
      <c r="AE511" s="1277"/>
      <c r="AF511" s="1277"/>
      <c r="AG511" s="1066"/>
      <c r="AH511" s="1066"/>
      <c r="AI511" s="1066"/>
      <c r="AJ511" s="1066"/>
      <c r="AK511" s="1188"/>
      <c r="AL511" s="1004"/>
      <c r="AN511" s="979"/>
      <c r="AO511" s="1005"/>
      <c r="AP511" s="991"/>
      <c r="AQ511" s="991"/>
      <c r="AR511" s="991"/>
      <c r="AS511" s="991"/>
      <c r="AT511" s="991"/>
      <c r="AU511" s="991"/>
      <c r="AV511" s="991"/>
      <c r="AW511" s="991"/>
      <c r="AX511" s="991"/>
      <c r="AY511" s="991"/>
      <c r="AZ511" s="991"/>
      <c r="BA511" s="991"/>
      <c r="BB511" s="991"/>
      <c r="BC511" s="991"/>
      <c r="BD511" s="991"/>
      <c r="BE511" s="991"/>
      <c r="BF511" s="991"/>
      <c r="BG511" s="991"/>
      <c r="BH511" s="991"/>
      <c r="BI511" s="1098"/>
      <c r="BJ511" s="1273"/>
      <c r="BK511" s="1273"/>
      <c r="BL511" s="1005"/>
      <c r="BM511" s="984"/>
      <c r="BN511" s="984"/>
      <c r="BO511" s="984"/>
      <c r="BP511" s="984"/>
      <c r="BQ511" s="984"/>
      <c r="BR511" s="984"/>
      <c r="BS511" s="984"/>
      <c r="BT511" s="984"/>
      <c r="BU511" s="984"/>
      <c r="BV511" s="984"/>
      <c r="BW511" s="984"/>
      <c r="BX511" s="984"/>
      <c r="BY511" s="984"/>
      <c r="BZ511" s="984"/>
      <c r="CA511" s="984"/>
      <c r="CB511" s="984"/>
      <c r="CC511" s="984"/>
    </row>
    <row r="512" spans="1:81" s="922" customFormat="1" ht="12.75" hidden="1" customHeight="1">
      <c r="A512" s="1039"/>
      <c r="C512" s="2771" t="s">
        <v>600</v>
      </c>
      <c r="D512" s="2772"/>
      <c r="E512" s="1278" t="s">
        <v>1726</v>
      </c>
      <c r="F512" s="1238" t="s">
        <v>1727</v>
      </c>
      <c r="G512" s="1626"/>
      <c r="H512" s="1626"/>
      <c r="I512" s="1626"/>
      <c r="J512" s="1626"/>
      <c r="K512" s="1626"/>
      <c r="L512" s="1626"/>
      <c r="M512" s="1626"/>
      <c r="N512" s="1626"/>
      <c r="O512" s="1626"/>
      <c r="P512" s="1626"/>
      <c r="Q512" s="1626"/>
      <c r="R512" s="1626"/>
      <c r="S512" s="1626"/>
      <c r="T512" s="1626"/>
      <c r="U512" s="1626"/>
      <c r="V512" s="1626"/>
      <c r="W512" s="1626"/>
      <c r="X512" s="1626"/>
      <c r="Y512" s="1626"/>
      <c r="Z512" s="1626"/>
      <c r="AA512" s="1626"/>
      <c r="AB512" s="1626"/>
      <c r="AC512" s="1626"/>
      <c r="AD512" s="1626"/>
      <c r="AE512" s="1626"/>
      <c r="AF512" s="1626"/>
      <c r="AG512" s="1010">
        <f>IF(C$512="Yes",(VLOOKUP(F$513,$AO$483:$AP$486,2,FALSE)),0)</f>
        <v>0</v>
      </c>
      <c r="AH512" s="1630" t="s">
        <v>1499</v>
      </c>
      <c r="AI512" s="923"/>
      <c r="AJ512" s="923"/>
      <c r="AK512" s="1172"/>
      <c r="AL512" s="1004"/>
      <c r="AN512" s="979"/>
      <c r="AO512" s="1005"/>
      <c r="AP512" s="991"/>
      <c r="AQ512" s="991"/>
      <c r="AR512" s="991"/>
      <c r="AS512" s="991"/>
      <c r="AT512" s="991"/>
      <c r="AU512" s="991"/>
      <c r="AV512" s="991"/>
      <c r="AW512" s="991"/>
      <c r="AX512" s="991"/>
      <c r="AY512" s="991"/>
      <c r="AZ512" s="991"/>
      <c r="BA512" s="991"/>
      <c r="BB512" s="991"/>
      <c r="BC512" s="991"/>
      <c r="BD512" s="991"/>
      <c r="BE512" s="991"/>
      <c r="BF512" s="991"/>
      <c r="BG512" s="991"/>
      <c r="BH512" s="991"/>
      <c r="BI512" s="1098"/>
      <c r="BJ512" s="1273"/>
      <c r="BK512" s="1273"/>
      <c r="BL512" s="1005"/>
      <c r="BM512" s="1002"/>
      <c r="BN512" s="1002"/>
      <c r="BO512" s="1002"/>
      <c r="BP512" s="1002"/>
      <c r="BQ512" s="1002"/>
      <c r="BR512" s="1002"/>
      <c r="BS512" s="1002"/>
      <c r="BT512" s="1002"/>
      <c r="BU512" s="1002"/>
      <c r="BV512" s="1002"/>
      <c r="BW512" s="1002"/>
      <c r="BX512" s="1002"/>
      <c r="BY512" s="1002"/>
      <c r="BZ512" s="1002"/>
      <c r="CA512" s="1002"/>
      <c r="CB512" s="1002"/>
      <c r="CC512" s="1002"/>
    </row>
    <row r="513" spans="1:81" s="922" customFormat="1" ht="12.75" hidden="1" customHeight="1">
      <c r="A513" s="1039"/>
      <c r="C513" s="1279"/>
      <c r="D513" s="1005"/>
      <c r="E513" s="1229"/>
      <c r="F513" s="2773" t="s">
        <v>600</v>
      </c>
      <c r="G513" s="2773"/>
      <c r="H513" s="2773"/>
      <c r="I513" s="2773"/>
      <c r="J513" s="2773"/>
      <c r="K513" s="2773"/>
      <c r="L513" s="2773"/>
      <c r="M513" s="2773"/>
      <c r="N513" s="2773"/>
      <c r="O513" s="2773"/>
      <c r="P513" s="2773"/>
      <c r="Q513" s="2773"/>
      <c r="R513" s="2773"/>
      <c r="S513" s="2773"/>
      <c r="T513" s="2773"/>
      <c r="U513" s="2773"/>
      <c r="V513" s="2773"/>
      <c r="W513" s="2773"/>
      <c r="X513" s="2773"/>
      <c r="Y513" s="2773"/>
      <c r="Z513" s="2773"/>
      <c r="AA513" s="2773"/>
      <c r="AB513" s="2773"/>
      <c r="AC513" s="2773"/>
      <c r="AD513" s="2773"/>
      <c r="AE513" s="2773"/>
      <c r="AF513" s="2773"/>
      <c r="AG513" s="923"/>
      <c r="AH513" s="923"/>
      <c r="AI513" s="923"/>
      <c r="AJ513" s="923"/>
      <c r="AK513" s="1172"/>
      <c r="AL513" s="1004"/>
      <c r="AN513" s="979"/>
      <c r="AO513" s="1005"/>
      <c r="AP513" s="1005"/>
      <c r="AQ513" s="1005"/>
      <c r="AR513" s="1005"/>
      <c r="AS513" s="1005"/>
      <c r="AT513" s="1005"/>
      <c r="AU513" s="1005"/>
      <c r="AV513" s="1005"/>
      <c r="AW513" s="1005"/>
      <c r="AX513" s="1005"/>
      <c r="AY513" s="1005"/>
      <c r="AZ513" s="1005"/>
      <c r="BA513" s="1005"/>
      <c r="BB513" s="1005"/>
      <c r="BC513" s="1005"/>
      <c r="BD513" s="1005"/>
      <c r="BE513" s="1005"/>
      <c r="BF513" s="1005"/>
      <c r="BG513" s="1005"/>
      <c r="BH513" s="1005"/>
      <c r="BI513" s="1005"/>
      <c r="BJ513" s="1005"/>
      <c r="BK513" s="1005"/>
      <c r="BL513" s="1005"/>
      <c r="BM513" s="1002"/>
      <c r="BN513" s="1002"/>
      <c r="BO513" s="1002"/>
      <c r="BP513" s="1002"/>
      <c r="BQ513" s="1002"/>
      <c r="BR513" s="1002"/>
      <c r="BS513" s="1002"/>
      <c r="BT513" s="1002"/>
      <c r="BU513" s="1002"/>
      <c r="BV513" s="1002"/>
      <c r="BW513" s="1002"/>
      <c r="BX513" s="1002"/>
      <c r="BY513" s="1002"/>
      <c r="BZ513" s="1002"/>
      <c r="CA513" s="1002"/>
      <c r="CB513" s="1002"/>
      <c r="CC513" s="1002"/>
    </row>
    <row r="514" spans="1:81" s="922" customFormat="1" ht="12.75" hidden="1" customHeight="1">
      <c r="A514" s="1039"/>
      <c r="C514" s="1270"/>
      <c r="D514" s="1167"/>
      <c r="E514" s="1231"/>
      <c r="F514" s="2774"/>
      <c r="G514" s="2774"/>
      <c r="H514" s="2774"/>
      <c r="I514" s="2774"/>
      <c r="J514" s="2774"/>
      <c r="K514" s="2774"/>
      <c r="L514" s="2774"/>
      <c r="M514" s="2774"/>
      <c r="N514" s="2774"/>
      <c r="O514" s="2774"/>
      <c r="P514" s="2774"/>
      <c r="Q514" s="2774"/>
      <c r="R514" s="2774"/>
      <c r="S514" s="2774"/>
      <c r="T514" s="2774"/>
      <c r="U514" s="2774"/>
      <c r="V514" s="2774"/>
      <c r="W514" s="2774"/>
      <c r="X514" s="2774"/>
      <c r="Y514" s="2774"/>
      <c r="Z514" s="2774"/>
      <c r="AA514" s="2774"/>
      <c r="AB514" s="2774"/>
      <c r="AC514" s="2774"/>
      <c r="AD514" s="2774"/>
      <c r="AE514" s="2774"/>
      <c r="AF514" s="2774"/>
      <c r="AG514" s="1079"/>
      <c r="AH514" s="1079"/>
      <c r="AI514" s="1079"/>
      <c r="AJ514" s="1079"/>
      <c r="AK514" s="1183"/>
      <c r="AL514" s="1004"/>
      <c r="AN514" s="979"/>
      <c r="AO514" s="1005"/>
      <c r="AP514" s="1005"/>
      <c r="AQ514" s="1005"/>
      <c r="AR514" s="1005"/>
      <c r="AS514" s="1005"/>
      <c r="AT514" s="1005"/>
      <c r="AU514" s="1005"/>
      <c r="AV514" s="1005"/>
      <c r="AW514" s="1005"/>
      <c r="AX514" s="1005"/>
      <c r="AY514" s="1005"/>
      <c r="AZ514" s="1005"/>
      <c r="BA514" s="1005"/>
      <c r="BB514" s="1005"/>
      <c r="BC514" s="1005"/>
      <c r="BD514" s="1005"/>
      <c r="BE514" s="1005"/>
      <c r="BF514" s="1005"/>
      <c r="BG514" s="1005"/>
      <c r="BH514" s="1005"/>
      <c r="BI514" s="1005"/>
      <c r="BJ514" s="1005"/>
      <c r="BK514" s="1005"/>
      <c r="BL514" s="1005"/>
      <c r="BM514" s="1002"/>
      <c r="BN514" s="1002"/>
      <c r="BO514" s="1002"/>
      <c r="BP514" s="1002"/>
      <c r="BQ514" s="1002"/>
      <c r="BR514" s="1002"/>
      <c r="BS514" s="1002"/>
      <c r="BT514" s="1002"/>
      <c r="BU514" s="1002"/>
      <c r="BV514" s="1002"/>
      <c r="BW514" s="1002"/>
      <c r="BX514" s="1002"/>
      <c r="BY514" s="1002"/>
      <c r="BZ514" s="1002"/>
      <c r="CA514" s="1002"/>
      <c r="CB514" s="1002"/>
      <c r="CC514" s="1002"/>
    </row>
    <row r="515" spans="1:81" s="922" customFormat="1" ht="12.75" hidden="1" customHeight="1">
      <c r="A515" s="1098"/>
      <c r="C515" s="923"/>
      <c r="E515" s="923"/>
      <c r="F515" s="1238"/>
      <c r="G515" s="923"/>
      <c r="H515" s="923"/>
      <c r="I515" s="923"/>
      <c r="J515" s="923"/>
      <c r="K515" s="923"/>
      <c r="L515" s="923"/>
      <c r="M515" s="923"/>
      <c r="N515" s="923"/>
      <c r="O515" s="923"/>
      <c r="P515" s="923"/>
      <c r="Q515" s="923"/>
      <c r="R515" s="923"/>
      <c r="S515" s="923"/>
      <c r="T515" s="923"/>
      <c r="U515" s="923"/>
      <c r="V515" s="923"/>
      <c r="W515" s="923"/>
      <c r="X515" s="923"/>
      <c r="Y515" s="923"/>
      <c r="Z515" s="923"/>
      <c r="AA515" s="923"/>
      <c r="AB515" s="923"/>
      <c r="AC515" s="923"/>
      <c r="AD515" s="1014"/>
      <c r="AE515" s="923"/>
      <c r="AF515" s="923"/>
      <c r="AG515" s="923"/>
      <c r="AH515" s="923"/>
      <c r="AI515" s="1005"/>
      <c r="AK515" s="1005"/>
      <c r="AL515" s="1005"/>
      <c r="AM515" s="1005"/>
      <c r="AN515" s="979"/>
      <c r="AO515" s="1005"/>
      <c r="AP515" s="1005"/>
      <c r="AQ515" s="1005"/>
      <c r="AR515" s="1005"/>
      <c r="AS515" s="1005"/>
      <c r="AT515" s="1005"/>
      <c r="AU515" s="1005"/>
      <c r="AV515" s="1005"/>
      <c r="AW515" s="1005"/>
      <c r="AX515" s="1005"/>
      <c r="AY515" s="1005"/>
      <c r="AZ515" s="1005"/>
      <c r="BA515" s="1005"/>
      <c r="BB515" s="1005"/>
      <c r="BC515" s="1005"/>
      <c r="BD515" s="1005"/>
      <c r="BE515" s="1005"/>
      <c r="BF515" s="1005"/>
      <c r="BG515" s="1005"/>
      <c r="BH515" s="1005"/>
      <c r="BI515" s="1005"/>
      <c r="BJ515" s="1005"/>
      <c r="BK515" s="1005"/>
      <c r="BL515" s="1005"/>
      <c r="BM515" s="1002"/>
      <c r="BN515" s="1002"/>
      <c r="BO515" s="1002"/>
      <c r="BP515" s="1002"/>
      <c r="BQ515" s="1002"/>
      <c r="BR515" s="1002"/>
      <c r="BS515" s="1002"/>
      <c r="BT515" s="1002"/>
      <c r="BU515" s="1002"/>
      <c r="BV515" s="1002"/>
      <c r="BW515" s="1002"/>
      <c r="BX515" s="1002"/>
      <c r="BY515" s="1002"/>
      <c r="BZ515" s="1002"/>
      <c r="CA515" s="1002"/>
      <c r="CB515" s="1002"/>
      <c r="CC515" s="1002"/>
    </row>
    <row r="516" spans="1:81" s="922" customFormat="1" ht="12.75" hidden="1" customHeight="1">
      <c r="A516" s="1098"/>
      <c r="B516" s="1280" t="s">
        <v>1728</v>
      </c>
      <c r="C516" s="923"/>
      <c r="E516" s="923"/>
      <c r="F516" s="923"/>
      <c r="G516" s="923"/>
      <c r="H516" s="923"/>
      <c r="I516" s="923"/>
      <c r="J516" s="923"/>
      <c r="K516" s="923"/>
      <c r="L516" s="923"/>
      <c r="M516" s="923"/>
      <c r="N516" s="923"/>
      <c r="O516" s="923"/>
      <c r="P516" s="923"/>
      <c r="Q516" s="923"/>
      <c r="R516" s="923"/>
      <c r="S516" s="923"/>
      <c r="T516" s="923"/>
      <c r="U516" s="923"/>
      <c r="V516" s="923"/>
      <c r="W516" s="923"/>
      <c r="X516" s="923"/>
      <c r="Y516" s="923"/>
      <c r="Z516" s="923"/>
      <c r="AA516" s="923"/>
      <c r="AB516" s="923"/>
      <c r="AC516" s="923"/>
      <c r="AD516" s="1014"/>
      <c r="AE516" s="923"/>
      <c r="AF516" s="923"/>
      <c r="AG516" s="923"/>
      <c r="AH516" s="923"/>
      <c r="AI516" s="1005"/>
      <c r="AK516" s="1005"/>
      <c r="AL516" s="1005"/>
      <c r="AM516" s="1005"/>
      <c r="AN516" s="979"/>
      <c r="AO516" s="1005"/>
      <c r="AP516" s="1256"/>
      <c r="AQ516" s="1256"/>
      <c r="AR516" s="1256"/>
      <c r="AS516" s="1256"/>
      <c r="AT516" s="1256"/>
      <c r="AU516" s="1256"/>
      <c r="AV516" s="1256"/>
      <c r="AW516" s="1256"/>
      <c r="AX516" s="1256"/>
      <c r="AY516" s="1256"/>
      <c r="AZ516" s="1005"/>
      <c r="BA516" s="1005"/>
      <c r="BB516" s="1005"/>
      <c r="BC516" s="1005"/>
      <c r="BD516" s="1005"/>
      <c r="BE516" s="1005"/>
      <c r="BF516" s="1005"/>
      <c r="BG516" s="1005"/>
      <c r="BH516" s="1005"/>
      <c r="BI516" s="1005"/>
      <c r="BJ516" s="1005"/>
      <c r="BK516" s="1005"/>
      <c r="BL516" s="1005"/>
      <c r="BM516" s="1002"/>
      <c r="BN516" s="1002"/>
      <c r="BO516" s="1002"/>
      <c r="BP516" s="1002"/>
      <c r="BQ516" s="1002"/>
      <c r="BR516" s="1002"/>
      <c r="BS516" s="1002"/>
      <c r="BT516" s="1002"/>
      <c r="BU516" s="1002"/>
      <c r="BV516" s="1002"/>
      <c r="BW516" s="1002"/>
      <c r="BX516" s="1002"/>
      <c r="BY516" s="1002"/>
      <c r="BZ516" s="1002"/>
      <c r="CA516" s="1002"/>
      <c r="CB516" s="1002"/>
      <c r="CC516" s="1002"/>
    </row>
    <row r="517" spans="1:81" s="922" customFormat="1" ht="12.75" hidden="1" customHeight="1">
      <c r="A517" s="1098"/>
      <c r="B517" s="1280" t="s">
        <v>1729</v>
      </c>
      <c r="C517" s="923"/>
      <c r="E517" s="923"/>
      <c r="F517" s="923"/>
      <c r="G517" s="923"/>
      <c r="H517" s="923"/>
      <c r="I517" s="923"/>
      <c r="J517" s="923"/>
      <c r="K517" s="923"/>
      <c r="L517" s="923"/>
      <c r="M517" s="923"/>
      <c r="N517" s="923"/>
      <c r="O517" s="923"/>
      <c r="P517" s="923"/>
      <c r="Q517" s="923"/>
      <c r="R517" s="923"/>
      <c r="S517" s="923"/>
      <c r="T517" s="923"/>
      <c r="U517" s="923"/>
      <c r="V517" s="923"/>
      <c r="W517" s="923"/>
      <c r="X517" s="923"/>
      <c r="Y517" s="923"/>
      <c r="Z517" s="923"/>
      <c r="AA517" s="923"/>
      <c r="AB517" s="923"/>
      <c r="AC517" s="923"/>
      <c r="AD517" s="1014"/>
      <c r="AE517" s="923"/>
      <c r="AF517" s="923"/>
      <c r="AG517" s="923"/>
      <c r="AH517" s="923"/>
      <c r="AI517" s="1005"/>
      <c r="AK517" s="1005"/>
      <c r="AL517" s="1005"/>
      <c r="AM517" s="1005"/>
      <c r="AN517" s="979"/>
      <c r="AO517" s="1005"/>
      <c r="AP517" s="1281"/>
      <c r="AQ517" s="1281"/>
      <c r="AR517" s="1281"/>
      <c r="AS517" s="1281"/>
      <c r="AT517" s="1281"/>
      <c r="AU517" s="1281"/>
      <c r="AV517" s="1281"/>
      <c r="AW517" s="1281"/>
      <c r="AX517" s="1281"/>
      <c r="AY517" s="1281"/>
      <c r="AZ517" s="1005"/>
      <c r="BA517" s="1005"/>
      <c r="BB517" s="1005"/>
      <c r="BC517" s="1005"/>
      <c r="BD517" s="1005"/>
      <c r="BE517" s="1005"/>
      <c r="BF517" s="1005"/>
      <c r="BG517" s="1005"/>
      <c r="BH517" s="1005"/>
      <c r="BI517" s="1005"/>
      <c r="BJ517" s="1005"/>
      <c r="BK517" s="1005"/>
      <c r="BL517" s="1005"/>
      <c r="BM517" s="1002"/>
      <c r="BN517" s="1002"/>
      <c r="BO517" s="1002"/>
      <c r="BP517" s="1002"/>
      <c r="BQ517" s="1002"/>
      <c r="BR517" s="1002"/>
      <c r="BS517" s="1002"/>
      <c r="BT517" s="1002"/>
      <c r="BU517" s="1002"/>
      <c r="BV517" s="1002"/>
      <c r="BW517" s="1002"/>
      <c r="BX517" s="1002"/>
      <c r="BY517" s="1002"/>
      <c r="BZ517" s="1002"/>
      <c r="CA517" s="1002"/>
      <c r="CB517" s="1002"/>
      <c r="CC517" s="1002"/>
    </row>
    <row r="518" spans="1:81" s="922" customFormat="1" ht="12.75" hidden="1" customHeight="1">
      <c r="A518" s="1098"/>
      <c r="B518" s="922" t="s">
        <v>2416</v>
      </c>
      <c r="C518" s="923"/>
      <c r="E518" s="923"/>
      <c r="F518" s="923"/>
      <c r="G518" s="923"/>
      <c r="H518" s="923"/>
      <c r="I518" s="923"/>
      <c r="J518" s="923"/>
      <c r="K518" s="923"/>
      <c r="L518" s="923"/>
      <c r="M518" s="923"/>
      <c r="N518" s="923"/>
      <c r="O518" s="923"/>
      <c r="P518" s="923"/>
      <c r="Q518" s="923"/>
      <c r="R518" s="923"/>
      <c r="S518" s="923"/>
      <c r="T518" s="923"/>
      <c r="U518" s="923"/>
      <c r="V518" s="923"/>
      <c r="W518" s="923"/>
      <c r="X518" s="923"/>
      <c r="Y518" s="923"/>
      <c r="Z518" s="923"/>
      <c r="AA518" s="923"/>
      <c r="AB518" s="923"/>
      <c r="AC518" s="923"/>
      <c r="AD518" s="1014"/>
      <c r="AE518" s="923"/>
      <c r="AF518" s="923"/>
      <c r="AG518" s="923"/>
      <c r="AH518" s="923"/>
      <c r="AI518" s="1005"/>
      <c r="AK518" s="1005"/>
      <c r="AL518" s="1005"/>
      <c r="AM518" s="1005"/>
      <c r="AN518" s="979"/>
      <c r="AO518" s="1005"/>
      <c r="AP518" s="1281"/>
      <c r="AQ518" s="1281"/>
      <c r="AR518" s="1281"/>
      <c r="AS518" s="1281"/>
      <c r="AT518" s="1281"/>
      <c r="AU518" s="1281"/>
      <c r="AV518" s="1281"/>
      <c r="AW518" s="1281"/>
      <c r="AX518" s="1281"/>
      <c r="AY518" s="1281"/>
      <c r="AZ518" s="1005"/>
      <c r="BA518" s="1005"/>
      <c r="BB518" s="1005"/>
      <c r="BC518" s="1005"/>
      <c r="BD518" s="1005"/>
      <c r="BE518" s="1005"/>
      <c r="BF518" s="1005"/>
      <c r="BG518" s="1005"/>
      <c r="BH518" s="1005"/>
      <c r="BI518" s="1005"/>
      <c r="BJ518" s="1005"/>
      <c r="BK518" s="1005"/>
      <c r="BL518" s="1005"/>
      <c r="BM518" s="1002"/>
      <c r="BN518" s="1002"/>
      <c r="BO518" s="1002"/>
      <c r="BP518" s="1002"/>
      <c r="BQ518" s="1002"/>
      <c r="BR518" s="1002"/>
      <c r="BS518" s="1002"/>
      <c r="BT518" s="1002"/>
      <c r="BU518" s="1002"/>
      <c r="BV518" s="1002"/>
      <c r="BW518" s="1002"/>
      <c r="BX518" s="1002"/>
      <c r="BY518" s="1002"/>
      <c r="BZ518" s="1002"/>
      <c r="CA518" s="1002"/>
      <c r="CB518" s="1002"/>
      <c r="CC518" s="1002"/>
    </row>
    <row r="519" spans="1:81" s="922" customFormat="1" ht="12.75" hidden="1" customHeight="1">
      <c r="A519" s="1098"/>
      <c r="B519" s="922" t="s">
        <v>1730</v>
      </c>
      <c r="C519" s="923"/>
      <c r="E519" s="923"/>
      <c r="F519" s="923"/>
      <c r="G519" s="923"/>
      <c r="H519" s="923"/>
      <c r="I519" s="923"/>
      <c r="J519" s="923"/>
      <c r="K519" s="923"/>
      <c r="L519" s="923"/>
      <c r="M519" s="923"/>
      <c r="N519" s="923"/>
      <c r="O519" s="923"/>
      <c r="P519" s="923"/>
      <c r="Q519" s="923"/>
      <c r="R519" s="923"/>
      <c r="S519" s="923"/>
      <c r="T519" s="923"/>
      <c r="U519" s="923"/>
      <c r="V519" s="923"/>
      <c r="W519" s="923"/>
      <c r="X519" s="923"/>
      <c r="Y519" s="923"/>
      <c r="Z519" s="923"/>
      <c r="AA519" s="923"/>
      <c r="AB519" s="923"/>
      <c r="AC519" s="923"/>
      <c r="AD519" s="1014"/>
      <c r="AE519" s="923"/>
      <c r="AF519" s="923"/>
      <c r="AG519" s="923"/>
      <c r="AH519" s="923"/>
      <c r="AI519" s="1005"/>
      <c r="AK519" s="1005"/>
      <c r="AL519" s="1005"/>
      <c r="AM519" s="1005"/>
      <c r="AN519" s="979"/>
      <c r="AO519" s="1005"/>
      <c r="AP519" s="1281"/>
      <c r="AQ519" s="1281"/>
      <c r="AR519" s="1281"/>
      <c r="AS519" s="1281"/>
      <c r="AT519" s="1281"/>
      <c r="AU519" s="1281"/>
      <c r="AV519" s="1281"/>
      <c r="AW519" s="1281"/>
      <c r="AX519" s="1281"/>
      <c r="AY519" s="1281"/>
      <c r="AZ519" s="1005"/>
      <c r="BA519" s="1005"/>
      <c r="BB519" s="1005"/>
      <c r="BC519" s="1005"/>
      <c r="BD519" s="1005"/>
      <c r="BE519" s="1005"/>
      <c r="BF519" s="1005"/>
      <c r="BG519" s="1005"/>
      <c r="BH519" s="1005"/>
      <c r="BI519" s="1005"/>
      <c r="BJ519" s="1005"/>
      <c r="BK519" s="1005"/>
      <c r="BL519" s="1005"/>
      <c r="BM519" s="1002"/>
      <c r="BN519" s="1002"/>
      <c r="BO519" s="1002"/>
      <c r="BP519" s="1002"/>
      <c r="BQ519" s="1002"/>
      <c r="BR519" s="1002"/>
      <c r="BS519" s="1002"/>
      <c r="BT519" s="1002"/>
      <c r="BU519" s="1002"/>
      <c r="BV519" s="1002"/>
      <c r="BW519" s="1002"/>
      <c r="BX519" s="1002"/>
      <c r="BY519" s="1002"/>
      <c r="BZ519" s="1002"/>
      <c r="CA519" s="1002"/>
      <c r="CB519" s="1002"/>
      <c r="CC519" s="1002"/>
    </row>
    <row r="520" spans="1:81" s="922" customFormat="1" ht="12.75" hidden="1" customHeight="1">
      <c r="A520" s="1098"/>
      <c r="B520" s="922" t="s">
        <v>2417</v>
      </c>
      <c r="C520" s="923"/>
      <c r="E520" s="923"/>
      <c r="F520" s="923"/>
      <c r="G520" s="923"/>
      <c r="H520" s="923"/>
      <c r="I520" s="923"/>
      <c r="J520" s="923"/>
      <c r="K520" s="923"/>
      <c r="L520" s="923"/>
      <c r="M520" s="923"/>
      <c r="N520" s="923"/>
      <c r="O520" s="923"/>
      <c r="P520" s="923"/>
      <c r="Q520" s="923"/>
      <c r="R520" s="923"/>
      <c r="S520" s="923"/>
      <c r="T520" s="923"/>
      <c r="U520" s="923"/>
      <c r="V520" s="923"/>
      <c r="W520" s="923"/>
      <c r="X520" s="923"/>
      <c r="Y520" s="923"/>
      <c r="Z520" s="923"/>
      <c r="AA520" s="923"/>
      <c r="AB520" s="923"/>
      <c r="AC520" s="923"/>
      <c r="AD520" s="1014"/>
      <c r="AE520" s="923"/>
      <c r="AF520" s="923"/>
      <c r="AG520" s="923"/>
      <c r="AH520" s="923"/>
      <c r="AI520" s="1005"/>
      <c r="AK520" s="1005"/>
      <c r="AL520" s="1005"/>
      <c r="AM520" s="1005"/>
      <c r="AN520" s="979"/>
      <c r="AO520" s="1005"/>
      <c r="AP520" s="1281"/>
      <c r="AQ520" s="1281"/>
      <c r="AR520" s="1281"/>
      <c r="AS520" s="1281"/>
      <c r="AT520" s="1281"/>
      <c r="AU520" s="1281"/>
      <c r="AV520" s="1281"/>
      <c r="AW520" s="1281"/>
      <c r="AX520" s="1281"/>
      <c r="AY520" s="1281"/>
      <c r="AZ520" s="1005"/>
      <c r="BA520" s="1005"/>
      <c r="BB520" s="1005"/>
      <c r="BC520" s="1005"/>
      <c r="BD520" s="1005"/>
      <c r="BE520" s="1005"/>
      <c r="BF520" s="1005"/>
      <c r="BG520" s="1005"/>
      <c r="BH520" s="1005"/>
      <c r="BI520" s="1005"/>
      <c r="BJ520" s="1005"/>
      <c r="BK520" s="1005"/>
      <c r="BL520" s="1005"/>
      <c r="BM520" s="1002"/>
      <c r="BN520" s="1002"/>
      <c r="BO520" s="1002"/>
      <c r="BP520" s="1002"/>
      <c r="BQ520" s="1002"/>
      <c r="BR520" s="1002"/>
      <c r="BS520" s="1002"/>
      <c r="BT520" s="1002"/>
      <c r="BU520" s="1002"/>
      <c r="BV520" s="1002"/>
      <c r="BW520" s="1002"/>
      <c r="BX520" s="1002"/>
      <c r="BY520" s="1002"/>
      <c r="BZ520" s="1002"/>
      <c r="CA520" s="1002"/>
      <c r="CB520" s="1002"/>
      <c r="CC520" s="1002"/>
    </row>
    <row r="521" spans="1:81" s="922" customFormat="1" ht="12.75" hidden="1" customHeight="1">
      <c r="A521" s="1098"/>
      <c r="B521" s="922" t="s">
        <v>1731</v>
      </c>
      <c r="C521" s="923"/>
      <c r="E521" s="923"/>
      <c r="F521" s="923"/>
      <c r="G521" s="923"/>
      <c r="H521" s="923"/>
      <c r="I521" s="923"/>
      <c r="J521" s="923"/>
      <c r="K521" s="923"/>
      <c r="L521" s="923"/>
      <c r="M521" s="923"/>
      <c r="N521" s="923"/>
      <c r="O521" s="923"/>
      <c r="P521" s="923"/>
      <c r="Q521" s="923"/>
      <c r="R521" s="923"/>
      <c r="S521" s="923"/>
      <c r="T521" s="923"/>
      <c r="U521" s="923"/>
      <c r="V521" s="923"/>
      <c r="W521" s="923"/>
      <c r="X521" s="923"/>
      <c r="Y521" s="923"/>
      <c r="Z521" s="923"/>
      <c r="AA521" s="923"/>
      <c r="AB521" s="923"/>
      <c r="AC521" s="923"/>
      <c r="AD521" s="1014"/>
      <c r="AE521" s="923"/>
      <c r="AF521" s="923"/>
      <c r="AG521" s="923"/>
      <c r="AH521" s="923"/>
      <c r="AI521" s="1005"/>
      <c r="AK521" s="1005"/>
      <c r="AL521" s="1005"/>
      <c r="AM521" s="1005"/>
      <c r="AN521" s="979"/>
      <c r="AO521" s="1005"/>
      <c r="AP521" s="1281"/>
      <c r="AQ521" s="1281"/>
      <c r="AR521" s="1281"/>
      <c r="AS521" s="1281"/>
      <c r="AT521" s="1281"/>
      <c r="AU521" s="1281"/>
      <c r="AV521" s="1281"/>
      <c r="AW521" s="1281"/>
      <c r="AX521" s="1281"/>
      <c r="AY521" s="1281"/>
      <c r="AZ521" s="1005"/>
      <c r="BA521" s="1005"/>
      <c r="BB521" s="1005"/>
      <c r="BC521" s="1005"/>
      <c r="BD521" s="1005"/>
      <c r="BE521" s="1005"/>
      <c r="BF521" s="1005"/>
      <c r="BG521" s="1005"/>
      <c r="BH521" s="1005"/>
      <c r="BI521" s="1005"/>
      <c r="BJ521" s="1005"/>
      <c r="BK521" s="1005"/>
      <c r="BL521" s="1005"/>
      <c r="BM521" s="1002"/>
      <c r="BN521" s="1002"/>
      <c r="BO521" s="1002"/>
      <c r="BP521" s="1002"/>
      <c r="BQ521" s="1002"/>
      <c r="BR521" s="1002"/>
      <c r="BS521" s="1002"/>
      <c r="BT521" s="1002"/>
      <c r="BU521" s="1002"/>
      <c r="BV521" s="1002"/>
      <c r="BW521" s="1002"/>
      <c r="BX521" s="1002"/>
      <c r="BY521" s="1002"/>
      <c r="BZ521" s="1002"/>
      <c r="CA521" s="1002"/>
      <c r="CB521" s="1002"/>
      <c r="CC521" s="1002"/>
    </row>
    <row r="522" spans="1:81" s="922" customFormat="1" ht="12.75" hidden="1" customHeight="1">
      <c r="A522" s="1098"/>
      <c r="B522" s="922" t="s">
        <v>1732</v>
      </c>
      <c r="C522" s="923"/>
      <c r="E522" s="923"/>
      <c r="F522" s="923"/>
      <c r="G522" s="923"/>
      <c r="H522" s="923"/>
      <c r="I522" s="923"/>
      <c r="J522" s="923"/>
      <c r="K522" s="923"/>
      <c r="L522" s="923"/>
      <c r="M522" s="923"/>
      <c r="N522" s="923"/>
      <c r="O522" s="923"/>
      <c r="P522" s="923"/>
      <c r="Q522" s="923"/>
      <c r="R522" s="923"/>
      <c r="S522" s="923"/>
      <c r="T522" s="923"/>
      <c r="U522" s="923"/>
      <c r="V522" s="923"/>
      <c r="W522" s="923"/>
      <c r="X522" s="923"/>
      <c r="Y522" s="923"/>
      <c r="Z522" s="923"/>
      <c r="AA522" s="923"/>
      <c r="AB522" s="923"/>
      <c r="AC522" s="923"/>
      <c r="AD522" s="1014"/>
      <c r="AE522" s="923"/>
      <c r="AF522" s="923"/>
      <c r="AG522" s="923"/>
      <c r="AH522" s="923"/>
      <c r="AI522" s="1005"/>
      <c r="AK522" s="1005"/>
      <c r="AL522" s="1005"/>
      <c r="AM522" s="1005"/>
      <c r="AN522" s="979"/>
      <c r="AO522" s="1005"/>
      <c r="AP522" s="1005"/>
      <c r="AQ522" s="1005"/>
      <c r="AR522" s="1005"/>
      <c r="AS522" s="1005"/>
      <c r="AT522" s="1005"/>
      <c r="AU522" s="1005"/>
      <c r="AV522" s="1005"/>
      <c r="AW522" s="1005"/>
      <c r="AX522" s="1005"/>
      <c r="AY522" s="1005"/>
      <c r="AZ522" s="1005"/>
      <c r="BA522" s="1005"/>
      <c r="BB522" s="1005"/>
      <c r="BC522" s="1005"/>
      <c r="BD522" s="1005"/>
      <c r="BE522" s="1005"/>
      <c r="BF522" s="1005"/>
      <c r="BG522" s="1005"/>
      <c r="BH522" s="1005"/>
      <c r="BI522" s="1005"/>
      <c r="BJ522" s="1005"/>
      <c r="BK522" s="1005"/>
      <c r="BL522" s="1005"/>
      <c r="BM522" s="1005"/>
      <c r="BN522" s="1005"/>
      <c r="BO522" s="1005"/>
      <c r="BP522" s="1005"/>
      <c r="BQ522" s="1005"/>
      <c r="BR522" s="1005"/>
      <c r="BS522" s="1005"/>
      <c r="BT522" s="1005"/>
      <c r="BU522" s="1005"/>
      <c r="BV522" s="1005"/>
      <c r="BW522" s="1005"/>
      <c r="BX522" s="1005"/>
      <c r="BY522" s="1005"/>
      <c r="BZ522" s="1005"/>
      <c r="CA522" s="1005"/>
      <c r="CB522" s="1005"/>
      <c r="CC522" s="1005"/>
    </row>
    <row r="523" spans="1:81" s="922" customFormat="1" ht="12.75" hidden="1" customHeight="1">
      <c r="A523" s="1282"/>
      <c r="C523" s="923"/>
      <c r="E523" s="923"/>
      <c r="F523" s="923"/>
      <c r="G523" s="923"/>
      <c r="H523" s="923"/>
      <c r="I523" s="923"/>
      <c r="J523" s="923"/>
      <c r="K523" s="923"/>
      <c r="L523" s="923"/>
      <c r="M523" s="923"/>
      <c r="N523" s="923"/>
      <c r="O523" s="923"/>
      <c r="P523" s="923"/>
      <c r="Q523" s="923"/>
      <c r="R523" s="923"/>
      <c r="S523" s="923"/>
      <c r="T523" s="923"/>
      <c r="U523" s="923"/>
      <c r="V523" s="923"/>
      <c r="W523" s="923"/>
      <c r="X523" s="923"/>
      <c r="Y523" s="923"/>
      <c r="Z523" s="923"/>
      <c r="AA523" s="923"/>
      <c r="AB523" s="923"/>
      <c r="AC523" s="923"/>
      <c r="AD523" s="1014"/>
      <c r="AE523" s="923"/>
      <c r="AF523" s="923"/>
      <c r="AG523" s="923"/>
      <c r="AH523" s="923"/>
      <c r="AI523" s="1005"/>
      <c r="AK523" s="1005"/>
      <c r="AL523" s="1005"/>
      <c r="AM523" s="1005"/>
      <c r="AN523" s="979"/>
      <c r="AO523" s="1005"/>
      <c r="AP523" s="1005"/>
      <c r="AQ523" s="1005"/>
      <c r="AR523" s="1005"/>
      <c r="AS523" s="1005"/>
      <c r="AT523" s="1005"/>
      <c r="AU523" s="1005"/>
      <c r="AV523" s="1005"/>
      <c r="AW523" s="1005"/>
      <c r="AX523" s="1005"/>
      <c r="AY523" s="1005"/>
      <c r="AZ523" s="1005"/>
      <c r="BA523" s="1005"/>
      <c r="BB523" s="1005"/>
      <c r="BC523" s="1005"/>
      <c r="BD523" s="1005"/>
      <c r="BE523" s="1005"/>
      <c r="BF523" s="1005"/>
      <c r="BG523" s="1005"/>
      <c r="BH523" s="1005"/>
      <c r="BI523" s="1005"/>
      <c r="BJ523" s="1005"/>
      <c r="BK523" s="1005"/>
      <c r="BL523" s="1005"/>
      <c r="BM523" s="1005"/>
      <c r="BN523" s="1005"/>
      <c r="BO523" s="1005"/>
      <c r="BP523" s="1005"/>
      <c r="BQ523" s="1005"/>
      <c r="BR523" s="1005"/>
      <c r="BS523" s="1005"/>
      <c r="BT523" s="1005"/>
      <c r="BU523" s="1005"/>
      <c r="BV523" s="1005"/>
      <c r="BW523" s="1005"/>
      <c r="BX523" s="1005"/>
      <c r="BY523" s="1005"/>
      <c r="BZ523" s="1005"/>
      <c r="CA523" s="1005"/>
      <c r="CB523" s="1005"/>
      <c r="CC523" s="1005"/>
    </row>
    <row r="524" spans="1:81" s="922" customFormat="1" ht="12.75" hidden="1" customHeight="1">
      <c r="A524" s="1050"/>
      <c r="B524" s="1086"/>
      <c r="C524" s="1086"/>
      <c r="D524" s="1086"/>
      <c r="E524" s="1086"/>
      <c r="F524" s="1086"/>
      <c r="G524" s="1086"/>
      <c r="H524" s="1086"/>
      <c r="I524" s="1086"/>
      <c r="J524" s="1086"/>
      <c r="K524" s="1086"/>
      <c r="L524" s="1086"/>
      <c r="M524" s="1086"/>
      <c r="N524" s="1086"/>
      <c r="O524" s="1086"/>
      <c r="P524" s="1086"/>
      <c r="Q524" s="1086"/>
      <c r="R524" s="1086"/>
      <c r="S524" s="1086"/>
      <c r="T524" s="1086"/>
      <c r="U524" s="1086"/>
      <c r="V524" s="1086"/>
      <c r="W524" s="1086"/>
      <c r="X524" s="1086"/>
      <c r="Y524" s="1086"/>
      <c r="Z524" s="1086"/>
      <c r="AA524" s="1086"/>
      <c r="AB524" s="1086"/>
      <c r="AC524" s="1087"/>
      <c r="AD524" s="1086"/>
      <c r="AE524" s="1086"/>
      <c r="AF524" s="1086"/>
      <c r="AG524" s="1086"/>
      <c r="AH524" s="997"/>
      <c r="AI524" s="938"/>
      <c r="AJ524" s="938" t="s">
        <v>1733</v>
      </c>
      <c r="AK524" s="2674">
        <f>SUM(AG468:AG513)</f>
        <v>0</v>
      </c>
      <c r="AL524" s="2675"/>
      <c r="AM524" s="2676"/>
      <c r="AN524" s="979"/>
      <c r="AO524" s="1005"/>
      <c r="AP524" s="985"/>
      <c r="AQ524" s="985"/>
      <c r="AR524" s="985"/>
      <c r="AS524" s="985"/>
      <c r="AT524" s="985"/>
      <c r="AU524" s="985"/>
      <c r="AV524" s="985"/>
      <c r="AW524" s="985"/>
      <c r="AX524" s="985"/>
      <c r="AY524" s="985"/>
      <c r="AZ524" s="985"/>
      <c r="BA524" s="1005"/>
      <c r="BB524" s="1005"/>
      <c r="BC524" s="1005"/>
      <c r="BD524" s="1005"/>
      <c r="BE524" s="1005"/>
      <c r="BF524" s="1005"/>
      <c r="BG524" s="1005"/>
      <c r="BH524" s="1005"/>
      <c r="BI524" s="1005"/>
      <c r="BJ524" s="1005"/>
      <c r="BK524" s="1005"/>
      <c r="BL524" s="1005"/>
      <c r="BM524" s="1005"/>
      <c r="BN524" s="1005"/>
      <c r="BO524" s="1005"/>
      <c r="BP524" s="1005"/>
      <c r="BQ524" s="1005"/>
      <c r="BR524" s="1005"/>
      <c r="BS524" s="1005"/>
      <c r="BT524" s="1005"/>
      <c r="BU524" s="1005"/>
      <c r="BV524" s="1005"/>
      <c r="BW524" s="1005"/>
      <c r="BX524" s="1005"/>
      <c r="BY524" s="1005"/>
      <c r="BZ524" s="1005"/>
      <c r="CA524" s="1005"/>
      <c r="CB524" s="1005"/>
      <c r="CC524" s="1005"/>
    </row>
    <row r="525" spans="1:81" s="922" customFormat="1" ht="12.75" hidden="1" customHeight="1" thickBot="1">
      <c r="A525" s="1039"/>
      <c r="B525" s="923"/>
      <c r="C525" s="923"/>
      <c r="D525" s="923"/>
      <c r="E525" s="923"/>
      <c r="F525" s="923"/>
      <c r="G525" s="923"/>
      <c r="H525" s="923"/>
      <c r="I525" s="923"/>
      <c r="J525" s="923"/>
      <c r="K525" s="923"/>
      <c r="L525" s="923"/>
      <c r="M525" s="923"/>
      <c r="N525" s="923"/>
      <c r="O525" s="923"/>
      <c r="P525" s="923"/>
      <c r="Q525" s="923"/>
      <c r="R525" s="923"/>
      <c r="S525" s="923"/>
      <c r="T525" s="923"/>
      <c r="U525" s="923"/>
      <c r="V525" s="923"/>
      <c r="W525" s="923"/>
      <c r="X525" s="923"/>
      <c r="Y525" s="923"/>
      <c r="Z525" s="923"/>
      <c r="AA525" s="923"/>
      <c r="AB525" s="923"/>
      <c r="AC525" s="1014"/>
      <c r="AD525" s="923"/>
      <c r="AE525" s="923"/>
      <c r="AF525" s="923"/>
      <c r="AG525" s="923"/>
      <c r="AH525" s="1005"/>
      <c r="AI525" s="1623"/>
      <c r="AJ525" s="1623"/>
      <c r="AK525" s="984"/>
      <c r="AL525" s="984"/>
      <c r="AM525" s="984"/>
      <c r="AN525" s="979"/>
      <c r="AO525" s="1005"/>
      <c r="AP525" s="985"/>
      <c r="AQ525" s="985"/>
      <c r="AR525" s="985"/>
      <c r="AS525" s="985"/>
      <c r="AT525" s="985"/>
      <c r="AU525" s="985"/>
      <c r="AV525" s="985"/>
      <c r="AW525" s="985"/>
      <c r="AX525" s="985"/>
      <c r="AY525" s="985"/>
      <c r="AZ525" s="985"/>
      <c r="BA525" s="1005"/>
      <c r="BB525" s="1005"/>
      <c r="BC525" s="1005"/>
      <c r="BD525" s="1005"/>
      <c r="BE525" s="1005"/>
      <c r="BF525" s="1005"/>
      <c r="BG525" s="1005"/>
      <c r="BH525" s="1005"/>
      <c r="BI525" s="1005"/>
      <c r="BJ525" s="1005"/>
      <c r="BK525" s="1005"/>
      <c r="BL525" s="1005"/>
      <c r="BM525" s="1005"/>
      <c r="BN525" s="1005"/>
      <c r="BO525" s="1005"/>
      <c r="BP525" s="1005"/>
      <c r="BQ525" s="1005"/>
      <c r="BR525" s="1005"/>
      <c r="BS525" s="1005"/>
      <c r="BT525" s="1005"/>
      <c r="BU525" s="1005"/>
      <c r="BV525" s="1005"/>
      <c r="BW525" s="1005"/>
      <c r="BX525" s="1005"/>
      <c r="BY525" s="1005"/>
      <c r="BZ525" s="1005"/>
      <c r="CA525" s="1005"/>
      <c r="CB525" s="1005"/>
      <c r="CC525" s="1005"/>
    </row>
    <row r="526" spans="1:81" ht="13.5" thickTop="1"/>
    <row r="527" spans="1:81" s="922" customFormat="1" ht="12.75" customHeight="1">
      <c r="A527" s="991" t="s">
        <v>1734</v>
      </c>
      <c r="B527" s="991" t="s">
        <v>1735</v>
      </c>
      <c r="C527" s="923"/>
      <c r="D527" s="923"/>
      <c r="E527" s="923"/>
      <c r="F527" s="923"/>
      <c r="G527" s="923"/>
      <c r="H527" s="923"/>
      <c r="I527" s="923"/>
      <c r="J527" s="923"/>
      <c r="K527" s="923"/>
      <c r="L527" s="923"/>
      <c r="M527" s="923"/>
      <c r="N527" s="923"/>
      <c r="O527" s="923"/>
      <c r="P527" s="923"/>
      <c r="Q527" s="923"/>
      <c r="R527" s="923"/>
      <c r="S527" s="923"/>
      <c r="T527" s="923"/>
      <c r="U527" s="923"/>
      <c r="V527" s="923"/>
      <c r="W527" s="923"/>
      <c r="X527" s="923"/>
      <c r="Y527" s="923"/>
      <c r="Z527" s="923"/>
      <c r="AA527" s="923"/>
      <c r="AB527" s="923"/>
      <c r="AC527" s="1014"/>
      <c r="AD527" s="923"/>
      <c r="AE527" s="2680" t="s">
        <v>1736</v>
      </c>
      <c r="AF527" s="2680"/>
      <c r="AG527" s="2680"/>
      <c r="AH527" s="2680"/>
      <c r="AI527" s="2680"/>
      <c r="AJ527" s="2680"/>
      <c r="AK527" s="2680"/>
      <c r="AL527" s="984"/>
      <c r="AM527" s="984"/>
      <c r="AN527" s="979"/>
    </row>
    <row r="528" spans="1:81" s="922" customFormat="1" ht="12.75" customHeight="1">
      <c r="A528" s="991"/>
      <c r="B528" s="991" t="s">
        <v>1495</v>
      </c>
      <c r="C528" s="923"/>
      <c r="D528" s="923"/>
      <c r="E528" s="923"/>
      <c r="F528" s="923"/>
      <c r="G528" s="923"/>
      <c r="H528" s="923"/>
      <c r="I528" s="923"/>
      <c r="J528" s="923"/>
      <c r="K528" s="923"/>
      <c r="L528" s="923"/>
      <c r="M528" s="923"/>
      <c r="N528" s="923"/>
      <c r="O528" s="923"/>
      <c r="P528" s="923"/>
      <c r="Q528" s="923"/>
      <c r="R528" s="923"/>
      <c r="S528" s="923"/>
      <c r="T528" s="923"/>
      <c r="U528" s="923"/>
      <c r="V528" s="923"/>
      <c r="W528" s="923"/>
      <c r="X528" s="923"/>
      <c r="Y528" s="923"/>
      <c r="Z528" s="923"/>
      <c r="AA528" s="923"/>
      <c r="AB528" s="923"/>
      <c r="AC528" s="1014"/>
      <c r="AD528" s="923"/>
      <c r="AE528" s="1623"/>
      <c r="AF528" s="1623"/>
      <c r="AG528" s="1623"/>
      <c r="AH528" s="1623"/>
      <c r="AI528" s="1623"/>
      <c r="AJ528" s="1623"/>
      <c r="AK528" s="1623"/>
      <c r="AL528" s="984"/>
      <c r="AM528" s="984"/>
      <c r="AN528" s="979"/>
    </row>
    <row r="529" spans="1:49" s="922" customFormat="1" ht="12.75" customHeight="1">
      <c r="A529" s="991"/>
      <c r="B529" s="991"/>
      <c r="C529" s="923"/>
      <c r="D529" s="923"/>
      <c r="E529" s="923"/>
      <c r="F529" s="923"/>
      <c r="G529" s="923"/>
      <c r="H529" s="923"/>
      <c r="I529" s="923"/>
      <c r="J529" s="923"/>
      <c r="K529" s="923"/>
      <c r="L529" s="923"/>
      <c r="M529" s="923"/>
      <c r="N529" s="923"/>
      <c r="O529" s="923"/>
      <c r="P529" s="923"/>
      <c r="Q529" s="923"/>
      <c r="R529" s="923"/>
      <c r="S529" s="923"/>
      <c r="T529" s="923"/>
      <c r="U529" s="923"/>
      <c r="V529" s="923"/>
      <c r="W529" s="923"/>
      <c r="X529" s="923"/>
      <c r="Y529" s="923"/>
      <c r="Z529" s="923"/>
      <c r="AA529" s="923"/>
      <c r="AB529" s="923"/>
      <c r="AC529" s="1014"/>
      <c r="AD529" s="923"/>
      <c r="AE529" s="1016"/>
      <c r="AF529" s="1016"/>
      <c r="AG529" s="1016"/>
      <c r="AH529" s="1016"/>
      <c r="AI529" s="1016"/>
      <c r="AJ529" s="1016"/>
      <c r="AK529" s="1016"/>
      <c r="AL529" s="984"/>
      <c r="AM529" s="984"/>
      <c r="AN529" s="979"/>
    </row>
    <row r="530" spans="1:49" s="922" customFormat="1" ht="12.75" customHeight="1">
      <c r="A530" s="991"/>
      <c r="B530" s="991"/>
      <c r="C530" s="2689" t="s">
        <v>554</v>
      </c>
      <c r="D530" s="2689"/>
      <c r="E530" s="923"/>
      <c r="F530" s="2752" t="s">
        <v>1737</v>
      </c>
      <c r="G530" s="2753"/>
      <c r="H530" s="2753"/>
      <c r="I530" s="2753"/>
      <c r="J530" s="2753"/>
      <c r="K530" s="2753"/>
      <c r="L530" s="2753"/>
      <c r="M530" s="2753"/>
      <c r="N530" s="2753"/>
      <c r="O530" s="2753"/>
      <c r="P530" s="2753"/>
      <c r="Q530" s="2753"/>
      <c r="R530" s="2753"/>
      <c r="S530" s="2753"/>
      <c r="T530" s="2753"/>
      <c r="U530" s="2753"/>
      <c r="V530" s="2753"/>
      <c r="W530" s="2753"/>
      <c r="X530" s="2753"/>
      <c r="Y530" s="2753"/>
      <c r="Z530" s="2753"/>
      <c r="AA530" s="2753"/>
      <c r="AB530" s="2753"/>
      <c r="AC530" s="2753"/>
      <c r="AD530" s="2753"/>
      <c r="AE530" s="2753"/>
      <c r="AF530" s="2753"/>
      <c r="AG530" s="2753"/>
      <c r="AH530" s="2753"/>
      <c r="AI530" s="2753"/>
      <c r="AJ530" s="2753"/>
      <c r="AK530" s="2753"/>
      <c r="AL530" s="2754"/>
      <c r="AM530" s="984"/>
      <c r="AN530" s="979"/>
    </row>
    <row r="531" spans="1:49" s="922" customFormat="1" ht="12.75" customHeight="1">
      <c r="A531" s="991"/>
      <c r="B531" s="991"/>
      <c r="C531" s="923"/>
      <c r="D531" s="923"/>
      <c r="E531" s="923"/>
      <c r="F531" s="2755"/>
      <c r="G531" s="2756"/>
      <c r="H531" s="2756"/>
      <c r="I531" s="2756"/>
      <c r="J531" s="2756"/>
      <c r="K531" s="2756"/>
      <c r="L531" s="2756"/>
      <c r="M531" s="2756"/>
      <c r="N531" s="2756"/>
      <c r="O531" s="2756"/>
      <c r="P531" s="2756"/>
      <c r="Q531" s="2756"/>
      <c r="R531" s="2756"/>
      <c r="S531" s="2756"/>
      <c r="T531" s="2756"/>
      <c r="U531" s="2756"/>
      <c r="V531" s="2756"/>
      <c r="W531" s="2756"/>
      <c r="X531" s="2756"/>
      <c r="Y531" s="2756"/>
      <c r="Z531" s="2756"/>
      <c r="AA531" s="2756"/>
      <c r="AB531" s="2756"/>
      <c r="AC531" s="2756"/>
      <c r="AD531" s="2756"/>
      <c r="AE531" s="2756"/>
      <c r="AF531" s="2756"/>
      <c r="AG531" s="2756"/>
      <c r="AH531" s="2756"/>
      <c r="AI531" s="2756"/>
      <c r="AJ531" s="2756"/>
      <c r="AK531" s="2756"/>
      <c r="AL531" s="2757"/>
      <c r="AM531" s="984"/>
      <c r="AN531" s="979"/>
    </row>
    <row r="532" spans="1:49" s="922" customFormat="1" ht="12.75" customHeight="1">
      <c r="A532" s="991"/>
      <c r="B532" s="991"/>
      <c r="C532" s="923"/>
      <c r="D532" s="923"/>
      <c r="E532" s="923"/>
      <c r="F532" s="1283"/>
      <c r="G532" s="1283"/>
      <c r="H532" s="1283"/>
      <c r="I532" s="1283"/>
      <c r="J532" s="1283"/>
      <c r="K532" s="1283"/>
      <c r="L532" s="1283"/>
      <c r="M532" s="1283"/>
      <c r="N532" s="1283"/>
      <c r="O532" s="1283"/>
      <c r="P532" s="1283"/>
      <c r="Q532" s="1283"/>
      <c r="R532" s="1283"/>
      <c r="S532" s="1283"/>
      <c r="T532" s="1283"/>
      <c r="U532" s="1283"/>
      <c r="V532" s="1283"/>
      <c r="W532" s="1283"/>
      <c r="X532" s="1283"/>
      <c r="Y532" s="1283"/>
      <c r="Z532" s="1283"/>
      <c r="AA532" s="1283"/>
      <c r="AB532" s="1283"/>
      <c r="AC532" s="1283"/>
      <c r="AD532" s="1283"/>
      <c r="AE532" s="1283"/>
      <c r="AF532" s="1283"/>
      <c r="AG532" s="1283"/>
      <c r="AH532" s="1283"/>
      <c r="AI532" s="1283"/>
      <c r="AJ532" s="1283"/>
      <c r="AK532" s="1283"/>
      <c r="AL532" s="1283"/>
      <c r="AM532" s="984"/>
      <c r="AN532" s="979"/>
    </row>
    <row r="533" spans="1:49" s="922" customFormat="1" ht="12.75" customHeight="1">
      <c r="A533" s="991"/>
      <c r="B533" s="1284"/>
      <c r="C533" s="2689" t="s">
        <v>554</v>
      </c>
      <c r="D533" s="2689"/>
      <c r="E533" s="1284"/>
      <c r="F533" s="1285" t="s">
        <v>1738</v>
      </c>
      <c r="G533" s="1286"/>
      <c r="H533" s="1287"/>
      <c r="I533" s="1287"/>
      <c r="J533" s="1287"/>
      <c r="K533" s="1287"/>
      <c r="L533" s="1287"/>
      <c r="M533" s="1287"/>
      <c r="N533" s="1287"/>
      <c r="O533" s="1287"/>
      <c r="P533" s="1287"/>
      <c r="Q533" s="1287"/>
      <c r="R533" s="1287"/>
      <c r="S533" s="1287"/>
      <c r="T533" s="1287"/>
      <c r="U533" s="1287"/>
      <c r="V533" s="1287"/>
      <c r="W533" s="1287"/>
      <c r="X533" s="1287"/>
      <c r="Y533" s="1287"/>
      <c r="Z533" s="1287"/>
      <c r="AA533" s="1287"/>
      <c r="AB533" s="1287"/>
      <c r="AC533" s="1287"/>
      <c r="AD533" s="1287"/>
      <c r="AE533" s="1287"/>
      <c r="AF533" s="1287"/>
      <c r="AG533" s="1287"/>
      <c r="AH533" s="1287"/>
      <c r="AI533" s="1287"/>
      <c r="AJ533" s="1287"/>
      <c r="AK533" s="1288"/>
      <c r="AL533" s="1289"/>
      <c r="AM533" s="984"/>
      <c r="AN533" s="979"/>
    </row>
    <row r="534" spans="1:49" s="922" customFormat="1" ht="12.75" customHeight="1">
      <c r="A534" s="1005"/>
      <c r="B534" s="1284"/>
      <c r="C534" s="1284"/>
      <c r="D534" s="1284"/>
      <c r="E534" s="1284"/>
      <c r="F534" s="2666" t="s">
        <v>1739</v>
      </c>
      <c r="G534" s="2667"/>
      <c r="H534" s="2667"/>
      <c r="I534" s="2667"/>
      <c r="J534" s="2667"/>
      <c r="K534" s="2667"/>
      <c r="L534" s="2667"/>
      <c r="M534" s="2667"/>
      <c r="N534" s="2667"/>
      <c r="O534" s="2667"/>
      <c r="P534" s="2667"/>
      <c r="Q534" s="2667"/>
      <c r="R534" s="2667"/>
      <c r="S534" s="2667"/>
      <c r="T534" s="2667"/>
      <c r="U534" s="2667"/>
      <c r="V534" s="2667"/>
      <c r="W534" s="2667"/>
      <c r="X534" s="2667"/>
      <c r="Y534" s="2667"/>
      <c r="Z534" s="2667"/>
      <c r="AA534" s="2667"/>
      <c r="AB534" s="2667"/>
      <c r="AC534" s="2667"/>
      <c r="AD534" s="2667"/>
      <c r="AE534" s="2667"/>
      <c r="AF534" s="2667"/>
      <c r="AG534" s="2667"/>
      <c r="AH534" s="2667"/>
      <c r="AI534" s="2667"/>
      <c r="AJ534" s="2667"/>
      <c r="AK534" s="2667"/>
      <c r="AL534" s="2668"/>
      <c r="AM534" s="984"/>
      <c r="AN534" s="979"/>
      <c r="AS534" s="1371"/>
      <c r="AT534" s="1371"/>
      <c r="AU534" s="1371"/>
      <c r="AV534" s="1371"/>
      <c r="AW534" s="1371"/>
    </row>
    <row r="535" spans="1:49" s="922" customFormat="1" ht="12.75" customHeight="1">
      <c r="A535" s="1005"/>
      <c r="B535" s="1284"/>
      <c r="C535" s="1284"/>
      <c r="D535" s="1284"/>
      <c r="E535" s="1284"/>
      <c r="F535" s="2666"/>
      <c r="G535" s="2667"/>
      <c r="H535" s="2667"/>
      <c r="I535" s="2667"/>
      <c r="J535" s="2667"/>
      <c r="K535" s="2667"/>
      <c r="L535" s="2667"/>
      <c r="M535" s="2667"/>
      <c r="N535" s="2667"/>
      <c r="O535" s="2667"/>
      <c r="P535" s="2667"/>
      <c r="Q535" s="2667"/>
      <c r="R535" s="2667"/>
      <c r="S535" s="2667"/>
      <c r="T535" s="2667"/>
      <c r="U535" s="2667"/>
      <c r="V535" s="2667"/>
      <c r="W535" s="2667"/>
      <c r="X535" s="2667"/>
      <c r="Y535" s="2667"/>
      <c r="Z535" s="2667"/>
      <c r="AA535" s="2667"/>
      <c r="AB535" s="2667"/>
      <c r="AC535" s="2667"/>
      <c r="AD535" s="2667"/>
      <c r="AE535" s="2667"/>
      <c r="AF535" s="2667"/>
      <c r="AG535" s="2667"/>
      <c r="AH535" s="2667"/>
      <c r="AI535" s="2667"/>
      <c r="AJ535" s="2667"/>
      <c r="AK535" s="2667"/>
      <c r="AL535" s="2668"/>
      <c r="AM535" s="984"/>
      <c r="AN535" s="979"/>
    </row>
    <row r="536" spans="1:49" s="922" customFormat="1" ht="12.75" customHeight="1">
      <c r="A536" s="1005"/>
      <c r="B536" s="1284"/>
      <c r="C536" s="1284"/>
      <c r="D536" s="1284"/>
      <c r="E536" s="1284"/>
      <c r="F536" s="1290" t="s">
        <v>2418</v>
      </c>
      <c r="G536" s="1291"/>
      <c r="H536" s="1291"/>
      <c r="I536" s="1291"/>
      <c r="J536" s="1291"/>
      <c r="K536" s="1291"/>
      <c r="L536" s="1291"/>
      <c r="M536" s="1291"/>
      <c r="N536" s="1291"/>
      <c r="O536" s="1291"/>
      <c r="P536" s="1291"/>
      <c r="Q536" s="1291"/>
      <c r="R536" s="1291"/>
      <c r="S536" s="1291"/>
      <c r="T536" s="1291"/>
      <c r="U536" s="1291"/>
      <c r="V536" s="1291"/>
      <c r="W536" s="1291"/>
      <c r="X536" s="1291"/>
      <c r="Y536" s="1291"/>
      <c r="Z536" s="1291"/>
      <c r="AA536" s="1291"/>
      <c r="AB536" s="1291"/>
      <c r="AC536" s="1291"/>
      <c r="AD536" s="1291"/>
      <c r="AE536" s="1291"/>
      <c r="AF536" s="1291"/>
      <c r="AG536" s="1291"/>
      <c r="AH536" s="1291"/>
      <c r="AI536" s="1291"/>
      <c r="AJ536" s="1291"/>
      <c r="AK536" s="1291"/>
      <c r="AL536" s="1292"/>
      <c r="AM536" s="984"/>
      <c r="AN536" s="979"/>
      <c r="AT536" s="1068"/>
      <c r="AU536" s="1068"/>
      <c r="AV536" s="1068"/>
    </row>
    <row r="537" spans="1:49" s="922" customFormat="1" ht="12.75" customHeight="1">
      <c r="A537" s="1005"/>
      <c r="B537" s="1284"/>
      <c r="C537" s="1284"/>
      <c r="D537" s="1284"/>
      <c r="E537" s="1284"/>
      <c r="F537" s="2666" t="s">
        <v>1740</v>
      </c>
      <c r="G537" s="2667"/>
      <c r="H537" s="2667"/>
      <c r="I537" s="2667"/>
      <c r="J537" s="2667"/>
      <c r="K537" s="2667"/>
      <c r="L537" s="2667"/>
      <c r="M537" s="2667"/>
      <c r="N537" s="2667"/>
      <c r="O537" s="2667"/>
      <c r="P537" s="2667"/>
      <c r="Q537" s="2667"/>
      <c r="R537" s="2667"/>
      <c r="S537" s="2667"/>
      <c r="T537" s="2667"/>
      <c r="U537" s="2667"/>
      <c r="V537" s="2667"/>
      <c r="W537" s="2667"/>
      <c r="X537" s="2667"/>
      <c r="Y537" s="2667"/>
      <c r="Z537" s="2667"/>
      <c r="AA537" s="2667"/>
      <c r="AB537" s="2667"/>
      <c r="AC537" s="2667"/>
      <c r="AD537" s="2667"/>
      <c r="AE537" s="2667"/>
      <c r="AF537" s="2667"/>
      <c r="AG537" s="2667"/>
      <c r="AH537" s="2667"/>
      <c r="AI537" s="2667"/>
      <c r="AJ537" s="2667"/>
      <c r="AK537" s="2667"/>
      <c r="AL537" s="1293"/>
      <c r="AM537" s="984"/>
      <c r="AN537" s="979"/>
      <c r="AT537" s="1068"/>
      <c r="AU537" s="1068"/>
      <c r="AV537" s="1068"/>
    </row>
    <row r="538" spans="1:49" s="922" customFormat="1" ht="12.75" customHeight="1">
      <c r="A538" s="1005"/>
      <c r="B538" s="1284"/>
      <c r="C538" s="1284"/>
      <c r="D538" s="1284"/>
      <c r="E538" s="1284"/>
      <c r="F538" s="2669"/>
      <c r="G538" s="2670"/>
      <c r="H538" s="2670"/>
      <c r="I538" s="2670"/>
      <c r="J538" s="2670"/>
      <c r="K538" s="2670"/>
      <c r="L538" s="2670"/>
      <c r="M538" s="2670"/>
      <c r="N538" s="2670"/>
      <c r="O538" s="2670"/>
      <c r="P538" s="2670"/>
      <c r="Q538" s="2670"/>
      <c r="R538" s="2670"/>
      <c r="S538" s="2670"/>
      <c r="T538" s="2670"/>
      <c r="U538" s="2670"/>
      <c r="V538" s="2670"/>
      <c r="W538" s="2670"/>
      <c r="X538" s="2670"/>
      <c r="Y538" s="2670"/>
      <c r="Z538" s="2670"/>
      <c r="AA538" s="2670"/>
      <c r="AB538" s="2670"/>
      <c r="AC538" s="2670"/>
      <c r="AD538" s="2670"/>
      <c r="AE538" s="2670"/>
      <c r="AF538" s="2670"/>
      <c r="AG538" s="2670"/>
      <c r="AH538" s="2670"/>
      <c r="AI538" s="2670"/>
      <c r="AJ538" s="2670"/>
      <c r="AK538" s="2670"/>
      <c r="AL538" s="1294"/>
      <c r="AM538" s="984"/>
      <c r="AN538" s="979"/>
      <c r="AT538" s="1068"/>
      <c r="AU538" s="1068"/>
      <c r="AV538" s="1068"/>
    </row>
    <row r="539" spans="1:49" s="922" customFormat="1" ht="12.75" customHeight="1">
      <c r="A539" s="1005"/>
      <c r="B539" s="1284"/>
      <c r="C539" s="1284"/>
      <c r="D539" s="1284"/>
      <c r="E539" s="1284"/>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984"/>
      <c r="AM539" s="984"/>
      <c r="AN539" s="979"/>
      <c r="AP539" s="2660">
        <f>Application!AJ961</f>
        <v>25756670</v>
      </c>
      <c r="AQ539" s="2660"/>
      <c r="AR539" s="2660"/>
    </row>
    <row r="540" spans="1:49" s="922" customFormat="1" ht="12.75" customHeight="1">
      <c r="A540" s="1296"/>
      <c r="B540" s="903" t="s">
        <v>1741</v>
      </c>
      <c r="C540" s="1025"/>
      <c r="D540" s="1026"/>
      <c r="E540" s="1026"/>
      <c r="F540" s="51"/>
      <c r="G540" s="1027"/>
      <c r="H540" s="1027"/>
      <c r="I540" s="1027"/>
      <c r="J540" s="1027"/>
      <c r="K540" s="1027"/>
      <c r="L540" s="1027"/>
      <c r="M540" s="1027"/>
      <c r="N540" s="1027"/>
      <c r="O540" s="1027"/>
      <c r="P540" s="1027"/>
      <c r="Q540" s="1027"/>
      <c r="R540" s="51"/>
      <c r="S540" s="51"/>
      <c r="T540" s="51"/>
      <c r="U540" s="51"/>
      <c r="V540" s="51"/>
      <c r="W540" s="51"/>
      <c r="X540" s="1027"/>
      <c r="Y540" s="1027"/>
      <c r="Z540" s="1027"/>
      <c r="AA540" s="1024"/>
      <c r="AB540" s="1024"/>
      <c r="AC540" s="1024"/>
      <c r="AD540" s="1024"/>
      <c r="AE540" s="51"/>
      <c r="AF540" s="2671">
        <f>'Sources and Uses Budget'!S107+'Sources and Uses Budget'!T107</f>
        <v>40559791</v>
      </c>
      <c r="AG540" s="2671"/>
      <c r="AH540" s="2671"/>
      <c r="AI540" s="2671"/>
      <c r="AJ540" s="2671"/>
      <c r="AK540" s="984"/>
      <c r="AL540" s="984"/>
      <c r="AM540" s="984"/>
      <c r="AN540" s="979"/>
    </row>
    <row r="541" spans="1:49" s="922" customFormat="1" ht="12.75" customHeight="1">
      <c r="A541" s="1028"/>
      <c r="B541" s="1028" t="s">
        <v>1742</v>
      </c>
      <c r="C541" s="1027"/>
      <c r="D541" s="1027"/>
      <c r="E541" s="1029"/>
      <c r="F541" s="1029"/>
      <c r="G541" s="1029"/>
      <c r="H541" s="1029"/>
      <c r="I541" s="1029"/>
      <c r="J541" s="1029"/>
      <c r="K541" s="1029"/>
      <c r="L541" s="1027"/>
      <c r="M541" s="1029"/>
      <c r="N541" s="1029"/>
      <c r="O541" s="1029"/>
      <c r="P541" s="1029"/>
      <c r="Q541" s="1029"/>
      <c r="R541" s="51"/>
      <c r="S541" s="51"/>
      <c r="T541" s="51"/>
      <c r="U541" s="51"/>
      <c r="V541" s="51"/>
      <c r="W541" s="51"/>
      <c r="X541" s="1027"/>
      <c r="Y541" s="1027"/>
      <c r="Z541" s="1027"/>
      <c r="AA541" s="1024"/>
      <c r="AB541" s="1024"/>
      <c r="AC541" s="1024"/>
      <c r="AD541" s="1024"/>
      <c r="AE541" s="51"/>
      <c r="AF541" s="2672">
        <f>IFERROR(AP548,0)</f>
        <v>54134007</v>
      </c>
      <c r="AG541" s="2672"/>
      <c r="AH541" s="2672"/>
      <c r="AI541" s="2672"/>
      <c r="AJ541" s="2672"/>
      <c r="AK541" s="984"/>
      <c r="AL541" s="984"/>
      <c r="AM541" s="984"/>
      <c r="AN541" s="979"/>
      <c r="AP541" s="2660">
        <f>Application!AJ1010</f>
        <v>1030266.8</v>
      </c>
      <c r="AQ541" s="2660"/>
      <c r="AR541" s="2660"/>
    </row>
    <row r="542" spans="1:49" s="922" customFormat="1" ht="12.75" customHeight="1">
      <c r="A542" s="1027"/>
      <c r="B542" s="1027" t="s">
        <v>13</v>
      </c>
      <c r="C542" s="1027"/>
      <c r="D542" s="1027"/>
      <c r="E542" s="1027"/>
      <c r="F542" s="1027"/>
      <c r="G542" s="1027"/>
      <c r="H542" s="1027"/>
      <c r="I542" s="1027"/>
      <c r="J542" s="1027"/>
      <c r="K542" s="1027"/>
      <c r="L542" s="1027"/>
      <c r="M542" s="1027"/>
      <c r="N542" s="1027"/>
      <c r="O542" s="1027"/>
      <c r="P542" s="1027"/>
      <c r="Q542" s="1027"/>
      <c r="R542" s="51"/>
      <c r="S542" s="51"/>
      <c r="T542" s="51"/>
      <c r="U542" s="51"/>
      <c r="V542" s="51"/>
      <c r="W542" s="51"/>
      <c r="X542" s="1027"/>
      <c r="Y542" s="1027"/>
      <c r="Z542" s="1027"/>
      <c r="AA542" s="1024"/>
      <c r="AB542" s="1024"/>
      <c r="AC542" s="1024"/>
      <c r="AD542" s="1024"/>
      <c r="AE542" s="51"/>
      <c r="AF542" s="2673">
        <f>IFERROR(ROUNDDOWN(IF(C533="YES",((1-(AF540/AF541))*2),(1-(AF540/AF541))),2),0)</f>
        <v>0.5</v>
      </c>
      <c r="AG542" s="2673"/>
      <c r="AH542" s="2673"/>
      <c r="AI542" s="2673"/>
      <c r="AJ542" s="2673"/>
      <c r="AK542" s="984"/>
      <c r="AL542" s="984"/>
      <c r="AM542" s="984"/>
      <c r="AN542" s="979"/>
      <c r="AP542" s="2661">
        <f>Application!AJ1014</f>
        <v>23696136.400000002</v>
      </c>
      <c r="AQ542" s="2661"/>
      <c r="AR542" s="2661"/>
    </row>
    <row r="543" spans="1:49" s="922" customFormat="1" ht="12.75" customHeight="1">
      <c r="A543" s="1027"/>
      <c r="B543" s="1027"/>
      <c r="C543" s="1027"/>
      <c r="D543" s="1027"/>
      <c r="E543" s="1027"/>
      <c r="F543" s="1027"/>
      <c r="G543" s="1027"/>
      <c r="H543" s="1027"/>
      <c r="I543" s="1027"/>
      <c r="J543" s="1027"/>
      <c r="K543" s="1027"/>
      <c r="L543" s="1027"/>
      <c r="M543" s="1027"/>
      <c r="N543" s="1027"/>
      <c r="O543" s="1027"/>
      <c r="P543" s="1027"/>
      <c r="Q543" s="1027"/>
      <c r="R543" s="51"/>
      <c r="S543" s="51"/>
      <c r="T543" s="51"/>
      <c r="U543" s="51"/>
      <c r="V543" s="51"/>
      <c r="W543" s="51"/>
      <c r="X543" s="1027"/>
      <c r="Y543" s="1027"/>
      <c r="Z543" s="1027"/>
      <c r="AA543" s="1024"/>
      <c r="AB543" s="1024"/>
      <c r="AC543" s="1024"/>
      <c r="AD543" s="1024"/>
      <c r="AE543" s="51"/>
      <c r="AF543" s="1297"/>
      <c r="AG543" s="1297"/>
      <c r="AH543" s="1297"/>
      <c r="AI543" s="1297"/>
      <c r="AJ543" s="1297"/>
      <c r="AK543" s="984"/>
      <c r="AL543" s="984"/>
      <c r="AM543" s="984"/>
      <c r="AN543" s="979"/>
      <c r="AP543" s="2681">
        <f>IF(((AP541+AP542)/AP539)&gt;0.8,0.8,((AP541+AP542)/AP539))</f>
        <v>0.8</v>
      </c>
      <c r="AQ543" s="2681"/>
      <c r="AR543" s="2681"/>
    </row>
    <row r="544" spans="1:49" s="922" customFormat="1" ht="12.75" customHeight="1">
      <c r="A544" s="1027"/>
      <c r="B544" s="2731" t="s">
        <v>2419</v>
      </c>
      <c r="C544" s="2732"/>
      <c r="D544" s="2732"/>
      <c r="E544" s="2732"/>
      <c r="F544" s="2732"/>
      <c r="G544" s="2732"/>
      <c r="H544" s="2732"/>
      <c r="I544" s="2732"/>
      <c r="J544" s="2732"/>
      <c r="K544" s="2732"/>
      <c r="L544" s="2732"/>
      <c r="M544" s="2732"/>
      <c r="N544" s="2732"/>
      <c r="O544" s="2732"/>
      <c r="P544" s="2732"/>
      <c r="Q544" s="2732"/>
      <c r="R544" s="2732"/>
      <c r="S544" s="2732"/>
      <c r="T544" s="2732"/>
      <c r="U544" s="2732"/>
      <c r="V544" s="2732"/>
      <c r="W544" s="2732"/>
      <c r="X544" s="2732"/>
      <c r="Y544" s="2732"/>
      <c r="Z544" s="2732"/>
      <c r="AA544" s="2732"/>
      <c r="AB544" s="2732"/>
      <c r="AC544" s="2732"/>
      <c r="AD544" s="2732"/>
      <c r="AE544" s="2732"/>
      <c r="AF544" s="2732"/>
      <c r="AG544" s="2732"/>
      <c r="AH544" s="2732"/>
      <c r="AI544" s="2732"/>
      <c r="AJ544" s="2733"/>
      <c r="AK544" s="984"/>
      <c r="AL544" s="984"/>
      <c r="AM544" s="984"/>
      <c r="AN544" s="979"/>
    </row>
    <row r="545" spans="1:44" s="922" customFormat="1" ht="12.75" customHeight="1">
      <c r="A545" s="1027"/>
      <c r="B545" s="2734"/>
      <c r="C545" s="2735"/>
      <c r="D545" s="2735"/>
      <c r="E545" s="2735"/>
      <c r="F545" s="2735"/>
      <c r="G545" s="2735"/>
      <c r="H545" s="2735"/>
      <c r="I545" s="2735"/>
      <c r="J545" s="2735"/>
      <c r="K545" s="2735"/>
      <c r="L545" s="2735"/>
      <c r="M545" s="2735"/>
      <c r="N545" s="2735"/>
      <c r="O545" s="2735"/>
      <c r="P545" s="2735"/>
      <c r="Q545" s="2735"/>
      <c r="R545" s="2735"/>
      <c r="S545" s="2735"/>
      <c r="T545" s="2735"/>
      <c r="U545" s="2735"/>
      <c r="V545" s="2735"/>
      <c r="W545" s="2735"/>
      <c r="X545" s="2735"/>
      <c r="Y545" s="2735"/>
      <c r="Z545" s="2735"/>
      <c r="AA545" s="2735"/>
      <c r="AB545" s="2735"/>
      <c r="AC545" s="2735"/>
      <c r="AD545" s="2735"/>
      <c r="AE545" s="2735"/>
      <c r="AF545" s="2735"/>
      <c r="AG545" s="2735"/>
      <c r="AH545" s="2735"/>
      <c r="AI545" s="2735"/>
      <c r="AJ545" s="2736"/>
      <c r="AK545" s="984"/>
      <c r="AL545" s="984"/>
      <c r="AM545" s="984"/>
      <c r="AN545" s="979"/>
      <c r="AP545" s="2660">
        <f>AP546-AP541-AP542</f>
        <v>33528671.000000004</v>
      </c>
      <c r="AQ545" s="2682"/>
      <c r="AR545" s="2682"/>
    </row>
    <row r="546" spans="1:44" s="922" customFormat="1" ht="12.75" customHeight="1">
      <c r="A546" s="1027"/>
      <c r="B546" s="2737"/>
      <c r="C546" s="2738"/>
      <c r="D546" s="2738"/>
      <c r="E546" s="2738"/>
      <c r="F546" s="2738"/>
      <c r="G546" s="2738"/>
      <c r="H546" s="2738"/>
      <c r="I546" s="2738"/>
      <c r="J546" s="2738"/>
      <c r="K546" s="2738"/>
      <c r="L546" s="2738"/>
      <c r="M546" s="2738"/>
      <c r="N546" s="2738"/>
      <c r="O546" s="2738"/>
      <c r="P546" s="2738"/>
      <c r="Q546" s="2738"/>
      <c r="R546" s="2738"/>
      <c r="S546" s="2738"/>
      <c r="T546" s="2738"/>
      <c r="U546" s="2738"/>
      <c r="V546" s="2738"/>
      <c r="W546" s="2738"/>
      <c r="X546" s="2738"/>
      <c r="Y546" s="2738"/>
      <c r="Z546" s="2738"/>
      <c r="AA546" s="2738"/>
      <c r="AB546" s="2738"/>
      <c r="AC546" s="2738"/>
      <c r="AD546" s="2738"/>
      <c r="AE546" s="2738"/>
      <c r="AF546" s="2738"/>
      <c r="AG546" s="2738"/>
      <c r="AH546" s="2738"/>
      <c r="AI546" s="2738"/>
      <c r="AJ546" s="2739"/>
      <c r="AK546" s="984"/>
      <c r="AL546" s="984"/>
      <c r="AM546" s="984"/>
      <c r="AN546" s="979"/>
      <c r="AP546" s="2660">
        <f>Application!AJ1018</f>
        <v>58255074.200000003</v>
      </c>
      <c r="AQ546" s="2660"/>
      <c r="AR546" s="2660"/>
    </row>
    <row r="547" spans="1:44" s="922" customFormat="1" ht="12.75" customHeight="1">
      <c r="A547" s="1005"/>
      <c r="B547" s="923"/>
      <c r="C547" s="923"/>
      <c r="D547" s="923"/>
      <c r="E547" s="923"/>
      <c r="F547" s="923"/>
      <c r="G547" s="923"/>
      <c r="H547" s="923"/>
      <c r="I547" s="923"/>
      <c r="J547" s="923"/>
      <c r="K547" s="923"/>
      <c r="L547" s="923"/>
      <c r="M547" s="923"/>
      <c r="N547" s="923"/>
      <c r="O547" s="923"/>
      <c r="P547" s="923"/>
      <c r="Q547" s="923"/>
      <c r="R547" s="923"/>
      <c r="S547" s="923"/>
      <c r="T547" s="923"/>
      <c r="U547" s="923"/>
      <c r="V547" s="923"/>
      <c r="W547" s="923"/>
      <c r="X547" s="923"/>
      <c r="Y547" s="923"/>
      <c r="Z547" s="923"/>
      <c r="AA547" s="923"/>
      <c r="AB547" s="923"/>
      <c r="AC547" s="1014"/>
      <c r="AD547" s="923"/>
      <c r="AE547" s="1005"/>
      <c r="AF547" s="1005"/>
      <c r="AG547" s="1005"/>
      <c r="AH547" s="1005"/>
      <c r="AI547" s="1016"/>
      <c r="AJ547" s="1016"/>
      <c r="AK547" s="984"/>
      <c r="AL547" s="984"/>
      <c r="AM547" s="984"/>
      <c r="AN547" s="979"/>
    </row>
    <row r="548" spans="1:44" s="922" customFormat="1" ht="12.75" customHeight="1">
      <c r="A548" s="1031"/>
      <c r="B548" s="1031"/>
      <c r="C548" s="1031"/>
      <c r="D548" s="1031"/>
      <c r="E548" s="1031"/>
      <c r="F548" s="1031"/>
      <c r="G548" s="1031"/>
      <c r="H548" s="1031"/>
      <c r="I548" s="1031"/>
      <c r="J548" s="1031"/>
      <c r="K548" s="1031"/>
      <c r="L548" s="1031"/>
      <c r="M548" s="1031"/>
      <c r="N548" s="1031"/>
      <c r="O548" s="1031"/>
      <c r="P548" s="1031"/>
      <c r="Q548" s="1031"/>
      <c r="R548" s="1031"/>
      <c r="S548" s="1031"/>
      <c r="T548" s="1031"/>
      <c r="U548" s="1031"/>
      <c r="V548" s="1031"/>
      <c r="W548" s="1031"/>
      <c r="X548" s="1031"/>
      <c r="Y548" s="1031"/>
      <c r="Z548" s="1031"/>
      <c r="AA548" s="1031"/>
      <c r="AB548" s="1031"/>
      <c r="AC548" s="1031"/>
      <c r="AD548" s="1031"/>
      <c r="AE548" s="1031"/>
      <c r="AF548" s="1031"/>
      <c r="AG548" s="1031"/>
      <c r="AH548" s="1032"/>
      <c r="AI548" s="938"/>
      <c r="AJ548" s="938" t="s">
        <v>1743</v>
      </c>
      <c r="AK548" s="2740">
        <f>IFERROR(IF(AND(C530="N/A",C533="N/A"),0,IF(AF542=0,0,IF((AF542*100)&gt;12,12,(AF542*100)))),0)</f>
        <v>12</v>
      </c>
      <c r="AL548" s="2740"/>
      <c r="AM548" s="2741"/>
      <c r="AN548" s="979"/>
      <c r="AP548" s="2649">
        <f>AP545+(AP539*AP543)</f>
        <v>54134007</v>
      </c>
      <c r="AQ548" s="2650"/>
      <c r="AR548" s="2651"/>
    </row>
    <row r="549" spans="1:44" s="922" customFormat="1" ht="12.75" customHeight="1" thickBot="1">
      <c r="A549" s="1223"/>
      <c r="B549" s="1223"/>
      <c r="C549" s="1223"/>
      <c r="D549" s="1223"/>
      <c r="E549" s="1223"/>
      <c r="F549" s="1223"/>
      <c r="G549" s="1223"/>
      <c r="H549" s="1223"/>
      <c r="I549" s="1223"/>
      <c r="J549" s="1223"/>
      <c r="K549" s="1223"/>
      <c r="L549" s="1223"/>
      <c r="M549" s="1223"/>
      <c r="N549" s="1223"/>
      <c r="O549" s="1223"/>
      <c r="P549" s="1223"/>
      <c r="Q549" s="1223"/>
      <c r="R549" s="1223"/>
      <c r="S549" s="1223"/>
      <c r="T549" s="1223"/>
      <c r="U549" s="1223"/>
      <c r="V549" s="1223"/>
      <c r="W549" s="1223"/>
      <c r="X549" s="1223"/>
      <c r="Y549" s="1223"/>
      <c r="Z549" s="1223"/>
      <c r="AA549" s="1223"/>
      <c r="AB549" s="1223"/>
      <c r="AC549" s="1223"/>
      <c r="AD549" s="1223"/>
      <c r="AE549" s="1223"/>
      <c r="AF549" s="1223"/>
      <c r="AG549" s="1223"/>
      <c r="AH549" s="1223"/>
      <c r="AI549" s="1223"/>
      <c r="AJ549" s="1223"/>
      <c r="AK549" s="1223"/>
      <c r="AL549" s="1223"/>
      <c r="AM549" s="1224"/>
      <c r="AN549" s="979"/>
    </row>
    <row r="550" spans="1:44" s="922" customFormat="1" ht="12.75" customHeight="1" thickTop="1">
      <c r="A550" s="1088"/>
      <c r="B550" s="1089"/>
      <c r="C550" s="1088"/>
      <c r="D550" s="1090"/>
      <c r="E550" s="1090"/>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c r="Z550" s="1091"/>
      <c r="AA550" s="1091"/>
      <c r="AB550" s="1091"/>
      <c r="AC550" s="1092"/>
      <c r="AD550" s="1092"/>
      <c r="AE550" s="1092"/>
      <c r="AF550" s="1089"/>
      <c r="AG550" s="1089"/>
      <c r="AH550" s="1089"/>
      <c r="AI550" s="1089"/>
      <c r="AJ550" s="1089"/>
      <c r="AK550" s="1089"/>
      <c r="AL550" s="1089"/>
      <c r="AM550" s="1093"/>
      <c r="AN550" s="979"/>
    </row>
    <row r="551" spans="1:44" s="922" customFormat="1" ht="12.75" customHeight="1">
      <c r="A551" s="967" t="s">
        <v>2409</v>
      </c>
      <c r="C551" s="967"/>
      <c r="D551" s="1006"/>
      <c r="E551" s="1006"/>
      <c r="F551" s="1006"/>
      <c r="G551" s="1006"/>
      <c r="H551" s="1006"/>
      <c r="I551" s="1006"/>
      <c r="J551" s="1006"/>
      <c r="K551" s="1006"/>
      <c r="L551" s="1006"/>
      <c r="M551" s="1006"/>
      <c r="N551" s="1006"/>
      <c r="O551" s="1006"/>
      <c r="P551" s="1006"/>
      <c r="Q551" s="1006"/>
      <c r="R551" s="1006"/>
      <c r="S551" s="1006"/>
      <c r="T551" s="1006"/>
      <c r="U551" s="1006"/>
      <c r="V551" s="1006"/>
      <c r="W551" s="1006"/>
      <c r="X551" s="1006"/>
      <c r="Y551" s="1006"/>
      <c r="Z551" s="1006"/>
      <c r="AA551" s="1006"/>
      <c r="AB551" s="1006"/>
      <c r="AC551" s="1006"/>
      <c r="AD551" s="1006"/>
      <c r="AE551" s="2680" t="s">
        <v>1485</v>
      </c>
      <c r="AF551" s="2680"/>
      <c r="AG551" s="2680"/>
      <c r="AH551" s="2680"/>
      <c r="AI551" s="2680"/>
      <c r="AJ551" s="2680"/>
      <c r="AK551" s="2680"/>
      <c r="AL551" s="1013"/>
      <c r="AM551" s="1006"/>
      <c r="AN551" s="979"/>
    </row>
    <row r="552" spans="1:44" s="922" customFormat="1" ht="12.75" customHeight="1">
      <c r="C552" s="1006"/>
      <c r="D552" s="1006"/>
      <c r="E552" s="1006"/>
      <c r="F552" s="1006"/>
      <c r="G552" s="1006"/>
      <c r="H552" s="1006"/>
      <c r="I552" s="1006"/>
      <c r="J552" s="1006"/>
      <c r="K552" s="1006"/>
      <c r="L552" s="1006"/>
      <c r="M552" s="1006"/>
      <c r="N552" s="1006"/>
      <c r="O552" s="1006"/>
      <c r="P552" s="1006"/>
      <c r="Q552" s="1006"/>
      <c r="R552" s="1006"/>
      <c r="S552" s="1006"/>
      <c r="T552" s="1006"/>
      <c r="U552" s="1006"/>
      <c r="V552" s="1006"/>
      <c r="W552" s="1006"/>
      <c r="X552" s="1006"/>
      <c r="Y552" s="1006"/>
      <c r="Z552" s="1006"/>
      <c r="AA552" s="1006"/>
      <c r="AB552" s="1006"/>
      <c r="AC552" s="1006"/>
      <c r="AD552" s="1006"/>
      <c r="AE552" s="1006"/>
      <c r="AF552" s="1006"/>
      <c r="AG552" s="1006"/>
      <c r="AH552" s="1006"/>
      <c r="AI552" s="1006"/>
      <c r="AJ552" s="1006"/>
      <c r="AK552" s="1006"/>
      <c r="AL552" s="1006"/>
      <c r="AM552" s="1006"/>
      <c r="AN552" s="979"/>
    </row>
    <row r="553" spans="1:44" s="922" customFormat="1" ht="12.75" customHeight="1">
      <c r="A553" s="1006"/>
      <c r="B553" s="2693" t="s">
        <v>2410</v>
      </c>
      <c r="C553" s="2693"/>
      <c r="D553" s="2693"/>
      <c r="E553" s="2693"/>
      <c r="F553" s="2693"/>
      <c r="G553" s="2693"/>
      <c r="H553" s="2693"/>
      <c r="I553" s="2693"/>
      <c r="J553" s="2693"/>
      <c r="K553" s="2693"/>
      <c r="L553" s="2693"/>
      <c r="M553" s="2693"/>
      <c r="N553" s="2693"/>
      <c r="O553" s="2693"/>
      <c r="P553" s="2693"/>
      <c r="Q553" s="2693"/>
      <c r="R553" s="2693"/>
      <c r="S553" s="2693"/>
      <c r="T553" s="2693"/>
      <c r="U553" s="2693"/>
      <c r="V553" s="2693"/>
      <c r="W553" s="2693"/>
      <c r="X553" s="2693"/>
      <c r="Y553" s="2693"/>
      <c r="Z553" s="2693"/>
      <c r="AA553" s="2693"/>
      <c r="AB553" s="2693"/>
      <c r="AC553" s="2693"/>
      <c r="AD553" s="2693"/>
      <c r="AE553" s="2693"/>
      <c r="AF553" s="2693"/>
      <c r="AG553" s="2693"/>
      <c r="AH553" s="2693"/>
      <c r="AI553" s="2693"/>
      <c r="AJ553" s="2693"/>
      <c r="AK553" s="1057"/>
      <c r="AL553" s="946"/>
      <c r="AM553" s="1006"/>
      <c r="AN553" s="979"/>
    </row>
    <row r="554" spans="1:44" s="922" customFormat="1" ht="12.75" customHeight="1">
      <c r="A554" s="1006"/>
      <c r="B554" s="2693"/>
      <c r="C554" s="2693"/>
      <c r="D554" s="2693"/>
      <c r="E554" s="2693"/>
      <c r="F554" s="2693"/>
      <c r="G554" s="2693"/>
      <c r="H554" s="2693"/>
      <c r="I554" s="2693"/>
      <c r="J554" s="2693"/>
      <c r="K554" s="2693"/>
      <c r="L554" s="2693"/>
      <c r="M554" s="2693"/>
      <c r="N554" s="2693"/>
      <c r="O554" s="2693"/>
      <c r="P554" s="2693"/>
      <c r="Q554" s="2693"/>
      <c r="R554" s="2693"/>
      <c r="S554" s="2693"/>
      <c r="T554" s="2693"/>
      <c r="U554" s="2693"/>
      <c r="V554" s="2693"/>
      <c r="W554" s="2693"/>
      <c r="X554" s="2693"/>
      <c r="Y554" s="2693"/>
      <c r="Z554" s="2693"/>
      <c r="AA554" s="2693"/>
      <c r="AB554" s="2693"/>
      <c r="AC554" s="2693"/>
      <c r="AD554" s="2693"/>
      <c r="AE554" s="2693"/>
      <c r="AF554" s="2693"/>
      <c r="AG554" s="2693"/>
      <c r="AH554" s="2693"/>
      <c r="AI554" s="2693"/>
      <c r="AJ554" s="2693"/>
      <c r="AK554" s="1057"/>
      <c r="AL554" s="946"/>
      <c r="AM554" s="1006"/>
      <c r="AN554" s="979"/>
    </row>
    <row r="555" spans="1:44" s="922" customFormat="1" ht="12.75" customHeight="1">
      <c r="A555" s="1006"/>
      <c r="B555" s="2693"/>
      <c r="C555" s="2693"/>
      <c r="D555" s="2693"/>
      <c r="E555" s="2693"/>
      <c r="F555" s="2693"/>
      <c r="G555" s="2693"/>
      <c r="H555" s="2693"/>
      <c r="I555" s="2693"/>
      <c r="J555" s="2693"/>
      <c r="K555" s="2693"/>
      <c r="L555" s="2693"/>
      <c r="M555" s="2693"/>
      <c r="N555" s="2693"/>
      <c r="O555" s="2693"/>
      <c r="P555" s="2693"/>
      <c r="Q555" s="2693"/>
      <c r="R555" s="2693"/>
      <c r="S555" s="2693"/>
      <c r="T555" s="2693"/>
      <c r="U555" s="2693"/>
      <c r="V555" s="2693"/>
      <c r="W555" s="2693"/>
      <c r="X555" s="2693"/>
      <c r="Y555" s="2693"/>
      <c r="Z555" s="2693"/>
      <c r="AA555" s="2693"/>
      <c r="AB555" s="2693"/>
      <c r="AC555" s="2693"/>
      <c r="AD555" s="2693"/>
      <c r="AE555" s="2693"/>
      <c r="AF555" s="2693"/>
      <c r="AG555" s="2693"/>
      <c r="AH555" s="2693"/>
      <c r="AI555" s="2693"/>
      <c r="AJ555" s="2693"/>
      <c r="AK555" s="1057"/>
      <c r="AL555" s="946"/>
      <c r="AM555" s="1006"/>
      <c r="AN555" s="979"/>
    </row>
    <row r="556" spans="1:44" s="922" customFormat="1" ht="12.75" customHeight="1">
      <c r="A556" s="1006"/>
      <c r="B556" s="2693"/>
      <c r="C556" s="2693"/>
      <c r="D556" s="2693"/>
      <c r="E556" s="2693"/>
      <c r="F556" s="2693"/>
      <c r="G556" s="2693"/>
      <c r="H556" s="2693"/>
      <c r="I556" s="2693"/>
      <c r="J556" s="2693"/>
      <c r="K556" s="2693"/>
      <c r="L556" s="2693"/>
      <c r="M556" s="2693"/>
      <c r="N556" s="2693"/>
      <c r="O556" s="2693"/>
      <c r="P556" s="2693"/>
      <c r="Q556" s="2693"/>
      <c r="R556" s="2693"/>
      <c r="S556" s="2693"/>
      <c r="T556" s="2693"/>
      <c r="U556" s="2693"/>
      <c r="V556" s="2693"/>
      <c r="W556" s="2693"/>
      <c r="X556" s="2693"/>
      <c r="Y556" s="2693"/>
      <c r="Z556" s="2693"/>
      <c r="AA556" s="2693"/>
      <c r="AB556" s="2693"/>
      <c r="AC556" s="2693"/>
      <c r="AD556" s="2693"/>
      <c r="AE556" s="2693"/>
      <c r="AF556" s="2693"/>
      <c r="AG556" s="2693"/>
      <c r="AH556" s="2693"/>
      <c r="AI556" s="2693"/>
      <c r="AJ556" s="2693"/>
      <c r="AK556" s="1057"/>
      <c r="AL556" s="946"/>
      <c r="AM556" s="1006"/>
      <c r="AN556" s="979"/>
    </row>
    <row r="557" spans="1:44" s="922" customFormat="1" ht="12.75" customHeight="1">
      <c r="A557" s="1006"/>
      <c r="B557" s="2693"/>
      <c r="C557" s="2693"/>
      <c r="D557" s="2693"/>
      <c r="E557" s="2693"/>
      <c r="F557" s="2693"/>
      <c r="G557" s="2693"/>
      <c r="H557" s="2693"/>
      <c r="I557" s="2693"/>
      <c r="J557" s="2693"/>
      <c r="K557" s="2693"/>
      <c r="L557" s="2693"/>
      <c r="M557" s="2693"/>
      <c r="N557" s="2693"/>
      <c r="O557" s="2693"/>
      <c r="P557" s="2693"/>
      <c r="Q557" s="2693"/>
      <c r="R557" s="2693"/>
      <c r="S557" s="2693"/>
      <c r="T557" s="2693"/>
      <c r="U557" s="2693"/>
      <c r="V557" s="2693"/>
      <c r="W557" s="2693"/>
      <c r="X557" s="2693"/>
      <c r="Y557" s="2693"/>
      <c r="Z557" s="2693"/>
      <c r="AA557" s="2693"/>
      <c r="AB557" s="2693"/>
      <c r="AC557" s="2693"/>
      <c r="AD557" s="2693"/>
      <c r="AE557" s="2693"/>
      <c r="AF557" s="2693"/>
      <c r="AG557" s="2693"/>
      <c r="AH557" s="2693"/>
      <c r="AI557" s="2693"/>
      <c r="AJ557" s="2693"/>
      <c r="AK557" s="1057"/>
      <c r="AL557" s="946"/>
      <c r="AM557" s="1006"/>
      <c r="AN557" s="979"/>
    </row>
    <row r="558" spans="1:44" s="922" customFormat="1" ht="12.75" customHeight="1">
      <c r="A558" s="1006"/>
      <c r="B558" s="2693"/>
      <c r="C558" s="2693"/>
      <c r="D558" s="2693"/>
      <c r="E558" s="2693"/>
      <c r="F558" s="2693"/>
      <c r="G558" s="2693"/>
      <c r="H558" s="2693"/>
      <c r="I558" s="2693"/>
      <c r="J558" s="2693"/>
      <c r="K558" s="2693"/>
      <c r="L558" s="2693"/>
      <c r="M558" s="2693"/>
      <c r="N558" s="2693"/>
      <c r="O558" s="2693"/>
      <c r="P558" s="2693"/>
      <c r="Q558" s="2693"/>
      <c r="R558" s="2693"/>
      <c r="S558" s="2693"/>
      <c r="T558" s="2693"/>
      <c r="U558" s="2693"/>
      <c r="V558" s="2693"/>
      <c r="W558" s="2693"/>
      <c r="X558" s="2693"/>
      <c r="Y558" s="2693"/>
      <c r="Z558" s="2693"/>
      <c r="AA558" s="2693"/>
      <c r="AB558" s="2693"/>
      <c r="AC558" s="2693"/>
      <c r="AD558" s="2693"/>
      <c r="AE558" s="2693"/>
      <c r="AF558" s="2693"/>
      <c r="AG558" s="2693"/>
      <c r="AH558" s="2693"/>
      <c r="AI558" s="2693"/>
      <c r="AJ558" s="2693"/>
      <c r="AK558" s="1057"/>
      <c r="AL558" s="946"/>
      <c r="AM558" s="1006"/>
      <c r="AN558" s="979"/>
    </row>
    <row r="559" spans="1:44" s="922" customFormat="1" ht="12.75" customHeight="1">
      <c r="A559" s="1006"/>
      <c r="B559" s="2693"/>
      <c r="C559" s="2693"/>
      <c r="D559" s="2693"/>
      <c r="E559" s="2693"/>
      <c r="F559" s="2693"/>
      <c r="G559" s="2693"/>
      <c r="H559" s="2693"/>
      <c r="I559" s="2693"/>
      <c r="J559" s="2693"/>
      <c r="K559" s="2693"/>
      <c r="L559" s="2693"/>
      <c r="M559" s="2693"/>
      <c r="N559" s="2693"/>
      <c r="O559" s="2693"/>
      <c r="P559" s="2693"/>
      <c r="Q559" s="2693"/>
      <c r="R559" s="2693"/>
      <c r="S559" s="2693"/>
      <c r="T559" s="2693"/>
      <c r="U559" s="2693"/>
      <c r="V559" s="2693"/>
      <c r="W559" s="2693"/>
      <c r="X559" s="2693"/>
      <c r="Y559" s="2693"/>
      <c r="Z559" s="2693"/>
      <c r="AA559" s="2693"/>
      <c r="AB559" s="2693"/>
      <c r="AC559" s="2693"/>
      <c r="AD559" s="2693"/>
      <c r="AE559" s="2693"/>
      <c r="AF559" s="2693"/>
      <c r="AG559" s="2693"/>
      <c r="AH559" s="2693"/>
      <c r="AI559" s="2693"/>
      <c r="AJ559" s="2693"/>
      <c r="AK559" s="1057"/>
      <c r="AL559" s="946"/>
      <c r="AM559" s="1006"/>
      <c r="AN559" s="979"/>
    </row>
    <row r="560" spans="1:44" ht="12.75" customHeight="1">
      <c r="A560" s="1006"/>
      <c r="B560" s="2693"/>
      <c r="C560" s="2693"/>
      <c r="D560" s="2693"/>
      <c r="E560" s="2693"/>
      <c r="F560" s="2693"/>
      <c r="G560" s="2693"/>
      <c r="H560" s="2693"/>
      <c r="I560" s="2693"/>
      <c r="J560" s="2693"/>
      <c r="K560" s="2693"/>
      <c r="L560" s="2693"/>
      <c r="M560" s="2693"/>
      <c r="N560" s="2693"/>
      <c r="O560" s="2693"/>
      <c r="P560" s="2693"/>
      <c r="Q560" s="2693"/>
      <c r="R560" s="2693"/>
      <c r="S560" s="2693"/>
      <c r="T560" s="2693"/>
      <c r="U560" s="2693"/>
      <c r="V560" s="2693"/>
      <c r="W560" s="2693"/>
      <c r="X560" s="2693"/>
      <c r="Y560" s="2693"/>
      <c r="Z560" s="2693"/>
      <c r="AA560" s="2693"/>
      <c r="AB560" s="2693"/>
      <c r="AC560" s="2693"/>
      <c r="AD560" s="2693"/>
      <c r="AE560" s="2693"/>
      <c r="AF560" s="2693"/>
      <c r="AG560" s="2693"/>
      <c r="AH560" s="2693"/>
      <c r="AI560" s="2693"/>
      <c r="AJ560" s="2693"/>
      <c r="AK560" s="1057"/>
      <c r="AL560" s="946"/>
      <c r="AM560" s="1006"/>
    </row>
    <row r="561" spans="1:42" s="922" customFormat="1" ht="12.75" customHeight="1">
      <c r="A561" s="1039"/>
      <c r="B561" s="2693"/>
      <c r="C561" s="2693"/>
      <c r="D561" s="2693"/>
      <c r="E561" s="2693"/>
      <c r="F561" s="2693"/>
      <c r="G561" s="2693"/>
      <c r="H561" s="2693"/>
      <c r="I561" s="2693"/>
      <c r="J561" s="2693"/>
      <c r="K561" s="2693"/>
      <c r="L561" s="2693"/>
      <c r="M561" s="2693"/>
      <c r="N561" s="2693"/>
      <c r="O561" s="2693"/>
      <c r="P561" s="2693"/>
      <c r="Q561" s="2693"/>
      <c r="R561" s="2693"/>
      <c r="S561" s="2693"/>
      <c r="T561" s="2693"/>
      <c r="U561" s="2693"/>
      <c r="V561" s="2693"/>
      <c r="W561" s="2693"/>
      <c r="X561" s="2693"/>
      <c r="Y561" s="2693"/>
      <c r="Z561" s="2693"/>
      <c r="AA561" s="2693"/>
      <c r="AB561" s="2693"/>
      <c r="AC561" s="2693"/>
      <c r="AD561" s="2693"/>
      <c r="AE561" s="2693"/>
      <c r="AF561" s="2693"/>
      <c r="AG561" s="2693"/>
      <c r="AH561" s="2693"/>
      <c r="AI561" s="2693"/>
      <c r="AJ561" s="2693"/>
      <c r="AK561" s="1057"/>
      <c r="AL561" s="946"/>
      <c r="AM561" s="1005"/>
      <c r="AN561" s="979"/>
    </row>
    <row r="562" spans="1:42" s="922" customFormat="1" ht="12.75" customHeight="1">
      <c r="A562" s="1039"/>
      <c r="B562" s="1057"/>
      <c r="C562" s="1057"/>
      <c r="D562" s="1057"/>
      <c r="E562" s="1057"/>
      <c r="F562" s="1057"/>
      <c r="G562" s="1057"/>
      <c r="H562" s="1057"/>
      <c r="I562" s="1057"/>
      <c r="J562" s="1057"/>
      <c r="K562" s="1057"/>
      <c r="L562" s="1057"/>
      <c r="M562" s="1057"/>
      <c r="N562" s="1057"/>
      <c r="O562" s="1057"/>
      <c r="P562" s="1057"/>
      <c r="Q562" s="1057"/>
      <c r="R562" s="1057"/>
      <c r="S562" s="1057"/>
      <c r="T562" s="1057"/>
      <c r="U562" s="1057"/>
      <c r="V562" s="1057"/>
      <c r="W562" s="1057"/>
      <c r="X562" s="1057"/>
      <c r="Y562" s="1057"/>
      <c r="Z562" s="1057"/>
      <c r="AA562" s="1057"/>
      <c r="AB562" s="1057"/>
      <c r="AC562" s="1057"/>
      <c r="AD562" s="1057"/>
      <c r="AE562" s="1057"/>
      <c r="AF562" s="1057"/>
      <c r="AG562" s="1057"/>
      <c r="AH562" s="1057"/>
      <c r="AI562" s="1057"/>
      <c r="AJ562" s="1057"/>
      <c r="AK562" s="1057"/>
      <c r="AL562" s="946"/>
      <c r="AM562" s="1005"/>
      <c r="AN562" s="979"/>
    </row>
    <row r="563" spans="1:42" s="922" customFormat="1" ht="12.75" customHeight="1">
      <c r="A563" s="1039"/>
      <c r="B563" s="1085" t="s">
        <v>1565</v>
      </c>
      <c r="C563" s="1095"/>
      <c r="D563" s="946"/>
      <c r="E563" s="946"/>
      <c r="F563" s="946"/>
      <c r="G563" s="946"/>
      <c r="H563" s="946"/>
      <c r="I563" s="946"/>
      <c r="J563" s="946"/>
      <c r="K563" s="946"/>
      <c r="L563" s="946"/>
      <c r="M563" s="946"/>
      <c r="N563" s="946"/>
      <c r="O563" s="946"/>
      <c r="P563" s="946"/>
      <c r="Q563" s="946"/>
      <c r="R563" s="946"/>
      <c r="S563" s="946"/>
      <c r="T563" s="946"/>
      <c r="U563" s="946"/>
      <c r="V563" s="946"/>
      <c r="W563" s="946"/>
      <c r="X563" s="946"/>
      <c r="Y563" s="946"/>
      <c r="Z563" s="946"/>
      <c r="AA563" s="946"/>
      <c r="AB563" s="946"/>
      <c r="AC563" s="946"/>
      <c r="AD563" s="946"/>
      <c r="AE563" s="946"/>
      <c r="AF563" s="946"/>
      <c r="AG563" s="946"/>
      <c r="AH563" s="946"/>
      <c r="AI563" s="946"/>
      <c r="AK563" s="1005"/>
      <c r="AL563" s="1005"/>
      <c r="AM563" s="1005"/>
      <c r="AN563" s="979"/>
      <c r="AP563" s="922" t="s">
        <v>600</v>
      </c>
    </row>
    <row r="564" spans="1:42" s="922" customFormat="1" ht="12.75" customHeight="1">
      <c r="A564" s="1039"/>
      <c r="B564" s="909"/>
      <c r="C564" s="1095"/>
      <c r="D564" s="946"/>
      <c r="E564" s="946"/>
      <c r="F564" s="946"/>
      <c r="G564" s="946"/>
      <c r="H564" s="946"/>
      <c r="I564" s="946"/>
      <c r="J564" s="946"/>
      <c r="K564" s="946"/>
      <c r="L564" s="946"/>
      <c r="M564" s="946"/>
      <c r="N564" s="946"/>
      <c r="O564" s="946"/>
      <c r="P564" s="946"/>
      <c r="Q564" s="946"/>
      <c r="R564" s="946"/>
      <c r="S564" s="946"/>
      <c r="T564" s="946"/>
      <c r="U564" s="946"/>
      <c r="V564" s="946"/>
      <c r="W564" s="946"/>
      <c r="X564" s="946"/>
      <c r="Y564" s="946"/>
      <c r="Z564" s="946"/>
      <c r="AA564" s="946"/>
      <c r="AB564" s="946"/>
      <c r="AC564" s="946"/>
      <c r="AD564" s="946"/>
      <c r="AE564" s="946"/>
      <c r="AF564" s="946"/>
      <c r="AG564" s="946"/>
      <c r="AH564" s="946"/>
      <c r="AI564" s="946"/>
      <c r="AK564" s="1005"/>
      <c r="AL564" s="1005"/>
      <c r="AM564" s="1005"/>
      <c r="AN564" s="979"/>
      <c r="AP564" s="922" t="s">
        <v>554</v>
      </c>
    </row>
    <row r="565" spans="1:42" s="922" customFormat="1" ht="12.75" customHeight="1">
      <c r="A565" s="1039"/>
      <c r="B565" s="1039"/>
      <c r="C565" s="965" t="s">
        <v>1566</v>
      </c>
      <c r="D565" s="1096"/>
      <c r="E565" s="946"/>
      <c r="F565" s="946"/>
      <c r="G565" s="946"/>
      <c r="H565" s="946"/>
      <c r="I565" s="946"/>
      <c r="J565" s="946"/>
      <c r="K565" s="946"/>
      <c r="L565" s="946"/>
      <c r="M565" s="946"/>
      <c r="N565" s="946"/>
      <c r="O565" s="946"/>
      <c r="P565" s="946"/>
      <c r="Q565" s="946"/>
      <c r="R565" s="946"/>
      <c r="S565" s="946"/>
      <c r="T565" s="946"/>
      <c r="U565" s="946"/>
      <c r="V565" s="946"/>
      <c r="W565" s="946"/>
      <c r="X565" s="946"/>
      <c r="Y565" s="946"/>
      <c r="Z565" s="946"/>
      <c r="AA565" s="946"/>
      <c r="AB565" s="946"/>
      <c r="AC565" s="946"/>
      <c r="AD565" s="946"/>
      <c r="AE565" s="946"/>
      <c r="AF565" s="946"/>
      <c r="AG565" s="946"/>
      <c r="AH565" s="946"/>
      <c r="AI565" s="946"/>
      <c r="AK565" s="1005"/>
      <c r="AL565" s="1005"/>
      <c r="AM565" s="1005"/>
      <c r="AN565" s="979"/>
    </row>
    <row r="566" spans="1:42" s="922" customFormat="1" ht="12.75" customHeight="1">
      <c r="A566" s="1039"/>
      <c r="B566" s="1002"/>
      <c r="C566" s="985"/>
      <c r="D566" s="1438"/>
      <c r="E566" s="1437"/>
      <c r="F566" s="1437"/>
      <c r="G566" s="1437"/>
      <c r="H566" s="1437"/>
      <c r="I566" s="1437"/>
      <c r="J566" s="1437"/>
      <c r="K566" s="1437"/>
      <c r="L566" s="1437"/>
      <c r="M566" s="1437"/>
      <c r="N566" s="1437"/>
      <c r="O566" s="1437"/>
      <c r="P566" s="1437"/>
      <c r="Q566" s="1437"/>
      <c r="R566" s="1437"/>
      <c r="S566" s="1437"/>
      <c r="T566" s="1437"/>
      <c r="U566" s="1437"/>
      <c r="V566" s="1437"/>
      <c r="W566" s="1437"/>
      <c r="X566" s="1437"/>
      <c r="Y566" s="1437"/>
      <c r="Z566" s="1437"/>
      <c r="AA566" s="1437"/>
      <c r="AB566" s="1437"/>
      <c r="AC566" s="1437"/>
      <c r="AD566" s="1437"/>
      <c r="AE566" s="1437"/>
      <c r="AF566" s="906"/>
      <c r="AG566" s="906"/>
      <c r="AH566" s="906"/>
      <c r="AI566" s="906"/>
      <c r="AJ566" s="906"/>
      <c r="AK566" s="906"/>
      <c r="AL566" s="906"/>
      <c r="AM566" s="1005"/>
      <c r="AN566" s="979"/>
    </row>
    <row r="567" spans="1:42" s="922" customFormat="1" ht="12.75" customHeight="1">
      <c r="A567" s="1039"/>
      <c r="B567" s="906"/>
      <c r="C567" s="906"/>
      <c r="D567" s="1085" t="s">
        <v>697</v>
      </c>
      <c r="E567" s="1473" t="s">
        <v>1952</v>
      </c>
      <c r="F567" s="1057"/>
      <c r="G567" s="1057"/>
      <c r="H567" s="1057"/>
      <c r="I567" s="1057"/>
      <c r="J567" s="1057"/>
      <c r="K567" s="1057"/>
      <c r="L567" s="1057"/>
      <c r="M567" s="1057"/>
      <c r="N567" s="1057"/>
      <c r="O567" s="1057"/>
      <c r="P567" s="1057"/>
      <c r="Q567" s="1057"/>
      <c r="R567" s="1057"/>
      <c r="S567" s="1057"/>
      <c r="T567" s="1057"/>
      <c r="U567" s="1057"/>
      <c r="V567" s="1057"/>
      <c r="W567" s="1057"/>
      <c r="X567" s="1057"/>
      <c r="Y567" s="1057"/>
      <c r="Z567" s="1057"/>
      <c r="AA567" s="1057"/>
      <c r="AB567" s="1057"/>
      <c r="AC567" s="906"/>
      <c r="AD567" s="906"/>
      <c r="AE567" s="906"/>
      <c r="AF567" s="2751" t="s">
        <v>1509</v>
      </c>
      <c r="AG567" s="2751"/>
      <c r="AH567" s="2751"/>
      <c r="AI567" s="2751"/>
      <c r="AJ567" s="2751"/>
      <c r="AK567" s="2751"/>
      <c r="AL567" s="2751"/>
      <c r="AM567" s="1005"/>
      <c r="AN567" s="979"/>
    </row>
    <row r="568" spans="1:42" s="922" customFormat="1" ht="12.75" customHeight="1">
      <c r="A568" s="1005"/>
      <c r="B568" s="985"/>
      <c r="C568" s="1014"/>
      <c r="D568" s="1085"/>
      <c r="E568" s="1473" t="s">
        <v>1953</v>
      </c>
      <c r="F568" s="1057"/>
      <c r="G568" s="1057"/>
      <c r="H568" s="1057"/>
      <c r="I568" s="1057"/>
      <c r="J568" s="1057"/>
      <c r="K568" s="1057"/>
      <c r="L568" s="1057"/>
      <c r="M568" s="1057"/>
      <c r="N568" s="1057"/>
      <c r="O568" s="1057"/>
      <c r="P568" s="1057"/>
      <c r="Q568" s="1057"/>
      <c r="R568" s="1057"/>
      <c r="S568" s="1057"/>
      <c r="T568" s="1057"/>
      <c r="U568" s="1057"/>
      <c r="V568" s="1057"/>
      <c r="W568" s="1057"/>
      <c r="X568" s="1057"/>
      <c r="Y568" s="1057"/>
      <c r="Z568" s="1057"/>
      <c r="AA568" s="1057"/>
      <c r="AB568" s="1057"/>
      <c r="AC568" s="906"/>
      <c r="AD568" s="906"/>
      <c r="AE568" s="1014"/>
      <c r="AF568" s="1014"/>
      <c r="AG568" s="1014"/>
      <c r="AH568" s="1014"/>
      <c r="AI568" s="1014"/>
      <c r="AJ568" s="1014"/>
      <c r="AK568" s="1014"/>
      <c r="AL568" s="1014"/>
      <c r="AM568" s="1005"/>
      <c r="AN568" s="979"/>
    </row>
    <row r="569" spans="1:42" s="922" customFormat="1" ht="12.75" customHeight="1">
      <c r="A569" s="1005"/>
      <c r="B569" s="985"/>
      <c r="C569" s="1014"/>
      <c r="D569" s="1085"/>
      <c r="E569" s="1473" t="s">
        <v>1954</v>
      </c>
      <c r="F569" s="1057"/>
      <c r="G569" s="1057"/>
      <c r="H569" s="1057"/>
      <c r="I569" s="1057"/>
      <c r="J569" s="1057"/>
      <c r="K569" s="1057"/>
      <c r="L569" s="1057"/>
      <c r="M569" s="1057"/>
      <c r="N569" s="1057"/>
      <c r="O569" s="1057"/>
      <c r="P569" s="1057"/>
      <c r="Q569" s="1057"/>
      <c r="R569" s="1057"/>
      <c r="S569" s="1057"/>
      <c r="T569" s="1057"/>
      <c r="U569" s="1057"/>
      <c r="V569" s="1057"/>
      <c r="W569" s="1057"/>
      <c r="X569" s="1057"/>
      <c r="Y569" s="1057"/>
      <c r="Z569" s="1057"/>
      <c r="AA569" s="1057"/>
      <c r="AB569" s="1057"/>
      <c r="AC569" s="906"/>
      <c r="AD569" s="906"/>
      <c r="AE569" s="1014"/>
      <c r="AF569" s="1014"/>
      <c r="AG569" s="1014"/>
      <c r="AH569" s="1014"/>
      <c r="AI569" s="1014"/>
      <c r="AJ569" s="1014"/>
      <c r="AK569" s="1014"/>
      <c r="AL569" s="1014"/>
      <c r="AM569" s="1005"/>
      <c r="AN569" s="979"/>
    </row>
    <row r="570" spans="1:42" s="922" customFormat="1" ht="12.75" customHeight="1">
      <c r="A570" s="1005"/>
      <c r="B570" s="985"/>
      <c r="C570" s="1014"/>
      <c r="D570" s="1085"/>
      <c r="E570" s="1473" t="s">
        <v>1955</v>
      </c>
      <c r="F570" s="1057"/>
      <c r="G570" s="1057"/>
      <c r="H570" s="1057"/>
      <c r="I570" s="1057"/>
      <c r="J570" s="1057"/>
      <c r="K570" s="1057"/>
      <c r="L570" s="1057"/>
      <c r="M570" s="1057"/>
      <c r="N570" s="1057"/>
      <c r="O570" s="1057"/>
      <c r="P570" s="1057"/>
      <c r="Q570" s="1057"/>
      <c r="R570" s="1057"/>
      <c r="S570" s="1057"/>
      <c r="T570" s="1057"/>
      <c r="U570" s="1057"/>
      <c r="V570" s="1057"/>
      <c r="W570" s="1057"/>
      <c r="X570" s="1057"/>
      <c r="Y570" s="1057"/>
      <c r="Z570" s="1057"/>
      <c r="AA570" s="1057"/>
      <c r="AB570" s="1057"/>
      <c r="AC570" s="906"/>
      <c r="AD570" s="906"/>
      <c r="AE570" s="1014"/>
      <c r="AF570" s="1014"/>
      <c r="AG570" s="1014"/>
      <c r="AH570" s="1014"/>
      <c r="AI570" s="1014"/>
      <c r="AJ570" s="1014"/>
      <c r="AK570" s="1014"/>
      <c r="AL570" s="1014"/>
      <c r="AM570" s="1005"/>
      <c r="AN570" s="979"/>
    </row>
    <row r="571" spans="1:42" s="922" customFormat="1" ht="12.75" customHeight="1">
      <c r="A571" s="1005"/>
      <c r="B571" s="985"/>
      <c r="C571" s="1014"/>
      <c r="D571" s="1085"/>
      <c r="E571" s="1473" t="s">
        <v>1956</v>
      </c>
      <c r="F571" s="1057"/>
      <c r="G571" s="1057"/>
      <c r="H571" s="1057"/>
      <c r="I571" s="1057"/>
      <c r="J571" s="1057"/>
      <c r="K571" s="1057"/>
      <c r="L571" s="1057"/>
      <c r="M571" s="1057"/>
      <c r="N571" s="1057"/>
      <c r="O571" s="1057"/>
      <c r="P571" s="1057"/>
      <c r="Q571" s="1057"/>
      <c r="R571" s="1057"/>
      <c r="S571" s="1057"/>
      <c r="T571" s="1057"/>
      <c r="U571" s="1057"/>
      <c r="V571" s="1057"/>
      <c r="W571" s="1057"/>
      <c r="X571" s="1057"/>
      <c r="Y571" s="1057"/>
      <c r="Z571" s="1057"/>
      <c r="AA571" s="1057"/>
      <c r="AB571" s="1057"/>
      <c r="AC571" s="906"/>
      <c r="AD571" s="906"/>
      <c r="AE571" s="1014"/>
      <c r="AF571" s="1014"/>
      <c r="AG571" s="1014"/>
      <c r="AH571" s="1014"/>
      <c r="AI571" s="1014"/>
      <c r="AJ571" s="1014"/>
      <c r="AK571" s="1014"/>
      <c r="AL571" s="1014"/>
      <c r="AM571" s="1005"/>
      <c r="AN571" s="979"/>
    </row>
    <row r="572" spans="1:42" s="922" customFormat="1" ht="12.75" customHeight="1">
      <c r="A572" s="1005"/>
      <c r="B572" s="985"/>
      <c r="C572" s="1014"/>
      <c r="D572" s="1085"/>
      <c r="E572" s="1473" t="s">
        <v>1957</v>
      </c>
      <c r="F572" s="1057"/>
      <c r="G572" s="1057"/>
      <c r="H572" s="1057"/>
      <c r="I572" s="1057"/>
      <c r="J572" s="1057"/>
      <c r="K572" s="1057"/>
      <c r="L572" s="1057"/>
      <c r="M572" s="1057"/>
      <c r="N572" s="1057"/>
      <c r="O572" s="1057"/>
      <c r="P572" s="1057"/>
      <c r="Q572" s="1057"/>
      <c r="R572" s="1057"/>
      <c r="S572" s="1057"/>
      <c r="T572" s="1057"/>
      <c r="U572" s="1057"/>
      <c r="V572" s="1057"/>
      <c r="W572" s="1057"/>
      <c r="X572" s="1057"/>
      <c r="Y572" s="1057"/>
      <c r="Z572" s="1057"/>
      <c r="AA572" s="1057"/>
      <c r="AB572" s="1057"/>
      <c r="AC572" s="906"/>
      <c r="AD572" s="906"/>
      <c r="AE572" s="1014"/>
      <c r="AF572" s="1014"/>
      <c r="AG572" s="1014"/>
      <c r="AH572" s="1014"/>
      <c r="AI572" s="1014"/>
      <c r="AJ572" s="1014"/>
      <c r="AK572" s="1014"/>
      <c r="AL572" s="1014"/>
      <c r="AM572" s="1005"/>
      <c r="AN572" s="979"/>
    </row>
    <row r="573" spans="1:42" s="981" customFormat="1" ht="12.75" customHeight="1">
      <c r="A573" s="1005"/>
      <c r="B573" s="985"/>
      <c r="C573" s="1014"/>
      <c r="D573" s="1085"/>
      <c r="E573" s="1473"/>
      <c r="F573" s="1057"/>
      <c r="G573" s="1057"/>
      <c r="H573" s="1057"/>
      <c r="I573" s="1057"/>
      <c r="J573" s="1057"/>
      <c r="K573" s="1057"/>
      <c r="L573" s="1057"/>
      <c r="M573" s="1057"/>
      <c r="N573" s="1057"/>
      <c r="O573" s="1057"/>
      <c r="P573" s="1057"/>
      <c r="Q573" s="1057"/>
      <c r="R573" s="1057"/>
      <c r="S573" s="1057"/>
      <c r="T573" s="1057"/>
      <c r="U573" s="1057"/>
      <c r="V573" s="1057"/>
      <c r="W573" s="1057"/>
      <c r="X573" s="1057"/>
      <c r="Y573" s="1057"/>
      <c r="Z573" s="1057"/>
      <c r="AA573" s="1057"/>
      <c r="AB573" s="1057"/>
      <c r="AC573" s="906"/>
      <c r="AD573" s="906"/>
      <c r="AE573" s="1014"/>
      <c r="AF573" s="909"/>
      <c r="AG573" s="909"/>
      <c r="AH573" s="909"/>
      <c r="AI573" s="909"/>
      <c r="AJ573" s="909"/>
      <c r="AK573" s="909"/>
      <c r="AL573" s="909"/>
      <c r="AM573" s="1005"/>
      <c r="AN573" s="980"/>
    </row>
    <row r="574" spans="1:42" s="922" customFormat="1" ht="12.75" customHeight="1">
      <c r="A574" s="1098"/>
      <c r="B574" s="985"/>
      <c r="C574" s="1474"/>
      <c r="D574" s="1085" t="s">
        <v>518</v>
      </c>
      <c r="E574" s="1473" t="s">
        <v>1958</v>
      </c>
      <c r="F574" s="1475"/>
      <c r="G574" s="1475"/>
      <c r="H574" s="1475"/>
      <c r="I574" s="1475"/>
      <c r="J574" s="1475"/>
      <c r="K574" s="1475"/>
      <c r="L574" s="1475"/>
      <c r="M574" s="1475"/>
      <c r="N574" s="1475"/>
      <c r="O574" s="1475"/>
      <c r="P574" s="1475"/>
      <c r="Q574" s="1475"/>
      <c r="R574" s="1475"/>
      <c r="S574" s="1475"/>
      <c r="T574" s="1475"/>
      <c r="U574" s="1475"/>
      <c r="V574" s="1475"/>
      <c r="W574" s="1475"/>
      <c r="X574" s="1475"/>
      <c r="Y574" s="1475"/>
      <c r="Z574" s="1475"/>
      <c r="AA574" s="1475"/>
      <c r="AB574" s="1475"/>
      <c r="AC574" s="906"/>
      <c r="AD574" s="906"/>
      <c r="AE574" s="906"/>
      <c r="AF574" s="2751" t="s">
        <v>1567</v>
      </c>
      <c r="AG574" s="2751"/>
      <c r="AH574" s="2751"/>
      <c r="AI574" s="2751"/>
      <c r="AJ574" s="2751"/>
      <c r="AK574" s="2751"/>
      <c r="AL574" s="2751"/>
      <c r="AM574" s="1005"/>
      <c r="AN574" s="979"/>
    </row>
    <row r="575" spans="1:42" s="922" customFormat="1" ht="12.75" customHeight="1">
      <c r="A575" s="1039"/>
      <c r="B575" s="1002"/>
      <c r="C575" s="1476"/>
      <c r="D575" s="1085"/>
      <c r="E575" s="1473" t="s">
        <v>1959</v>
      </c>
      <c r="F575" s="1475"/>
      <c r="G575" s="1475"/>
      <c r="H575" s="1475"/>
      <c r="I575" s="1475"/>
      <c r="J575" s="1475"/>
      <c r="K575" s="1475"/>
      <c r="L575" s="1475"/>
      <c r="M575" s="1475"/>
      <c r="N575" s="1475"/>
      <c r="O575" s="1475"/>
      <c r="P575" s="1475"/>
      <c r="Q575" s="1475"/>
      <c r="R575" s="1475"/>
      <c r="S575" s="1475"/>
      <c r="T575" s="1475"/>
      <c r="U575" s="1475"/>
      <c r="V575" s="1475"/>
      <c r="W575" s="1475"/>
      <c r="X575" s="1475"/>
      <c r="Y575" s="1475"/>
      <c r="Z575" s="1475"/>
      <c r="AA575" s="1475"/>
      <c r="AB575" s="1475"/>
      <c r="AC575" s="906"/>
      <c r="AD575" s="906"/>
      <c r="AE575" s="985"/>
      <c r="AF575" s="985"/>
      <c r="AG575" s="985"/>
      <c r="AH575" s="985"/>
      <c r="AI575" s="985"/>
      <c r="AJ575" s="985"/>
      <c r="AK575" s="985"/>
      <c r="AL575" s="985"/>
      <c r="AM575" s="1005"/>
      <c r="AN575" s="979"/>
      <c r="AO575" s="922" t="s">
        <v>600</v>
      </c>
      <c r="AP575" s="1099">
        <v>0</v>
      </c>
    </row>
    <row r="576" spans="1:42" s="922" customFormat="1" ht="12.75" customHeight="1">
      <c r="A576" s="1039"/>
      <c r="B576" s="1003"/>
      <c r="C576" s="1477"/>
      <c r="D576" s="1085"/>
      <c r="E576" s="1473" t="s">
        <v>1960</v>
      </c>
      <c r="F576" s="1475"/>
      <c r="G576" s="1475"/>
      <c r="H576" s="1475"/>
      <c r="I576" s="1475"/>
      <c r="J576" s="1475"/>
      <c r="K576" s="1475"/>
      <c r="L576" s="1475"/>
      <c r="M576" s="1475"/>
      <c r="N576" s="1475"/>
      <c r="O576" s="1475"/>
      <c r="P576" s="1475"/>
      <c r="Q576" s="1475"/>
      <c r="R576" s="1475"/>
      <c r="S576" s="1475"/>
      <c r="T576" s="1475"/>
      <c r="U576" s="1475"/>
      <c r="V576" s="1475"/>
      <c r="W576" s="1475"/>
      <c r="X576" s="1475"/>
      <c r="Y576" s="1475"/>
      <c r="Z576" s="1475"/>
      <c r="AA576" s="1475"/>
      <c r="AB576" s="1475"/>
      <c r="AC576" s="906"/>
      <c r="AD576" s="906"/>
      <c r="AE576" s="1002"/>
      <c r="AF576" s="1002"/>
      <c r="AG576" s="1002"/>
      <c r="AH576" s="1002"/>
      <c r="AI576" s="1002"/>
      <c r="AJ576" s="1002"/>
      <c r="AK576" s="1002"/>
      <c r="AL576" s="1002"/>
      <c r="AM576" s="1005"/>
      <c r="AN576" s="979"/>
      <c r="AO576" s="1097" t="s">
        <v>697</v>
      </c>
      <c r="AP576" s="922">
        <v>7</v>
      </c>
    </row>
    <row r="577" spans="1:53" s="922" customFormat="1" ht="12.75" customHeight="1">
      <c r="A577" s="1039"/>
      <c r="B577" s="1003"/>
      <c r="C577" s="1477"/>
      <c r="D577" s="1085"/>
      <c r="E577" s="1473" t="s">
        <v>1962</v>
      </c>
      <c r="F577" s="1475"/>
      <c r="G577" s="1475"/>
      <c r="H577" s="1475"/>
      <c r="I577" s="1475"/>
      <c r="J577" s="1475"/>
      <c r="K577" s="1475"/>
      <c r="L577" s="1475"/>
      <c r="M577" s="1475"/>
      <c r="N577" s="1475"/>
      <c r="O577" s="1475"/>
      <c r="P577" s="1475"/>
      <c r="Q577" s="1475"/>
      <c r="R577" s="1475"/>
      <c r="S577" s="1475"/>
      <c r="T577" s="1475"/>
      <c r="U577" s="1475"/>
      <c r="V577" s="1475"/>
      <c r="W577" s="1475"/>
      <c r="X577" s="1475"/>
      <c r="Y577" s="1475"/>
      <c r="Z577" s="1475"/>
      <c r="AA577" s="1475"/>
      <c r="AB577" s="1475"/>
      <c r="AC577" s="906"/>
      <c r="AD577" s="906"/>
      <c r="AE577" s="1002"/>
      <c r="AF577" s="1002"/>
      <c r="AG577" s="1002"/>
      <c r="AH577" s="1002"/>
      <c r="AI577" s="1002"/>
      <c r="AJ577" s="1002"/>
      <c r="AK577" s="1002"/>
      <c r="AL577" s="1002"/>
      <c r="AM577" s="1005"/>
      <c r="AN577" s="979"/>
      <c r="AO577" s="1097" t="s">
        <v>518</v>
      </c>
      <c r="AP577" s="922">
        <v>6</v>
      </c>
    </row>
    <row r="578" spans="1:53" s="922" customFormat="1" ht="12.75" customHeight="1">
      <c r="A578" s="1039"/>
      <c r="B578" s="1003"/>
      <c r="C578" s="1477"/>
      <c r="D578" s="1085"/>
      <c r="E578" s="1473" t="s">
        <v>1961</v>
      </c>
      <c r="F578" s="1475"/>
      <c r="G578" s="1475"/>
      <c r="H578" s="1475"/>
      <c r="I578" s="1475"/>
      <c r="J578" s="1475"/>
      <c r="K578" s="1475"/>
      <c r="L578" s="1475"/>
      <c r="M578" s="1475"/>
      <c r="N578" s="1475"/>
      <c r="O578" s="1475"/>
      <c r="P578" s="1475"/>
      <c r="Q578" s="1475"/>
      <c r="R578" s="1475"/>
      <c r="S578" s="1475"/>
      <c r="T578" s="1475"/>
      <c r="U578" s="1475"/>
      <c r="V578" s="1475"/>
      <c r="W578" s="1475"/>
      <c r="X578" s="1475"/>
      <c r="Y578" s="1475"/>
      <c r="Z578" s="1475"/>
      <c r="AA578" s="1475"/>
      <c r="AB578" s="1475"/>
      <c r="AC578" s="906"/>
      <c r="AD578" s="906"/>
      <c r="AE578" s="1002"/>
      <c r="AF578" s="1002"/>
      <c r="AG578" s="1002"/>
      <c r="AH578" s="1002"/>
      <c r="AI578" s="1002"/>
      <c r="AJ578" s="1002"/>
      <c r="AK578" s="1002"/>
      <c r="AL578" s="1002"/>
      <c r="AM578" s="1005"/>
      <c r="AN578" s="979"/>
      <c r="AO578" s="1097" t="s">
        <v>279</v>
      </c>
      <c r="AP578" s="922">
        <v>5</v>
      </c>
    </row>
    <row r="579" spans="1:53" s="922" customFormat="1" ht="12.75" customHeight="1">
      <c r="A579" s="1039"/>
      <c r="B579" s="1003"/>
      <c r="C579" s="1477"/>
      <c r="D579" s="1085"/>
      <c r="E579" s="1478"/>
      <c r="F579" s="1479"/>
      <c r="G579" s="1479"/>
      <c r="H579" s="1479"/>
      <c r="I579" s="1014"/>
      <c r="J579" s="1014"/>
      <c r="K579" s="1014"/>
      <c r="L579" s="1014"/>
      <c r="M579" s="1014"/>
      <c r="N579" s="1014"/>
      <c r="O579" s="1014"/>
      <c r="P579" s="1014"/>
      <c r="Q579" s="1014"/>
      <c r="R579" s="1014"/>
      <c r="S579" s="1014"/>
      <c r="T579" s="1014"/>
      <c r="U579" s="1014"/>
      <c r="V579" s="1014"/>
      <c r="W579" s="1014"/>
      <c r="X579" s="1014"/>
      <c r="Y579" s="1014"/>
      <c r="Z579" s="1014"/>
      <c r="AA579" s="1014"/>
      <c r="AB579" s="1014"/>
      <c r="AC579" s="906"/>
      <c r="AD579" s="906"/>
      <c r="AE579" s="1014"/>
      <c r="AF579" s="906"/>
      <c r="AG579" s="906"/>
      <c r="AH579" s="906"/>
      <c r="AI579" s="906"/>
      <c r="AJ579" s="906"/>
      <c r="AK579" s="906"/>
      <c r="AL579" s="906"/>
      <c r="AM579" s="1005"/>
      <c r="AN579" s="979"/>
      <c r="AO579" s="1097" t="s">
        <v>1568</v>
      </c>
      <c r="AP579" s="922">
        <v>4</v>
      </c>
    </row>
    <row r="580" spans="1:53" s="922" customFormat="1" ht="12.75" customHeight="1">
      <c r="A580" s="1039"/>
      <c r="B580" s="985"/>
      <c r="C580" s="1474"/>
      <c r="D580" s="1085" t="s">
        <v>279</v>
      </c>
      <c r="E580" s="1473" t="s">
        <v>1963</v>
      </c>
      <c r="F580" s="1475"/>
      <c r="G580" s="1475"/>
      <c r="H580" s="1475"/>
      <c r="I580" s="1475"/>
      <c r="J580" s="1475"/>
      <c r="K580" s="1475"/>
      <c r="L580" s="1475"/>
      <c r="M580" s="1475"/>
      <c r="N580" s="1475"/>
      <c r="O580" s="1475"/>
      <c r="P580" s="1475"/>
      <c r="Q580" s="1475"/>
      <c r="R580" s="1475"/>
      <c r="S580" s="1475"/>
      <c r="T580" s="1475"/>
      <c r="U580" s="1475"/>
      <c r="V580" s="1475"/>
      <c r="W580" s="1475"/>
      <c r="X580" s="1475"/>
      <c r="Y580" s="1475"/>
      <c r="Z580" s="1475"/>
      <c r="AA580" s="1475"/>
      <c r="AB580" s="1475"/>
      <c r="AC580" s="906"/>
      <c r="AD580" s="906"/>
      <c r="AE580" s="906"/>
      <c r="AF580" s="2751" t="s">
        <v>1549</v>
      </c>
      <c r="AG580" s="2751"/>
      <c r="AH580" s="2751"/>
      <c r="AI580" s="2751"/>
      <c r="AJ580" s="2751"/>
      <c r="AK580" s="2751"/>
      <c r="AL580" s="2751"/>
      <c r="AM580" s="1005"/>
      <c r="AN580" s="979"/>
      <c r="AO580" s="1097" t="s">
        <v>1569</v>
      </c>
      <c r="AP580" s="922">
        <v>3</v>
      </c>
    </row>
    <row r="581" spans="1:53" s="922" customFormat="1" ht="12.75" customHeight="1">
      <c r="A581" s="1039"/>
      <c r="B581" s="1002"/>
      <c r="C581" s="1476"/>
      <c r="D581" s="1085"/>
      <c r="E581" s="1473" t="s">
        <v>1959</v>
      </c>
      <c r="F581" s="1475"/>
      <c r="G581" s="1475"/>
      <c r="H581" s="1475"/>
      <c r="I581" s="1475"/>
      <c r="J581" s="1475"/>
      <c r="K581" s="1475"/>
      <c r="L581" s="1475"/>
      <c r="M581" s="1475"/>
      <c r="N581" s="1475"/>
      <c r="O581" s="1475"/>
      <c r="P581" s="1475"/>
      <c r="Q581" s="1475"/>
      <c r="R581" s="1475"/>
      <c r="S581" s="1475"/>
      <c r="T581" s="1475"/>
      <c r="U581" s="1475"/>
      <c r="V581" s="1475"/>
      <c r="W581" s="1475"/>
      <c r="X581" s="1475"/>
      <c r="Y581" s="1475"/>
      <c r="Z581" s="1475"/>
      <c r="AA581" s="1475"/>
      <c r="AB581" s="1475"/>
      <c r="AC581" s="906"/>
      <c r="AD581" s="906"/>
      <c r="AE581" s="1002"/>
      <c r="AF581" s="1002"/>
      <c r="AG581" s="1002"/>
      <c r="AH581" s="1002"/>
      <c r="AI581" s="1002"/>
      <c r="AJ581" s="1002"/>
      <c r="AK581" s="1002"/>
      <c r="AL581" s="1002"/>
      <c r="AM581" s="1005"/>
      <c r="AN581" s="979"/>
    </row>
    <row r="582" spans="1:53" s="922" customFormat="1" ht="12.75" customHeight="1">
      <c r="A582" s="1039"/>
      <c r="B582" s="1002"/>
      <c r="C582" s="1476"/>
      <c r="D582" s="1085"/>
      <c r="E582" s="1473" t="s">
        <v>1960</v>
      </c>
      <c r="F582" s="1475"/>
      <c r="G582" s="1475"/>
      <c r="H582" s="1475"/>
      <c r="I582" s="1475"/>
      <c r="J582" s="1475"/>
      <c r="K582" s="1475"/>
      <c r="L582" s="1475"/>
      <c r="M582" s="1475"/>
      <c r="N582" s="1475"/>
      <c r="O582" s="1475"/>
      <c r="P582" s="1475"/>
      <c r="Q582" s="1475"/>
      <c r="R582" s="1475"/>
      <c r="S582" s="1475"/>
      <c r="T582" s="1475"/>
      <c r="U582" s="1475"/>
      <c r="V582" s="1475"/>
      <c r="W582" s="1475"/>
      <c r="X582" s="1475"/>
      <c r="Y582" s="1475"/>
      <c r="Z582" s="1475"/>
      <c r="AA582" s="1475"/>
      <c r="AB582" s="1475"/>
      <c r="AC582" s="906"/>
      <c r="AD582" s="906"/>
      <c r="AE582" s="1002"/>
      <c r="AF582" s="1002"/>
      <c r="AG582" s="1002"/>
      <c r="AH582" s="1002"/>
      <c r="AI582" s="1002"/>
      <c r="AJ582" s="1002"/>
      <c r="AK582" s="1002"/>
      <c r="AL582" s="1002"/>
      <c r="AM582" s="1005"/>
      <c r="AN582" s="979"/>
    </row>
    <row r="583" spans="1:53" s="922" customFormat="1" ht="12.75" customHeight="1">
      <c r="A583" s="1039"/>
      <c r="B583" s="1002"/>
      <c r="C583" s="1476"/>
      <c r="D583" s="1085"/>
      <c r="E583" s="1473" t="s">
        <v>1962</v>
      </c>
      <c r="F583" s="1475"/>
      <c r="G583" s="1475"/>
      <c r="H583" s="1475"/>
      <c r="I583" s="1475"/>
      <c r="J583" s="1475"/>
      <c r="K583" s="1475"/>
      <c r="L583" s="1475"/>
      <c r="M583" s="1475"/>
      <c r="N583" s="1475"/>
      <c r="O583" s="1475"/>
      <c r="P583" s="1475"/>
      <c r="Q583" s="1475"/>
      <c r="R583" s="1475"/>
      <c r="S583" s="1475"/>
      <c r="T583" s="1475"/>
      <c r="U583" s="1475"/>
      <c r="V583" s="1475"/>
      <c r="W583" s="1475"/>
      <c r="X583" s="1475"/>
      <c r="Y583" s="1475"/>
      <c r="Z583" s="1475"/>
      <c r="AA583" s="1475"/>
      <c r="AB583" s="1475"/>
      <c r="AC583" s="906"/>
      <c r="AD583" s="906"/>
      <c r="AE583" s="1002"/>
      <c r="AF583" s="1002"/>
      <c r="AG583" s="1002"/>
      <c r="AH583" s="1002"/>
      <c r="AI583" s="1002"/>
      <c r="AJ583" s="1002"/>
      <c r="AK583" s="1002"/>
      <c r="AL583" s="1002"/>
      <c r="AM583" s="1005"/>
      <c r="AN583" s="979"/>
    </row>
    <row r="584" spans="1:53" s="922" customFormat="1" ht="12.75" customHeight="1">
      <c r="A584" s="1039"/>
      <c r="B584" s="1002"/>
      <c r="C584" s="1476"/>
      <c r="D584" s="1085"/>
      <c r="E584" s="1473" t="s">
        <v>1961</v>
      </c>
      <c r="F584" s="1475"/>
      <c r="G584" s="1475"/>
      <c r="H584" s="1475"/>
      <c r="I584" s="1475"/>
      <c r="J584" s="1475"/>
      <c r="K584" s="1475"/>
      <c r="L584" s="1475"/>
      <c r="M584" s="1475"/>
      <c r="N584" s="1475"/>
      <c r="O584" s="1475"/>
      <c r="P584" s="1475"/>
      <c r="Q584" s="1475"/>
      <c r="R584" s="1475"/>
      <c r="S584" s="1475"/>
      <c r="T584" s="1475"/>
      <c r="U584" s="1475"/>
      <c r="V584" s="1475"/>
      <c r="W584" s="1475"/>
      <c r="X584" s="1475"/>
      <c r="Y584" s="1475"/>
      <c r="Z584" s="1475"/>
      <c r="AA584" s="1475"/>
      <c r="AB584" s="1475"/>
      <c r="AC584" s="906"/>
      <c r="AD584" s="906"/>
      <c r="AE584" s="1002"/>
      <c r="AF584" s="1002"/>
      <c r="AG584" s="1002"/>
      <c r="AH584" s="1002"/>
      <c r="AI584" s="1002"/>
      <c r="AJ584" s="1002"/>
      <c r="AK584" s="1002"/>
      <c r="AL584" s="1002"/>
      <c r="AM584" s="1005"/>
      <c r="AN584" s="979"/>
    </row>
    <row r="585" spans="1:53" s="922" customFormat="1" ht="12.75" customHeight="1">
      <c r="A585" s="51"/>
      <c r="B585" s="51"/>
      <c r="C585" s="1041"/>
      <c r="D585" s="1085"/>
      <c r="E585" s="110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06"/>
      <c r="AD585" s="906"/>
      <c r="AE585" s="51"/>
      <c r="AF585" s="906"/>
      <c r="AG585" s="906"/>
      <c r="AH585" s="906"/>
      <c r="AI585" s="906"/>
      <c r="AJ585" s="906"/>
      <c r="AK585" s="906"/>
      <c r="AL585" s="906"/>
      <c r="AM585" s="51"/>
      <c r="AN585" s="979"/>
    </row>
    <row r="586" spans="1:53" s="922" customFormat="1" ht="12.75" customHeight="1">
      <c r="A586" s="1039"/>
      <c r="B586" s="985"/>
      <c r="C586" s="1474"/>
      <c r="D586" s="1085" t="s">
        <v>1568</v>
      </c>
      <c r="E586" s="1473" t="s">
        <v>1964</v>
      </c>
      <c r="F586" s="1475"/>
      <c r="G586" s="1475"/>
      <c r="H586" s="1475"/>
      <c r="I586" s="1475"/>
      <c r="J586" s="1475"/>
      <c r="K586" s="1475"/>
      <c r="L586" s="1475"/>
      <c r="M586" s="1475"/>
      <c r="N586" s="1475"/>
      <c r="O586" s="1475"/>
      <c r="P586" s="1475"/>
      <c r="Q586" s="1475"/>
      <c r="R586" s="1475"/>
      <c r="S586" s="1475"/>
      <c r="T586" s="1475"/>
      <c r="U586" s="1475"/>
      <c r="V586" s="1475"/>
      <c r="W586" s="1475"/>
      <c r="X586" s="1475"/>
      <c r="Y586" s="1475"/>
      <c r="Z586" s="1475"/>
      <c r="AA586" s="1475"/>
      <c r="AB586" s="1475"/>
      <c r="AC586" s="906"/>
      <c r="AD586" s="906"/>
      <c r="AE586" s="906"/>
      <c r="AF586" s="2751" t="s">
        <v>1570</v>
      </c>
      <c r="AG586" s="2751"/>
      <c r="AH586" s="2751"/>
      <c r="AI586" s="2751"/>
      <c r="AJ586" s="2751"/>
      <c r="AK586" s="2751"/>
      <c r="AL586" s="2751"/>
      <c r="AM586" s="1005"/>
      <c r="AN586" s="979"/>
      <c r="AO586" s="922" t="str">
        <f>X623</f>
        <v>N/A</v>
      </c>
    </row>
    <row r="587" spans="1:53" s="922" customFormat="1" ht="12.75" customHeight="1">
      <c r="A587" s="1039"/>
      <c r="B587" s="1002"/>
      <c r="C587" s="1476"/>
      <c r="D587" s="1085"/>
      <c r="E587" s="1473" t="s">
        <v>1965</v>
      </c>
      <c r="F587" s="1475"/>
      <c r="G587" s="1475"/>
      <c r="H587" s="1475"/>
      <c r="I587" s="1475"/>
      <c r="J587" s="1475"/>
      <c r="K587" s="1475"/>
      <c r="L587" s="1475"/>
      <c r="M587" s="1475"/>
      <c r="N587" s="1475"/>
      <c r="O587" s="1475"/>
      <c r="P587" s="1475"/>
      <c r="Q587" s="1475"/>
      <c r="R587" s="1475"/>
      <c r="S587" s="1475"/>
      <c r="T587" s="1475"/>
      <c r="U587" s="1475"/>
      <c r="V587" s="1475"/>
      <c r="W587" s="1475"/>
      <c r="X587" s="1475"/>
      <c r="Y587" s="1475"/>
      <c r="Z587" s="1475"/>
      <c r="AA587" s="1475"/>
      <c r="AB587" s="1475"/>
      <c r="AC587" s="51"/>
      <c r="AD587" s="51"/>
      <c r="AE587" s="1002"/>
      <c r="AF587" s="1002"/>
      <c r="AG587" s="1002"/>
      <c r="AH587" s="1002"/>
      <c r="AI587" s="1002"/>
      <c r="AJ587" s="1002"/>
      <c r="AK587" s="1002"/>
      <c r="AL587" s="1002"/>
      <c r="AM587" s="1005"/>
      <c r="AN587" s="979"/>
      <c r="AU587" s="969"/>
      <c r="AV587" s="969"/>
      <c r="AW587" s="969"/>
      <c r="AX587" s="969"/>
      <c r="AY587" s="969"/>
      <c r="AZ587" s="969"/>
      <c r="BA587" s="969"/>
    </row>
    <row r="588" spans="1:53" s="922" customFormat="1" ht="12.75" customHeight="1">
      <c r="A588" s="1039"/>
      <c r="B588" s="1003"/>
      <c r="C588" s="1477"/>
      <c r="D588" s="1085"/>
      <c r="E588" s="1473" t="s">
        <v>1966</v>
      </c>
      <c r="F588" s="1475"/>
      <c r="G588" s="1475"/>
      <c r="H588" s="1475"/>
      <c r="I588" s="1475"/>
      <c r="J588" s="1475"/>
      <c r="K588" s="1475"/>
      <c r="L588" s="1475"/>
      <c r="M588" s="1475"/>
      <c r="N588" s="1475"/>
      <c r="O588" s="1475"/>
      <c r="P588" s="1475"/>
      <c r="Q588" s="1475"/>
      <c r="R588" s="1475"/>
      <c r="S588" s="1475"/>
      <c r="T588" s="1475"/>
      <c r="U588" s="1475"/>
      <c r="V588" s="1475"/>
      <c r="W588" s="1475"/>
      <c r="X588" s="1475"/>
      <c r="Y588" s="1475"/>
      <c r="Z588" s="1475"/>
      <c r="AA588" s="1475"/>
      <c r="AB588" s="1475"/>
      <c r="AC588" s="906"/>
      <c r="AD588" s="906"/>
      <c r="AE588" s="1002"/>
      <c r="AF588" s="1002"/>
      <c r="AG588" s="1002"/>
      <c r="AH588" s="1002"/>
      <c r="AI588" s="1002"/>
      <c r="AJ588" s="1002"/>
      <c r="AK588" s="1002"/>
      <c r="AL588" s="1002"/>
      <c r="AM588" s="1005"/>
      <c r="AN588" s="979"/>
    </row>
    <row r="589" spans="1:53" s="922" customFormat="1" ht="12.75" customHeight="1">
      <c r="A589" s="1039"/>
      <c r="B589" s="1003"/>
      <c r="C589" s="1477"/>
      <c r="D589" s="1085"/>
      <c r="E589" s="1473"/>
      <c r="F589" s="1475"/>
      <c r="G589" s="1475"/>
      <c r="H589" s="1475"/>
      <c r="I589" s="1475"/>
      <c r="J589" s="1475"/>
      <c r="K589" s="1475"/>
      <c r="L589" s="1475"/>
      <c r="M589" s="1475"/>
      <c r="N589" s="1475"/>
      <c r="O589" s="1475"/>
      <c r="P589" s="1475"/>
      <c r="Q589" s="1475"/>
      <c r="R589" s="1475"/>
      <c r="S589" s="1475"/>
      <c r="T589" s="1475"/>
      <c r="U589" s="1475"/>
      <c r="V589" s="1475"/>
      <c r="W589" s="1475"/>
      <c r="X589" s="1475"/>
      <c r="Y589" s="1475"/>
      <c r="Z589" s="1475"/>
      <c r="AA589" s="1475"/>
      <c r="AB589" s="1475"/>
      <c r="AC589" s="906"/>
      <c r="AD589" s="906"/>
      <c r="AE589" s="1002"/>
      <c r="AF589" s="1002"/>
      <c r="AG589" s="1002"/>
      <c r="AH589" s="1002"/>
      <c r="AI589" s="1002"/>
      <c r="AJ589" s="1002"/>
      <c r="AK589" s="1002"/>
      <c r="AL589" s="1002"/>
      <c r="AM589" s="1005"/>
      <c r="AN589" s="979"/>
    </row>
    <row r="590" spans="1:53" s="922" customFormat="1" ht="12.75" customHeight="1">
      <c r="A590" s="1039"/>
      <c r="B590" s="1003"/>
      <c r="C590" s="1477"/>
      <c r="D590" s="1085"/>
      <c r="E590" s="906" t="s">
        <v>2124</v>
      </c>
      <c r="O590" s="2795" t="s">
        <v>1326</v>
      </c>
      <c r="P590" s="2795"/>
      <c r="Q590" s="2795"/>
      <c r="R590" s="2795"/>
      <c r="S590" s="2795"/>
      <c r="T590" s="2795"/>
      <c r="U590" s="2795"/>
      <c r="V590" s="2795"/>
      <c r="W590" s="2795"/>
      <c r="X590" s="2795"/>
      <c r="Y590" s="2795"/>
      <c r="Z590" s="2795"/>
      <c r="AA590" s="2795"/>
      <c r="AB590" s="2795"/>
      <c r="AH590" s="1002"/>
      <c r="AI590" s="1002"/>
      <c r="AJ590" s="1002"/>
      <c r="AK590" s="1002"/>
      <c r="AL590" s="1002"/>
      <c r="AM590" s="1005"/>
      <c r="AN590" s="979"/>
    </row>
    <row r="591" spans="1:53" s="922" customFormat="1" ht="12.75" customHeight="1">
      <c r="A591" s="1039"/>
      <c r="B591" s="1003"/>
      <c r="C591" s="1477"/>
      <c r="D591" s="1085"/>
      <c r="E591" s="1473"/>
      <c r="F591" s="1475"/>
      <c r="G591" s="1475"/>
      <c r="H591" s="1475"/>
      <c r="I591" s="1475"/>
      <c r="J591" s="1475"/>
      <c r="K591" s="1475"/>
      <c r="L591" s="1475"/>
      <c r="M591" s="1475"/>
      <c r="N591" s="1475"/>
      <c r="O591" s="1475"/>
      <c r="P591" s="1475"/>
      <c r="Q591" s="1475"/>
      <c r="R591" s="1475"/>
      <c r="S591" s="1475"/>
      <c r="T591" s="1475"/>
      <c r="U591" s="1475"/>
      <c r="V591" s="1475"/>
      <c r="W591" s="1475"/>
      <c r="X591" s="1475"/>
      <c r="Y591" s="1475"/>
      <c r="Z591" s="1475"/>
      <c r="AA591" s="1475"/>
      <c r="AB591" s="1475"/>
      <c r="AC591" s="906"/>
      <c r="AD591" s="906"/>
      <c r="AE591" s="1002"/>
      <c r="AF591" s="1002"/>
      <c r="AG591" s="1002"/>
      <c r="AH591" s="1002"/>
      <c r="AI591" s="1002"/>
      <c r="AJ591" s="1002"/>
      <c r="AK591" s="1002"/>
      <c r="AL591" s="1002"/>
      <c r="AM591" s="1005"/>
      <c r="AN591" s="979"/>
    </row>
    <row r="592" spans="1:53" s="981" customFormat="1" ht="12.75" customHeight="1">
      <c r="A592" s="1039"/>
      <c r="B592" s="985"/>
      <c r="C592" s="1474"/>
      <c r="D592" s="1085" t="s">
        <v>1569</v>
      </c>
      <c r="E592" s="1473" t="s">
        <v>1968</v>
      </c>
      <c r="F592" s="1475"/>
      <c r="G592" s="1475"/>
      <c r="H592" s="1475"/>
      <c r="I592" s="1475"/>
      <c r="J592" s="1475"/>
      <c r="K592" s="1475"/>
      <c r="L592" s="1475"/>
      <c r="M592" s="1475"/>
      <c r="N592" s="1475"/>
      <c r="O592" s="1475"/>
      <c r="P592" s="1475"/>
      <c r="Q592" s="1475"/>
      <c r="R592" s="1475"/>
      <c r="S592" s="1475"/>
      <c r="T592" s="1475"/>
      <c r="U592" s="1475"/>
      <c r="V592" s="1475"/>
      <c r="W592" s="1475"/>
      <c r="X592" s="1475"/>
      <c r="Y592" s="1475"/>
      <c r="Z592" s="1475"/>
      <c r="AA592" s="1475"/>
      <c r="AB592" s="1475"/>
      <c r="AC592" s="906"/>
      <c r="AD592" s="906"/>
      <c r="AE592" s="909"/>
      <c r="AF592" s="2751" t="s">
        <v>1523</v>
      </c>
      <c r="AG592" s="2751"/>
      <c r="AH592" s="2751"/>
      <c r="AI592" s="2751"/>
      <c r="AJ592" s="2751"/>
      <c r="AK592" s="2751"/>
      <c r="AL592" s="2751"/>
      <c r="AM592" s="1005"/>
      <c r="AN592" s="980"/>
    </row>
    <row r="593" spans="1:47" s="922" customFormat="1" ht="12.75" customHeight="1">
      <c r="A593" s="1039"/>
      <c r="B593" s="985"/>
      <c r="C593" s="1474"/>
      <c r="D593" s="1085"/>
      <c r="E593" s="1473" t="s">
        <v>1967</v>
      </c>
      <c r="F593" s="1475"/>
      <c r="G593" s="1475"/>
      <c r="H593" s="1475"/>
      <c r="I593" s="1475"/>
      <c r="J593" s="1475"/>
      <c r="K593" s="1475"/>
      <c r="L593" s="1475"/>
      <c r="M593" s="1475"/>
      <c r="N593" s="1475"/>
      <c r="O593" s="1475"/>
      <c r="P593" s="1475"/>
      <c r="Q593" s="1475"/>
      <c r="R593" s="1475"/>
      <c r="S593" s="1475"/>
      <c r="T593" s="1475"/>
      <c r="U593" s="1475"/>
      <c r="V593" s="1475"/>
      <c r="W593" s="1475"/>
      <c r="X593" s="1475"/>
      <c r="Y593" s="1475"/>
      <c r="Z593" s="1475"/>
      <c r="AA593" s="1475"/>
      <c r="AB593" s="1475"/>
      <c r="AC593" s="906"/>
      <c r="AD593" s="906"/>
      <c r="AE593" s="1436"/>
      <c r="AF593" s="906"/>
      <c r="AG593" s="906"/>
      <c r="AH593" s="906"/>
      <c r="AI593" s="906"/>
      <c r="AJ593" s="906"/>
      <c r="AK593" s="906"/>
      <c r="AL593" s="906"/>
      <c r="AM593" s="1005"/>
      <c r="AN593" s="979"/>
    </row>
    <row r="594" spans="1:47" s="922" customFormat="1" ht="12.75" customHeight="1">
      <c r="A594" s="1039"/>
      <c r="B594" s="1002"/>
      <c r="C594" s="1476"/>
      <c r="D594" s="1002"/>
      <c r="E594" s="1014"/>
      <c r="F594" s="1480"/>
      <c r="G594" s="1480"/>
      <c r="H594" s="1480"/>
      <c r="I594" s="1480"/>
      <c r="J594" s="1480"/>
      <c r="K594" s="1480"/>
      <c r="L594" s="1480"/>
      <c r="M594" s="1480"/>
      <c r="N594" s="1480"/>
      <c r="O594" s="1480"/>
      <c r="P594" s="1480"/>
      <c r="Q594" s="1480"/>
      <c r="R594" s="1480"/>
      <c r="S594" s="1480"/>
      <c r="T594" s="1480"/>
      <c r="U594" s="1480"/>
      <c r="V594" s="1480"/>
      <c r="W594" s="1480"/>
      <c r="X594" s="1480"/>
      <c r="Y594" s="1480"/>
      <c r="Z594" s="1480"/>
      <c r="AA594" s="1480"/>
      <c r="AB594" s="1480"/>
      <c r="AC594" s="1002"/>
      <c r="AD594" s="1002"/>
      <c r="AE594" s="1002"/>
      <c r="AF594" s="1002"/>
      <c r="AG594" s="1002"/>
      <c r="AH594" s="1002"/>
      <c r="AI594" s="1002"/>
      <c r="AJ594" s="906"/>
      <c r="AK594" s="985"/>
      <c r="AL594" s="985"/>
      <c r="AM594" s="1005"/>
      <c r="AN594" s="979"/>
      <c r="AO594" s="922" t="s">
        <v>600</v>
      </c>
      <c r="AP594" s="1099">
        <v>0</v>
      </c>
      <c r="AT594" s="922" t="s">
        <v>600</v>
      </c>
      <c r="AU594" s="1099">
        <v>0</v>
      </c>
    </row>
    <row r="595" spans="1:47" s="922" customFormat="1" ht="12.75" customHeight="1">
      <c r="A595" s="1039"/>
      <c r="B595" s="1002"/>
      <c r="C595" s="1476"/>
      <c r="D595" s="1002" t="s">
        <v>1571</v>
      </c>
      <c r="E595" s="1480"/>
      <c r="F595" s="1480"/>
      <c r="G595" s="1480"/>
      <c r="H595" s="2692" t="s">
        <v>697</v>
      </c>
      <c r="I595" s="2692"/>
      <c r="J595" s="1480"/>
      <c r="K595" s="1480"/>
      <c r="L595" s="1480"/>
      <c r="M595" s="1480"/>
      <c r="N595" s="906"/>
      <c r="O595" s="906"/>
      <c r="P595" s="906"/>
      <c r="Q595" s="906"/>
      <c r="R595" s="906"/>
      <c r="S595" s="906"/>
      <c r="T595" s="906"/>
      <c r="U595" s="906"/>
      <c r="V595" s="906"/>
      <c r="W595" s="906"/>
      <c r="X595" s="906"/>
      <c r="Y595" s="906"/>
      <c r="Z595" s="906"/>
      <c r="AA595" s="906"/>
      <c r="AB595" s="906"/>
      <c r="AC595" s="906"/>
      <c r="AD595" s="906"/>
      <c r="AE595" s="906"/>
      <c r="AF595" s="906"/>
      <c r="AG595" s="906"/>
      <c r="AH595" s="906"/>
      <c r="AI595" s="906"/>
      <c r="AJ595" s="906"/>
      <c r="AK595" s="906"/>
      <c r="AL595" s="906"/>
      <c r="AN595" s="979"/>
      <c r="AO595" s="1097" t="s">
        <v>697</v>
      </c>
      <c r="AP595" s="922">
        <v>3</v>
      </c>
      <c r="AT595" s="1097" t="s">
        <v>697</v>
      </c>
      <c r="AU595" s="922">
        <v>3</v>
      </c>
    </row>
    <row r="596" spans="1:47" s="922" customFormat="1" ht="12.75" customHeight="1">
      <c r="A596" s="1039"/>
      <c r="B596" s="1002"/>
      <c r="C596" s="1476"/>
      <c r="D596" s="1002"/>
      <c r="E596" s="1480"/>
      <c r="F596" s="1480"/>
      <c r="G596" s="1480"/>
      <c r="H596" s="1907"/>
      <c r="I596" s="1907"/>
      <c r="J596" s="1907"/>
      <c r="K596" s="1907"/>
      <c r="L596" s="1480"/>
      <c r="M596" s="1480"/>
      <c r="N596" s="906"/>
      <c r="O596" s="906"/>
      <c r="P596" s="906"/>
      <c r="Q596" s="906"/>
      <c r="R596" s="906"/>
      <c r="S596" s="906"/>
      <c r="T596" s="906"/>
      <c r="U596" s="906"/>
      <c r="V596" s="906"/>
      <c r="W596" s="906"/>
      <c r="X596" s="906"/>
      <c r="Y596" s="906"/>
      <c r="Z596" s="906"/>
      <c r="AA596" s="906"/>
      <c r="AB596" s="906"/>
      <c r="AC596" s="906"/>
      <c r="AD596" s="906"/>
      <c r="AE596" s="906"/>
      <c r="AF596" s="906"/>
      <c r="AG596" s="906"/>
      <c r="AH596" s="906"/>
      <c r="AI596" s="906"/>
      <c r="AJ596" s="906"/>
      <c r="AK596" s="906"/>
      <c r="AL596" s="906"/>
      <c r="AN596" s="979"/>
      <c r="AO596" s="1097" t="s">
        <v>518</v>
      </c>
      <c r="AP596" s="922">
        <v>2</v>
      </c>
      <c r="AT596" s="1097" t="s">
        <v>518</v>
      </c>
      <c r="AU596" s="922">
        <v>2</v>
      </c>
    </row>
    <row r="597" spans="1:47" s="922" customFormat="1" ht="12.75" customHeight="1">
      <c r="A597" s="1039"/>
      <c r="B597" s="1002"/>
      <c r="C597" s="1476"/>
      <c r="D597" s="1002"/>
      <c r="E597" s="1480"/>
      <c r="F597" s="1480"/>
      <c r="G597" s="1480"/>
      <c r="H597" s="1480"/>
      <c r="I597" s="1480"/>
      <c r="J597" s="1480"/>
      <c r="K597" s="1480"/>
      <c r="L597" s="1480"/>
      <c r="M597" s="1480"/>
      <c r="N597" s="906"/>
      <c r="O597" s="906"/>
      <c r="P597" s="906"/>
      <c r="Q597" s="906"/>
      <c r="R597" s="906"/>
      <c r="S597" s="906"/>
      <c r="T597" s="906"/>
      <c r="U597" s="906"/>
      <c r="V597" s="906"/>
      <c r="W597" s="906"/>
      <c r="X597" s="906"/>
      <c r="Y597" s="906"/>
      <c r="Z597" s="906"/>
      <c r="AA597" s="906"/>
      <c r="AB597" s="906"/>
      <c r="AC597" s="906"/>
      <c r="AD597" s="906"/>
      <c r="AE597" s="906"/>
      <c r="AF597" s="906"/>
      <c r="AG597" s="906"/>
      <c r="AH597" s="906"/>
      <c r="AI597" s="906"/>
      <c r="AJ597" s="906"/>
      <c r="AK597" s="906"/>
      <c r="AL597" s="906"/>
      <c r="AN597" s="979"/>
      <c r="AO597" s="1097"/>
      <c r="AT597" s="1097"/>
    </row>
    <row r="598" spans="1:47" s="922" customFormat="1" ht="12.75" customHeight="1">
      <c r="A598" s="1039"/>
      <c r="B598" s="1002"/>
      <c r="C598" s="1476"/>
      <c r="D598" s="1002" t="s">
        <v>1969</v>
      </c>
      <c r="E598" s="1480"/>
      <c r="F598" s="1480"/>
      <c r="G598" s="1480"/>
      <c r="H598" s="1480"/>
      <c r="I598" s="1480"/>
      <c r="J598" s="1480"/>
      <c r="K598" s="1480"/>
      <c r="L598" s="1480"/>
      <c r="M598" s="1480"/>
      <c r="N598" s="906"/>
      <c r="O598" s="906"/>
      <c r="P598" s="906"/>
      <c r="Q598" s="906"/>
      <c r="R598" s="906"/>
      <c r="S598" s="906"/>
      <c r="T598" s="906"/>
      <c r="U598" s="906"/>
      <c r="V598" s="906"/>
      <c r="W598" s="906"/>
      <c r="X598" s="906"/>
      <c r="Y598" s="906"/>
      <c r="Z598" s="906"/>
      <c r="AA598" s="906"/>
      <c r="AB598" s="906"/>
      <c r="AC598" s="906"/>
      <c r="AD598" s="906"/>
      <c r="AE598" s="906"/>
      <c r="AF598" s="906"/>
      <c r="AG598" s="906"/>
      <c r="AH598" s="906"/>
      <c r="AI598" s="906"/>
      <c r="AJ598" s="906"/>
      <c r="AK598" s="906"/>
      <c r="AL598" s="906"/>
      <c r="AN598" s="979"/>
    </row>
    <row r="599" spans="1:47" s="922" customFormat="1" ht="12.75" customHeight="1">
      <c r="A599" s="1039"/>
      <c r="B599" s="1002"/>
      <c r="C599" s="1476"/>
      <c r="D599" s="1002" t="s">
        <v>1970</v>
      </c>
      <c r="E599" s="1480"/>
      <c r="F599" s="1480"/>
      <c r="G599" s="1480"/>
      <c r="H599" s="1480"/>
      <c r="I599" s="1480"/>
      <c r="J599" s="1480"/>
      <c r="K599" s="1480"/>
      <c r="L599" s="1480"/>
      <c r="M599" s="1480"/>
      <c r="N599" s="906"/>
      <c r="O599" s="906"/>
      <c r="P599" s="906"/>
      <c r="Q599" s="906"/>
      <c r="R599" s="906"/>
      <c r="S599" s="906"/>
      <c r="T599" s="906"/>
      <c r="U599" s="906"/>
      <c r="V599" s="906"/>
      <c r="W599" s="906"/>
      <c r="X599" s="906"/>
      <c r="Y599" s="906"/>
      <c r="Z599" s="906"/>
      <c r="AA599" s="906"/>
      <c r="AB599" s="906"/>
      <c r="AC599" s="906"/>
      <c r="AD599" s="906"/>
      <c r="AE599" s="906"/>
      <c r="AF599" s="906"/>
      <c r="AG599" s="906"/>
      <c r="AH599" s="906"/>
      <c r="AI599" s="906"/>
      <c r="AJ599" s="906"/>
      <c r="AK599" s="906"/>
      <c r="AL599" s="906"/>
      <c r="AN599" s="979"/>
    </row>
    <row r="600" spans="1:47" s="922" customFormat="1" ht="12.75" customHeight="1">
      <c r="A600" s="1039"/>
      <c r="B600" s="1002"/>
      <c r="C600" s="1476"/>
      <c r="D600" s="1002" t="s">
        <v>1971</v>
      </c>
      <c r="E600" s="1480"/>
      <c r="F600" s="1480"/>
      <c r="G600" s="1480"/>
      <c r="H600" s="1480"/>
      <c r="I600" s="1480"/>
      <c r="J600" s="1480"/>
      <c r="K600" s="1480"/>
      <c r="L600" s="1480"/>
      <c r="M600" s="1480"/>
      <c r="N600" s="906"/>
      <c r="O600" s="906"/>
      <c r="P600" s="906"/>
      <c r="Q600" s="906"/>
      <c r="R600" s="906"/>
      <c r="S600" s="906"/>
      <c r="T600" s="906"/>
      <c r="U600" s="906"/>
      <c r="V600" s="906"/>
      <c r="W600" s="906"/>
      <c r="X600" s="906"/>
      <c r="Y600" s="906"/>
      <c r="Z600" s="906"/>
      <c r="AA600" s="906"/>
      <c r="AB600" s="906"/>
      <c r="AC600" s="906"/>
      <c r="AD600" s="906"/>
      <c r="AE600" s="906"/>
      <c r="AF600" s="906"/>
      <c r="AG600" s="906"/>
      <c r="AH600" s="906"/>
      <c r="AI600" s="906"/>
      <c r="AJ600" s="906"/>
      <c r="AK600" s="906"/>
      <c r="AL600" s="906"/>
      <c r="AN600" s="979"/>
    </row>
    <row r="601" spans="1:47" s="922" customFormat="1" ht="12.75" customHeight="1">
      <c r="A601" s="1039"/>
      <c r="B601" s="1002"/>
      <c r="C601" s="1476"/>
      <c r="D601" s="995" t="s">
        <v>1972</v>
      </c>
      <c r="E601" s="1480"/>
      <c r="F601" s="1480"/>
      <c r="G601" s="1480"/>
      <c r="H601" s="1480"/>
      <c r="I601" s="1480"/>
      <c r="J601" s="1480"/>
      <c r="K601" s="1480"/>
      <c r="L601" s="1480"/>
      <c r="M601" s="1480"/>
      <c r="N601" s="906"/>
      <c r="O601" s="906"/>
      <c r="P601" s="906"/>
      <c r="Q601" s="906"/>
      <c r="R601" s="906"/>
      <c r="S601" s="906"/>
      <c r="T601" s="906"/>
      <c r="U601" s="906"/>
      <c r="V601" s="906"/>
      <c r="W601" s="906"/>
      <c r="X601" s="906"/>
      <c r="Y601" s="906"/>
      <c r="Z601" s="906"/>
      <c r="AA601" s="906"/>
      <c r="AB601" s="906"/>
      <c r="AC601" s="906"/>
      <c r="AD601" s="906"/>
      <c r="AE601" s="906"/>
      <c r="AF601" s="906"/>
      <c r="AG601" s="906"/>
      <c r="AH601" s="906"/>
      <c r="AI601" s="906"/>
      <c r="AJ601" s="906"/>
      <c r="AK601" s="906"/>
      <c r="AL601" s="906"/>
      <c r="AN601" s="979"/>
    </row>
    <row r="602" spans="1:47" s="922" customFormat="1" ht="12.75" customHeight="1">
      <c r="A602" s="1039"/>
      <c r="B602" s="1002"/>
      <c r="C602" s="1476"/>
      <c r="D602" s="1002"/>
      <c r="E602" s="1002"/>
      <c r="F602" s="906"/>
      <c r="G602" s="906"/>
      <c r="H602" s="906"/>
      <c r="I602" s="906"/>
      <c r="J602" s="906"/>
      <c r="K602" s="906"/>
      <c r="L602" s="906"/>
      <c r="M602" s="906"/>
      <c r="N602" s="906"/>
      <c r="O602" s="906"/>
      <c r="P602" s="906"/>
      <c r="Q602" s="906"/>
      <c r="R602" s="906"/>
      <c r="S602" s="906"/>
      <c r="T602" s="906"/>
      <c r="U602" s="906"/>
      <c r="V602" s="906"/>
      <c r="W602" s="906"/>
      <c r="X602" s="906"/>
      <c r="Y602" s="906"/>
      <c r="Z602" s="906"/>
      <c r="AA602" s="906"/>
      <c r="AB602" s="906"/>
      <c r="AC602" s="906"/>
      <c r="AD602" s="906"/>
      <c r="AE602" s="906"/>
      <c r="AF602" s="906"/>
      <c r="AG602" s="906"/>
      <c r="AH602" s="906"/>
      <c r="AI602" s="906"/>
      <c r="AJ602" s="906"/>
      <c r="AK602" s="906"/>
      <c r="AL602" s="906"/>
      <c r="AN602" s="979"/>
      <c r="AO602" s="922" t="s">
        <v>600</v>
      </c>
      <c r="AP602" s="1099">
        <v>0</v>
      </c>
    </row>
    <row r="603" spans="1:47" s="922" customFormat="1" ht="12.75" customHeight="1">
      <c r="A603" s="1039"/>
      <c r="B603" s="1002"/>
      <c r="C603" s="1476"/>
      <c r="D603" s="1002"/>
      <c r="E603" s="1002" t="s">
        <v>1571</v>
      </c>
      <c r="F603" s="1480"/>
      <c r="G603" s="1480"/>
      <c r="I603" s="2794" t="s">
        <v>600</v>
      </c>
      <c r="J603" s="2794"/>
      <c r="K603" s="2794"/>
      <c r="L603" s="2794"/>
      <c r="M603" s="2794"/>
      <c r="N603" s="2794"/>
      <c r="O603" s="2794"/>
      <c r="P603" s="2794"/>
      <c r="Q603" s="2794"/>
      <c r="R603" s="2794"/>
      <c r="S603" s="2794"/>
      <c r="T603" s="2794"/>
      <c r="U603" s="2794"/>
      <c r="V603" s="2794"/>
      <c r="W603" s="2794"/>
      <c r="X603" s="2794"/>
      <c r="Y603" s="2794"/>
      <c r="Z603" s="2794"/>
      <c r="AA603" s="2794"/>
      <c r="AB603" s="2794"/>
      <c r="AC603" s="2794"/>
      <c r="AD603" s="2794"/>
      <c r="AE603" s="2794"/>
      <c r="AF603" s="906"/>
      <c r="AG603" s="906"/>
      <c r="AH603" s="906"/>
      <c r="AI603" s="906"/>
      <c r="AJ603" s="906"/>
      <c r="AK603" s="906"/>
      <c r="AL603" s="906"/>
      <c r="AN603" s="979"/>
      <c r="AO603" s="922" t="s">
        <v>1572</v>
      </c>
      <c r="AP603" s="922">
        <v>3</v>
      </c>
    </row>
    <row r="604" spans="1:47" s="981" customFormat="1" ht="12.75" customHeight="1">
      <c r="A604" s="1039"/>
      <c r="B604" s="909"/>
      <c r="C604" s="909"/>
      <c r="D604" s="1002"/>
      <c r="E604" s="909"/>
      <c r="F604" s="1057"/>
      <c r="G604" s="1057"/>
      <c r="H604" s="1057"/>
      <c r="I604" s="1057"/>
      <c r="J604" s="1057"/>
      <c r="K604" s="1057"/>
      <c r="L604" s="1057"/>
      <c r="M604" s="1057"/>
      <c r="N604" s="1057"/>
      <c r="O604" s="1057"/>
      <c r="P604" s="1057"/>
      <c r="Q604" s="1057"/>
      <c r="R604" s="1057"/>
      <c r="S604" s="1057"/>
      <c r="T604" s="1057"/>
      <c r="U604" s="1057"/>
      <c r="V604" s="1057"/>
      <c r="W604" s="1057"/>
      <c r="X604" s="1057"/>
      <c r="Y604" s="1057"/>
      <c r="Z604" s="1057"/>
      <c r="AA604" s="1057"/>
      <c r="AB604" s="1057"/>
      <c r="AC604" s="1057"/>
      <c r="AD604" s="1057"/>
      <c r="AE604" s="1057"/>
      <c r="AF604" s="1481"/>
      <c r="AG604" s="1481"/>
      <c r="AH604" s="1481"/>
      <c r="AI604" s="1481"/>
      <c r="AJ604" s="1481"/>
      <c r="AK604" s="1481"/>
      <c r="AL604" s="1481"/>
      <c r="AM604" s="922"/>
      <c r="AN604" s="980"/>
      <c r="AO604" s="922" t="s">
        <v>1573</v>
      </c>
      <c r="AP604" s="922">
        <v>2</v>
      </c>
    </row>
    <row r="605" spans="1:47" s="922" customFormat="1" ht="12.75" customHeight="1">
      <c r="A605" s="1039"/>
      <c r="B605" s="2792" t="s">
        <v>600</v>
      </c>
      <c r="C605" s="2792"/>
      <c r="D605" s="1481"/>
      <c r="E605" s="2693" t="s">
        <v>1574</v>
      </c>
      <c r="F605" s="2693"/>
      <c r="G605" s="2693"/>
      <c r="H605" s="2693"/>
      <c r="I605" s="2693"/>
      <c r="J605" s="2693"/>
      <c r="K605" s="2693"/>
      <c r="L605" s="2693"/>
      <c r="M605" s="2693"/>
      <c r="N605" s="2693"/>
      <c r="O605" s="2693"/>
      <c r="P605" s="2693"/>
      <c r="Q605" s="2693"/>
      <c r="R605" s="2693"/>
      <c r="S605" s="2693"/>
      <c r="T605" s="2693"/>
      <c r="U605" s="2693"/>
      <c r="V605" s="2693"/>
      <c r="W605" s="2693"/>
      <c r="X605" s="2693"/>
      <c r="Y605" s="2693"/>
      <c r="Z605" s="2693"/>
      <c r="AA605" s="2693"/>
      <c r="AB605" s="2693"/>
      <c r="AC605" s="2693"/>
      <c r="AD605" s="2693"/>
      <c r="AE605" s="2693"/>
      <c r="AF605" s="2693"/>
      <c r="AG605" s="2693"/>
      <c r="AH605" s="1481"/>
      <c r="AI605" s="1481"/>
      <c r="AJ605" s="1481"/>
      <c r="AK605" s="1481"/>
      <c r="AL605" s="1481"/>
      <c r="AN605" s="979"/>
    </row>
    <row r="606" spans="1:47" s="922" customFormat="1" ht="12.75" customHeight="1">
      <c r="A606" s="1039"/>
      <c r="B606" s="1002"/>
      <c r="C606" s="1476"/>
      <c r="D606" s="1481"/>
      <c r="E606" s="2693"/>
      <c r="F606" s="2693"/>
      <c r="G606" s="2693"/>
      <c r="H606" s="2693"/>
      <c r="I606" s="2693"/>
      <c r="J606" s="2693"/>
      <c r="K606" s="2693"/>
      <c r="L606" s="2693"/>
      <c r="M606" s="2693"/>
      <c r="N606" s="2693"/>
      <c r="O606" s="2693"/>
      <c r="P606" s="2693"/>
      <c r="Q606" s="2693"/>
      <c r="R606" s="2693"/>
      <c r="S606" s="2693"/>
      <c r="T606" s="2693"/>
      <c r="U606" s="2693"/>
      <c r="V606" s="2693"/>
      <c r="W606" s="2693"/>
      <c r="X606" s="2693"/>
      <c r="Y606" s="2693"/>
      <c r="Z606" s="2693"/>
      <c r="AA606" s="2693"/>
      <c r="AB606" s="2693"/>
      <c r="AC606" s="2693"/>
      <c r="AD606" s="2693"/>
      <c r="AE606" s="2693"/>
      <c r="AF606" s="2693"/>
      <c r="AG606" s="2693"/>
      <c r="AH606" s="1481"/>
      <c r="AI606" s="1481"/>
      <c r="AJ606" s="1481"/>
      <c r="AK606" s="1481"/>
      <c r="AL606" s="1481"/>
      <c r="AN606" s="979"/>
    </row>
    <row r="607" spans="1:47" s="922" customFormat="1" ht="12.75" customHeight="1">
      <c r="A607" s="1039"/>
      <c r="B607" s="1002"/>
      <c r="C607" s="1476"/>
      <c r="D607" s="1481"/>
      <c r="E607" s="2693"/>
      <c r="F607" s="2693"/>
      <c r="G607" s="2693"/>
      <c r="H607" s="2693"/>
      <c r="I607" s="2693"/>
      <c r="J607" s="2693"/>
      <c r="K607" s="2693"/>
      <c r="L607" s="2693"/>
      <c r="M607" s="2693"/>
      <c r="N607" s="2693"/>
      <c r="O607" s="2693"/>
      <c r="P607" s="2693"/>
      <c r="Q607" s="2693"/>
      <c r="R607" s="2693"/>
      <c r="S607" s="2693"/>
      <c r="T607" s="2693"/>
      <c r="U607" s="2693"/>
      <c r="V607" s="2693"/>
      <c r="W607" s="2693"/>
      <c r="X607" s="2693"/>
      <c r="Y607" s="2693"/>
      <c r="Z607" s="2693"/>
      <c r="AA607" s="2693"/>
      <c r="AB607" s="2693"/>
      <c r="AC607" s="2693"/>
      <c r="AD607" s="2693"/>
      <c r="AE607" s="2693"/>
      <c r="AF607" s="2693"/>
      <c r="AG607" s="2693"/>
      <c r="AH607" s="1481"/>
      <c r="AI607" s="1481"/>
      <c r="AJ607" s="1481"/>
      <c r="AK607" s="1481"/>
      <c r="AL607" s="1481"/>
      <c r="AN607" s="979"/>
    </row>
    <row r="608" spans="1:47" s="922" customFormat="1" ht="12.75" customHeight="1">
      <c r="A608" s="1039"/>
      <c r="B608" s="1002"/>
      <c r="C608" s="1476"/>
      <c r="D608" s="1483"/>
      <c r="E608" s="2693"/>
      <c r="F608" s="2693"/>
      <c r="G608" s="2693"/>
      <c r="H608" s="2693"/>
      <c r="I608" s="2693"/>
      <c r="J608" s="2693"/>
      <c r="K608" s="2693"/>
      <c r="L608" s="2693"/>
      <c r="M608" s="2693"/>
      <c r="N608" s="2693"/>
      <c r="O608" s="2693"/>
      <c r="P608" s="2693"/>
      <c r="Q608" s="2693"/>
      <c r="R608" s="2693"/>
      <c r="S608" s="2693"/>
      <c r="T608" s="2693"/>
      <c r="U608" s="2693"/>
      <c r="V608" s="2693"/>
      <c r="W608" s="2693"/>
      <c r="X608" s="2693"/>
      <c r="Y608" s="2693"/>
      <c r="Z608" s="2693"/>
      <c r="AA608" s="2693"/>
      <c r="AB608" s="2693"/>
      <c r="AC608" s="2693"/>
      <c r="AD608" s="2693"/>
      <c r="AE608" s="2693"/>
      <c r="AF608" s="2693"/>
      <c r="AG608" s="2693"/>
      <c r="AH608" s="1483"/>
      <c r="AI608" s="1483"/>
      <c r="AJ608" s="1483"/>
      <c r="AK608" s="1483"/>
      <c r="AL608" s="1483"/>
      <c r="AN608" s="979"/>
    </row>
    <row r="609" spans="1:42" s="922" customFormat="1" ht="12.75" customHeight="1">
      <c r="A609" s="1039"/>
      <c r="B609" s="1002"/>
      <c r="C609" s="1476"/>
      <c r="D609" s="1482"/>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c r="AA609" s="1506"/>
      <c r="AB609" s="1506"/>
      <c r="AC609" s="1506"/>
      <c r="AD609" s="1506"/>
      <c r="AE609" s="1506"/>
      <c r="AF609" s="1506"/>
      <c r="AG609" s="1506"/>
      <c r="AH609" s="1482"/>
      <c r="AI609" s="1482"/>
      <c r="AJ609" s="1482"/>
      <c r="AK609" s="1482"/>
      <c r="AL609" s="1483"/>
      <c r="AN609" s="979"/>
    </row>
    <row r="610" spans="1:42" s="922" customFormat="1" ht="12.75" customHeight="1">
      <c r="A610" s="1050"/>
      <c r="B610" s="998"/>
      <c r="C610" s="1484"/>
      <c r="D610" s="998"/>
      <c r="E610" s="1485"/>
      <c r="F610" s="1485"/>
      <c r="G610" s="1485"/>
      <c r="H610" s="1485"/>
      <c r="I610" s="1485"/>
      <c r="J610" s="1485"/>
      <c r="K610" s="1485"/>
      <c r="L610" s="1485"/>
      <c r="M610" s="1485"/>
      <c r="N610" s="1485"/>
      <c r="O610" s="1485"/>
      <c r="P610" s="1485"/>
      <c r="Q610" s="1485"/>
      <c r="R610" s="1485"/>
      <c r="S610" s="1485"/>
      <c r="T610" s="1485"/>
      <c r="U610" s="1485"/>
      <c r="V610" s="1485"/>
      <c r="W610" s="1485"/>
      <c r="X610" s="1485"/>
      <c r="Y610" s="1485"/>
      <c r="Z610" s="1485"/>
      <c r="AA610" s="1485"/>
      <c r="AB610" s="998"/>
      <c r="AC610" s="998"/>
      <c r="AD610" s="998"/>
      <c r="AE610" s="998"/>
      <c r="AF610" s="998"/>
      <c r="AG610" s="998"/>
      <c r="AH610" s="998"/>
      <c r="AI610" s="938" t="s">
        <v>1575</v>
      </c>
      <c r="AJ610" s="2674">
        <f>VLOOKUP($H$595,$AO$575:$AP$580,2,FALSE)+VLOOKUP($I$603,$AO$602:$AP$604,2,FALSE)</f>
        <v>7</v>
      </c>
      <c r="AK610" s="2676"/>
      <c r="AL610" s="984"/>
      <c r="AM610" s="1101"/>
      <c r="AN610" s="979"/>
    </row>
    <row r="611" spans="1:42" s="922" customFormat="1" ht="12.75" customHeight="1">
      <c r="A611" s="1039"/>
      <c r="B611" s="1002"/>
      <c r="C611" s="1476"/>
      <c r="D611" s="1002"/>
      <c r="E611" s="1480"/>
      <c r="F611" s="1480"/>
      <c r="G611" s="1480"/>
      <c r="H611" s="1480"/>
      <c r="I611" s="1480"/>
      <c r="J611" s="1480"/>
      <c r="K611" s="1480"/>
      <c r="L611" s="1480"/>
      <c r="M611" s="1480"/>
      <c r="N611" s="1480"/>
      <c r="O611" s="1480"/>
      <c r="P611" s="1480"/>
      <c r="Q611" s="1480"/>
      <c r="R611" s="1480"/>
      <c r="S611" s="1480"/>
      <c r="T611" s="1480"/>
      <c r="U611" s="1480"/>
      <c r="V611" s="1480"/>
      <c r="W611" s="1480"/>
      <c r="X611" s="1480"/>
      <c r="Y611" s="1480"/>
      <c r="Z611" s="1480"/>
      <c r="AA611" s="1480"/>
      <c r="AB611" s="1480"/>
      <c r="AC611" s="1002"/>
      <c r="AD611" s="1002"/>
      <c r="AE611" s="1480"/>
      <c r="AF611" s="1480"/>
      <c r="AG611" s="1480"/>
      <c r="AH611" s="1480"/>
      <c r="AI611" s="1480"/>
      <c r="AJ611" s="1480"/>
      <c r="AK611" s="1480"/>
      <c r="AL611" s="1480"/>
      <c r="AM611" s="1101"/>
      <c r="AN611" s="979"/>
    </row>
    <row r="612" spans="1:42" s="922" customFormat="1" ht="12.75" customHeight="1">
      <c r="A612" s="1039"/>
      <c r="B612" s="1002"/>
      <c r="C612" s="965" t="s">
        <v>1576</v>
      </c>
      <c r="D612" s="991"/>
      <c r="E612" s="1480"/>
      <c r="F612" s="1480"/>
      <c r="G612" s="1480"/>
      <c r="H612" s="1480"/>
      <c r="I612" s="1480"/>
      <c r="J612" s="1480"/>
      <c r="K612" s="1480"/>
      <c r="L612" s="1480"/>
      <c r="M612" s="1480"/>
      <c r="N612" s="1480"/>
      <c r="O612" s="1480"/>
      <c r="P612" s="1480"/>
      <c r="Q612" s="1480"/>
      <c r="R612" s="1480"/>
      <c r="S612" s="1480"/>
      <c r="T612" s="1480"/>
      <c r="U612" s="1480"/>
      <c r="V612" s="1480"/>
      <c r="W612" s="1480"/>
      <c r="X612" s="1480"/>
      <c r="Y612" s="1480"/>
      <c r="Z612" s="1480"/>
      <c r="AA612" s="1480"/>
      <c r="AB612" s="1480"/>
      <c r="AC612" s="1002"/>
      <c r="AD612" s="1002"/>
      <c r="AE612" s="1002"/>
      <c r="AF612" s="1002"/>
      <c r="AG612" s="1002"/>
      <c r="AH612" s="970"/>
      <c r="AI612" s="1002"/>
      <c r="AJ612" s="1002"/>
      <c r="AK612" s="1002"/>
      <c r="AL612" s="1002"/>
      <c r="AM612" s="1039"/>
      <c r="AN612" s="979"/>
    </row>
    <row r="613" spans="1:42" s="922" customFormat="1" ht="12.75" customHeight="1">
      <c r="A613" s="1039"/>
      <c r="B613" s="1003"/>
      <c r="C613" s="906"/>
      <c r="D613" s="1479"/>
      <c r="E613" s="1480"/>
      <c r="F613" s="1480"/>
      <c r="G613" s="1480"/>
      <c r="H613" s="1480"/>
      <c r="I613" s="1480"/>
      <c r="J613" s="1480"/>
      <c r="K613" s="1480"/>
      <c r="L613" s="1480"/>
      <c r="M613" s="1480"/>
      <c r="N613" s="1480"/>
      <c r="O613" s="1480"/>
      <c r="P613" s="1480"/>
      <c r="Q613" s="1480"/>
      <c r="R613" s="1480"/>
      <c r="S613" s="1480"/>
      <c r="T613" s="1480"/>
      <c r="U613" s="1480"/>
      <c r="V613" s="1480"/>
      <c r="W613" s="1480"/>
      <c r="X613" s="1480"/>
      <c r="Y613" s="1480"/>
      <c r="Z613" s="1480"/>
      <c r="AA613" s="1480"/>
      <c r="AB613" s="1480"/>
      <c r="AC613" s="1002"/>
      <c r="AD613" s="1002"/>
      <c r="AE613" s="906"/>
      <c r="AF613" s="906"/>
      <c r="AG613" s="906"/>
      <c r="AH613" s="906"/>
      <c r="AI613" s="906"/>
      <c r="AJ613" s="906"/>
      <c r="AK613" s="906"/>
      <c r="AL613" s="906"/>
      <c r="AM613" s="1005"/>
      <c r="AN613" s="979"/>
    </row>
    <row r="614" spans="1:42" s="972" customFormat="1" ht="12.75" customHeight="1">
      <c r="A614" s="1039"/>
      <c r="B614" s="906"/>
      <c r="C614" s="906"/>
      <c r="D614" s="1085" t="s">
        <v>697</v>
      </c>
      <c r="E614" s="2793" t="s">
        <v>1948</v>
      </c>
      <c r="F614" s="2793"/>
      <c r="G614" s="2793"/>
      <c r="H614" s="2793"/>
      <c r="I614" s="2793"/>
      <c r="J614" s="2793"/>
      <c r="K614" s="2793"/>
      <c r="L614" s="2793"/>
      <c r="M614" s="2793"/>
      <c r="N614" s="2793"/>
      <c r="O614" s="2793"/>
      <c r="P614" s="2793"/>
      <c r="Q614" s="2793"/>
      <c r="R614" s="2793"/>
      <c r="S614" s="2793"/>
      <c r="T614" s="2793"/>
      <c r="U614" s="2793"/>
      <c r="V614" s="2793"/>
      <c r="W614" s="2793"/>
      <c r="X614" s="2793"/>
      <c r="Y614" s="2793"/>
      <c r="Z614" s="2793"/>
      <c r="AA614" s="2793"/>
      <c r="AB614" s="2793"/>
      <c r="AC614" s="2793"/>
      <c r="AD614" s="2793"/>
      <c r="AE614" s="911"/>
      <c r="AF614" s="2751" t="s">
        <v>1523</v>
      </c>
      <c r="AG614" s="2751"/>
      <c r="AH614" s="2751"/>
      <c r="AI614" s="2751"/>
      <c r="AJ614" s="2751"/>
      <c r="AK614" s="2751"/>
      <c r="AL614" s="2751"/>
      <c r="AM614" s="1005"/>
      <c r="AN614" s="1104"/>
    </row>
    <row r="615" spans="1:42" s="922" customFormat="1" ht="12.75" customHeight="1">
      <c r="A615" s="1105"/>
      <c r="B615" s="1002"/>
      <c r="C615" s="1476"/>
      <c r="D615" s="1085"/>
      <c r="E615" s="2793"/>
      <c r="F615" s="2793"/>
      <c r="G615" s="2793"/>
      <c r="H615" s="2793"/>
      <c r="I615" s="2793"/>
      <c r="J615" s="2793"/>
      <c r="K615" s="2793"/>
      <c r="L615" s="2793"/>
      <c r="M615" s="2793"/>
      <c r="N615" s="2793"/>
      <c r="O615" s="2793"/>
      <c r="P615" s="2793"/>
      <c r="Q615" s="2793"/>
      <c r="R615" s="2793"/>
      <c r="S615" s="2793"/>
      <c r="T615" s="2793"/>
      <c r="U615" s="2793"/>
      <c r="V615" s="2793"/>
      <c r="W615" s="2793"/>
      <c r="X615" s="2793"/>
      <c r="Y615" s="2793"/>
      <c r="Z615" s="2793"/>
      <c r="AA615" s="2793"/>
      <c r="AB615" s="2793"/>
      <c r="AC615" s="2793"/>
      <c r="AD615" s="2793"/>
      <c r="AE615" s="985"/>
      <c r="AF615" s="985"/>
      <c r="AG615" s="985"/>
      <c r="AH615" s="985"/>
      <c r="AI615" s="985"/>
      <c r="AJ615" s="985"/>
      <c r="AK615" s="985"/>
      <c r="AL615" s="985"/>
      <c r="AM615" s="1005"/>
      <c r="AN615" s="979"/>
    </row>
    <row r="616" spans="1:42" s="922" customFormat="1" ht="12.75" customHeight="1">
      <c r="A616" s="1039"/>
      <c r="B616" s="1002"/>
      <c r="C616" s="1477"/>
      <c r="D616" s="1085"/>
      <c r="E616" s="2793"/>
      <c r="F616" s="2793"/>
      <c r="G616" s="2793"/>
      <c r="H616" s="2793"/>
      <c r="I616" s="2793"/>
      <c r="J616" s="2793"/>
      <c r="K616" s="2793"/>
      <c r="L616" s="2793"/>
      <c r="M616" s="2793"/>
      <c r="N616" s="2793"/>
      <c r="O616" s="2793"/>
      <c r="P616" s="2793"/>
      <c r="Q616" s="2793"/>
      <c r="R616" s="2793"/>
      <c r="S616" s="2793"/>
      <c r="T616" s="2793"/>
      <c r="U616" s="2793"/>
      <c r="V616" s="2793"/>
      <c r="W616" s="2793"/>
      <c r="X616" s="2793"/>
      <c r="Y616" s="2793"/>
      <c r="Z616" s="2793"/>
      <c r="AA616" s="2793"/>
      <c r="AB616" s="2793"/>
      <c r="AC616" s="2793"/>
      <c r="AD616" s="2793"/>
      <c r="AE616" s="985"/>
      <c r="AF616" s="985"/>
      <c r="AG616" s="985"/>
      <c r="AH616" s="985"/>
      <c r="AI616" s="985"/>
      <c r="AJ616" s="985"/>
      <c r="AK616" s="985"/>
      <c r="AL616" s="985"/>
      <c r="AM616" s="1005"/>
      <c r="AN616" s="979"/>
    </row>
    <row r="617" spans="1:42" s="922" customFormat="1" ht="12.75" customHeight="1">
      <c r="A617" s="1039"/>
      <c r="B617" s="1002"/>
      <c r="C617" s="1477"/>
      <c r="D617" s="1085"/>
      <c r="E617" s="2793"/>
      <c r="F617" s="2793"/>
      <c r="G617" s="2793"/>
      <c r="H617" s="2793"/>
      <c r="I617" s="2793"/>
      <c r="J617" s="2793"/>
      <c r="K617" s="2793"/>
      <c r="L617" s="2793"/>
      <c r="M617" s="2793"/>
      <c r="N617" s="2793"/>
      <c r="O617" s="2793"/>
      <c r="P617" s="2793"/>
      <c r="Q617" s="2793"/>
      <c r="R617" s="2793"/>
      <c r="S617" s="2793"/>
      <c r="T617" s="2793"/>
      <c r="U617" s="2793"/>
      <c r="V617" s="2793"/>
      <c r="W617" s="2793"/>
      <c r="X617" s="2793"/>
      <c r="Y617" s="2793"/>
      <c r="Z617" s="2793"/>
      <c r="AA617" s="2793"/>
      <c r="AB617" s="2793"/>
      <c r="AC617" s="2793"/>
      <c r="AD617" s="2793"/>
      <c r="AE617" s="985"/>
      <c r="AF617" s="985"/>
      <c r="AG617" s="985"/>
      <c r="AH617" s="985"/>
      <c r="AI617" s="985"/>
      <c r="AJ617" s="985"/>
      <c r="AK617" s="985"/>
      <c r="AL617" s="985"/>
      <c r="AM617" s="1005"/>
      <c r="AN617" s="979"/>
    </row>
    <row r="618" spans="1:42" s="922" customFormat="1" ht="12.75" customHeight="1">
      <c r="A618" s="1039"/>
      <c r="B618" s="1002"/>
      <c r="C618" s="1477"/>
      <c r="D618" s="1085"/>
      <c r="E618" s="2793"/>
      <c r="F618" s="2793"/>
      <c r="G618" s="2793"/>
      <c r="H618" s="2793"/>
      <c r="I618" s="2793"/>
      <c r="J618" s="2793"/>
      <c r="K618" s="2793"/>
      <c r="L618" s="2793"/>
      <c r="M618" s="2793"/>
      <c r="N618" s="2793"/>
      <c r="O618" s="2793"/>
      <c r="P618" s="2793"/>
      <c r="Q618" s="2793"/>
      <c r="R618" s="2793"/>
      <c r="S618" s="2793"/>
      <c r="T618" s="2793"/>
      <c r="U618" s="2793"/>
      <c r="V618" s="2793"/>
      <c r="W618" s="2793"/>
      <c r="X618" s="2793"/>
      <c r="Y618" s="2793"/>
      <c r="Z618" s="2793"/>
      <c r="AA618" s="2793"/>
      <c r="AB618" s="2793"/>
      <c r="AC618" s="2793"/>
      <c r="AD618" s="2793"/>
      <c r="AE618" s="985"/>
      <c r="AF618" s="985"/>
      <c r="AG618" s="985"/>
      <c r="AH618" s="985"/>
      <c r="AI618" s="985"/>
      <c r="AJ618" s="985"/>
      <c r="AK618" s="985"/>
      <c r="AL618" s="985"/>
      <c r="AM618" s="1005"/>
      <c r="AN618" s="979"/>
    </row>
    <row r="619" spans="1:42" s="922" customFormat="1" ht="12.75" customHeight="1">
      <c r="A619" s="1039"/>
      <c r="B619" s="1002"/>
      <c r="C619" s="1477"/>
      <c r="D619" s="1085"/>
      <c r="E619" s="2793"/>
      <c r="F619" s="2793"/>
      <c r="G619" s="2793"/>
      <c r="H619" s="2793"/>
      <c r="I619" s="2793"/>
      <c r="J619" s="2793"/>
      <c r="K619" s="2793"/>
      <c r="L619" s="2793"/>
      <c r="M619" s="2793"/>
      <c r="N619" s="2793"/>
      <c r="O619" s="2793"/>
      <c r="P619" s="2793"/>
      <c r="Q619" s="2793"/>
      <c r="R619" s="2793"/>
      <c r="S619" s="2793"/>
      <c r="T619" s="2793"/>
      <c r="U619" s="2793"/>
      <c r="V619" s="2793"/>
      <c r="W619" s="2793"/>
      <c r="X619" s="2793"/>
      <c r="Y619" s="2793"/>
      <c r="Z619" s="2793"/>
      <c r="AA619" s="2793"/>
      <c r="AB619" s="2793"/>
      <c r="AC619" s="2793"/>
      <c r="AD619" s="2793"/>
      <c r="AE619" s="985"/>
      <c r="AF619" s="985"/>
      <c r="AG619" s="985"/>
      <c r="AH619" s="985"/>
      <c r="AI619" s="985"/>
      <c r="AJ619" s="985"/>
      <c r="AK619" s="985"/>
      <c r="AL619" s="985"/>
      <c r="AM619" s="1005"/>
      <c r="AN619" s="979"/>
    </row>
    <row r="620" spans="1:42" s="922" customFormat="1" ht="12.75" customHeight="1">
      <c r="A620" s="1098"/>
      <c r="B620" s="1014"/>
      <c r="C620" s="1486"/>
      <c r="D620" s="1085"/>
      <c r="E620" s="2793"/>
      <c r="F620" s="2793"/>
      <c r="G620" s="2793"/>
      <c r="H620" s="2793"/>
      <c r="I620" s="2793"/>
      <c r="J620" s="2793"/>
      <c r="K620" s="2793"/>
      <c r="L620" s="2793"/>
      <c r="M620" s="2793"/>
      <c r="N620" s="2793"/>
      <c r="O620" s="2793"/>
      <c r="P620" s="2793"/>
      <c r="Q620" s="2793"/>
      <c r="R620" s="2793"/>
      <c r="S620" s="2793"/>
      <c r="T620" s="2793"/>
      <c r="U620" s="2793"/>
      <c r="V620" s="2793"/>
      <c r="W620" s="2793"/>
      <c r="X620" s="2793"/>
      <c r="Y620" s="2793"/>
      <c r="Z620" s="2793"/>
      <c r="AA620" s="2793"/>
      <c r="AB620" s="2793"/>
      <c r="AC620" s="2793"/>
      <c r="AD620" s="2793"/>
      <c r="AE620" s="1014"/>
      <c r="AF620" s="1014"/>
      <c r="AG620" s="1014"/>
      <c r="AH620" s="1014"/>
      <c r="AI620" s="1014"/>
      <c r="AJ620" s="1014"/>
      <c r="AK620" s="985"/>
      <c r="AL620" s="985"/>
      <c r="AM620" s="1005"/>
      <c r="AN620" s="979"/>
    </row>
    <row r="621" spans="1:42" s="922" customFormat="1" ht="12.75" customHeight="1">
      <c r="A621" s="1039"/>
      <c r="B621" s="1014"/>
      <c r="C621" s="1486"/>
      <c r="D621" s="1085"/>
      <c r="E621" s="2793"/>
      <c r="F621" s="2793"/>
      <c r="G621" s="2793"/>
      <c r="H621" s="2793"/>
      <c r="I621" s="2793"/>
      <c r="J621" s="2793"/>
      <c r="K621" s="2793"/>
      <c r="L621" s="2793"/>
      <c r="M621" s="2793"/>
      <c r="N621" s="2793"/>
      <c r="O621" s="2793"/>
      <c r="P621" s="2793"/>
      <c r="Q621" s="2793"/>
      <c r="R621" s="2793"/>
      <c r="S621" s="2793"/>
      <c r="T621" s="2793"/>
      <c r="U621" s="2793"/>
      <c r="V621" s="2793"/>
      <c r="W621" s="2793"/>
      <c r="X621" s="2793"/>
      <c r="Y621" s="2793"/>
      <c r="Z621" s="2793"/>
      <c r="AA621" s="2793"/>
      <c r="AB621" s="2793"/>
      <c r="AC621" s="2793"/>
      <c r="AD621" s="2793"/>
      <c r="AE621" s="1014"/>
      <c r="AF621" s="1014"/>
      <c r="AG621" s="1014"/>
      <c r="AH621" s="1014"/>
      <c r="AI621" s="1014"/>
      <c r="AJ621" s="1014"/>
      <c r="AK621" s="985"/>
      <c r="AL621" s="985"/>
      <c r="AM621" s="1005"/>
      <c r="AN621" s="979"/>
    </row>
    <row r="622" spans="1:42" s="922" customFormat="1" ht="12" customHeight="1">
      <c r="A622" s="1039"/>
      <c r="B622" s="1014"/>
      <c r="C622" s="1486"/>
      <c r="D622" s="1085"/>
      <c r="E622" s="1505"/>
      <c r="F622" s="1505"/>
      <c r="G622" s="1505"/>
      <c r="H622" s="1505"/>
      <c r="I622" s="1505"/>
      <c r="J622" s="1505"/>
      <c r="K622" s="1505"/>
      <c r="L622" s="1505"/>
      <c r="M622" s="1505"/>
      <c r="N622" s="1505"/>
      <c r="O622" s="1505"/>
      <c r="P622" s="1505"/>
      <c r="Q622" s="1505"/>
      <c r="R622" s="1505"/>
      <c r="S622" s="1505"/>
      <c r="T622" s="1505"/>
      <c r="U622" s="1505"/>
      <c r="V622" s="1505"/>
      <c r="W622" s="1505"/>
      <c r="X622" s="1505"/>
      <c r="Y622" s="1505"/>
      <c r="Z622" s="1505"/>
      <c r="AA622" s="1505"/>
      <c r="AB622" s="1505"/>
      <c r="AC622" s="1505"/>
      <c r="AD622" s="1505"/>
      <c r="AE622" s="1014"/>
      <c r="AF622" s="1014"/>
      <c r="AG622" s="1014"/>
      <c r="AH622" s="1014"/>
      <c r="AI622" s="1014"/>
      <c r="AJ622" s="1014"/>
      <c r="AK622" s="985"/>
      <c r="AL622" s="985"/>
      <c r="AM622" s="1005"/>
      <c r="AN622" s="979"/>
      <c r="AO622" s="981" t="s">
        <v>600</v>
      </c>
      <c r="AP622" s="1106">
        <v>0</v>
      </c>
    </row>
    <row r="623" spans="1:42" s="922" customFormat="1" ht="12.75" customHeight="1">
      <c r="A623" s="1039"/>
      <c r="B623" s="1014"/>
      <c r="C623" s="1474"/>
      <c r="D623" s="1085"/>
      <c r="E623" s="1014" t="s">
        <v>1577</v>
      </c>
      <c r="F623" s="1487"/>
      <c r="G623" s="1487"/>
      <c r="H623" s="1487"/>
      <c r="I623" s="1487"/>
      <c r="J623" s="1487"/>
      <c r="K623" s="1487"/>
      <c r="L623" s="1487"/>
      <c r="M623" s="1487"/>
      <c r="N623" s="1487"/>
      <c r="O623" s="1487"/>
      <c r="P623" s="1487"/>
      <c r="Q623" s="1487"/>
      <c r="R623" s="1487"/>
      <c r="U623" s="1487"/>
      <c r="V623" s="1487"/>
      <c r="W623" s="1487"/>
      <c r="X623" s="2792" t="s">
        <v>600</v>
      </c>
      <c r="Y623" s="2792"/>
      <c r="Z623" s="1487"/>
      <c r="AA623" s="1487"/>
      <c r="AB623" s="1487"/>
      <c r="AC623" s="1487"/>
      <c r="AD623" s="1487"/>
      <c r="AE623" s="906"/>
      <c r="AF623" s="1014"/>
      <c r="AG623" s="1014"/>
      <c r="AH623" s="1014"/>
      <c r="AI623" s="1014"/>
      <c r="AJ623" s="1014"/>
      <c r="AK623" s="985"/>
      <c r="AL623" s="985"/>
      <c r="AM623" s="1005"/>
      <c r="AN623" s="979"/>
      <c r="AO623" s="1097" t="s">
        <v>697</v>
      </c>
      <c r="AP623" s="922">
        <v>5</v>
      </c>
    </row>
    <row r="624" spans="1:42" s="922" customFormat="1" ht="12.75" customHeight="1">
      <c r="A624" s="1039"/>
      <c r="B624" s="1014"/>
      <c r="C624" s="1486"/>
      <c r="D624" s="906"/>
      <c r="E624" s="906"/>
      <c r="F624" s="906"/>
      <c r="G624" s="906"/>
      <c r="H624" s="906"/>
      <c r="I624" s="906"/>
      <c r="J624" s="906"/>
      <c r="K624" s="906"/>
      <c r="L624" s="906"/>
      <c r="M624" s="906"/>
      <c r="N624" s="906"/>
      <c r="O624" s="906"/>
      <c r="P624" s="906"/>
      <c r="Q624" s="906"/>
      <c r="R624" s="906"/>
      <c r="S624" s="906"/>
      <c r="T624" s="906"/>
      <c r="U624" s="906"/>
      <c r="V624" s="906"/>
      <c r="W624" s="1014"/>
      <c r="X624" s="1014"/>
      <c r="Y624" s="1014"/>
      <c r="Z624" s="1014"/>
      <c r="AA624" s="1014"/>
      <c r="AB624" s="1014"/>
      <c r="AC624" s="906"/>
      <c r="AD624" s="906"/>
      <c r="AE624" s="906"/>
      <c r="AF624" s="906"/>
      <c r="AG624" s="906"/>
      <c r="AH624" s="906"/>
      <c r="AI624" s="906"/>
      <c r="AJ624" s="906"/>
      <c r="AK624" s="906"/>
      <c r="AL624" s="906"/>
      <c r="AM624" s="1005"/>
      <c r="AN624" s="979"/>
      <c r="AO624" s="1097" t="s">
        <v>518</v>
      </c>
      <c r="AP624" s="1107">
        <v>4</v>
      </c>
    </row>
    <row r="625" spans="1:42" s="922" customFormat="1" ht="12.75" customHeight="1">
      <c r="A625" s="1039"/>
      <c r="B625" s="985"/>
      <c r="C625" s="1474"/>
      <c r="D625" s="1085" t="s">
        <v>518</v>
      </c>
      <c r="E625" s="927" t="s">
        <v>1578</v>
      </c>
      <c r="F625" s="1488"/>
      <c r="G625" s="1488"/>
      <c r="H625" s="1488"/>
      <c r="I625" s="1488"/>
      <c r="J625" s="1488"/>
      <c r="K625" s="1488"/>
      <c r="L625" s="1488"/>
      <c r="M625" s="1488"/>
      <c r="N625" s="1488"/>
      <c r="O625" s="1488"/>
      <c r="P625" s="1488"/>
      <c r="Q625" s="1488"/>
      <c r="R625" s="1488"/>
      <c r="S625" s="1488"/>
      <c r="T625" s="1488"/>
      <c r="U625" s="906"/>
      <c r="V625" s="906"/>
      <c r="W625" s="1488"/>
      <c r="X625" s="1488"/>
      <c r="Y625" s="1488"/>
      <c r="Z625" s="1488"/>
      <c r="AA625" s="1488"/>
      <c r="AB625" s="1488"/>
      <c r="AC625" s="906"/>
      <c r="AD625" s="906"/>
      <c r="AE625" s="906"/>
      <c r="AF625" s="2751" t="s">
        <v>1579</v>
      </c>
      <c r="AG625" s="2751"/>
      <c r="AH625" s="2751"/>
      <c r="AI625" s="2751"/>
      <c r="AJ625" s="2751"/>
      <c r="AK625" s="2751"/>
      <c r="AL625" s="2751"/>
      <c r="AM625" s="1005"/>
      <c r="AN625" s="979"/>
      <c r="AO625" s="1097" t="s">
        <v>279</v>
      </c>
      <c r="AP625" s="922">
        <v>3</v>
      </c>
    </row>
    <row r="626" spans="1:42" s="981" customFormat="1" ht="12.75" customHeight="1">
      <c r="A626" s="1039"/>
      <c r="B626" s="985"/>
      <c r="C626" s="1474"/>
      <c r="D626" s="1002"/>
      <c r="E626" s="909"/>
      <c r="F626" s="1488"/>
      <c r="G626" s="1488"/>
      <c r="H626" s="1488"/>
      <c r="I626" s="1488"/>
      <c r="J626" s="1488"/>
      <c r="K626" s="1488"/>
      <c r="L626" s="1488"/>
      <c r="M626" s="1488"/>
      <c r="N626" s="1488"/>
      <c r="O626" s="1488"/>
      <c r="P626" s="1488"/>
      <c r="Q626" s="1488"/>
      <c r="R626" s="1488"/>
      <c r="S626" s="1488"/>
      <c r="T626" s="1488"/>
      <c r="U626" s="906"/>
      <c r="V626" s="909"/>
      <c r="W626" s="909"/>
      <c r="X626" s="1488"/>
      <c r="Y626" s="1488"/>
      <c r="Z626" s="1488"/>
      <c r="AA626" s="1488"/>
      <c r="AB626" s="1488"/>
      <c r="AC626" s="906"/>
      <c r="AD626" s="906"/>
      <c r="AE626" s="906"/>
      <c r="AF626" s="906"/>
      <c r="AG626" s="906"/>
      <c r="AH626" s="906"/>
      <c r="AI626" s="906"/>
      <c r="AJ626" s="906"/>
      <c r="AK626" s="985"/>
      <c r="AL626" s="985"/>
      <c r="AM626" s="1005"/>
      <c r="AN626" s="980"/>
      <c r="AO626" s="1097" t="s">
        <v>1568</v>
      </c>
      <c r="AP626" s="1107">
        <v>4</v>
      </c>
    </row>
    <row r="627" spans="1:42" s="922" customFormat="1" ht="12.75" customHeight="1">
      <c r="A627" s="1039"/>
      <c r="B627" s="985"/>
      <c r="C627" s="1474"/>
      <c r="D627" s="1002" t="s">
        <v>1571</v>
      </c>
      <c r="E627" s="1480"/>
      <c r="F627" s="1480"/>
      <c r="G627" s="1480"/>
      <c r="H627" s="2692" t="s">
        <v>697</v>
      </c>
      <c r="I627" s="2692"/>
      <c r="J627" s="1488"/>
      <c r="K627" s="1488"/>
      <c r="L627" s="1488"/>
      <c r="M627" s="1488"/>
      <c r="N627" s="1488"/>
      <c r="O627" s="1488"/>
      <c r="P627" s="1488"/>
      <c r="Q627" s="1488"/>
      <c r="R627" s="1488"/>
      <c r="S627" s="1488"/>
      <c r="T627" s="1488"/>
      <c r="U627" s="1480"/>
      <c r="V627" s="1480"/>
      <c r="W627" s="1480"/>
      <c r="X627" s="906"/>
      <c r="Y627" s="906"/>
      <c r="Z627" s="906"/>
      <c r="AA627" s="906"/>
      <c r="AB627" s="906"/>
      <c r="AC627" s="906"/>
      <c r="AD627" s="906"/>
      <c r="AE627" s="906"/>
      <c r="AF627" s="906"/>
      <c r="AG627" s="906"/>
      <c r="AH627" s="906"/>
      <c r="AI627" s="906"/>
      <c r="AJ627" s="906"/>
      <c r="AK627" s="906"/>
      <c r="AL627" s="906"/>
      <c r="AN627" s="979"/>
      <c r="AO627" s="1097" t="s">
        <v>1569</v>
      </c>
      <c r="AP627" s="922">
        <v>3</v>
      </c>
    </row>
    <row r="628" spans="1:42" s="922" customFormat="1" ht="12.75" customHeight="1">
      <c r="A628" s="1039"/>
      <c r="B628" s="985"/>
      <c r="C628" s="1474"/>
      <c r="D628" s="906"/>
      <c r="E628" s="1480"/>
      <c r="F628" s="1488"/>
      <c r="G628" s="1488"/>
      <c r="H628" s="1488"/>
      <c r="I628" s="1489"/>
      <c r="J628" s="1488"/>
      <c r="K628" s="1488"/>
      <c r="L628" s="1488"/>
      <c r="M628" s="1488"/>
      <c r="N628" s="1488"/>
      <c r="O628" s="1488"/>
      <c r="P628" s="1488"/>
      <c r="Q628" s="1488"/>
      <c r="R628" s="906"/>
      <c r="S628" s="906"/>
      <c r="T628" s="1488"/>
      <c r="U628" s="1480"/>
      <c r="V628" s="1480"/>
      <c r="W628" s="1480"/>
      <c r="X628" s="1480"/>
      <c r="Y628" s="1480"/>
      <c r="Z628" s="1480"/>
      <c r="AA628" s="1480"/>
      <c r="AB628" s="1480"/>
      <c r="AC628" s="1002"/>
      <c r="AD628" s="1002"/>
      <c r="AE628" s="1002"/>
      <c r="AF628" s="1002"/>
      <c r="AG628" s="1002"/>
      <c r="AH628" s="1002"/>
      <c r="AI628" s="1488"/>
      <c r="AJ628" s="1488"/>
      <c r="AK628" s="1488"/>
      <c r="AL628" s="1488"/>
      <c r="AM628" s="1108"/>
      <c r="AN628" s="979"/>
      <c r="AO628" s="1097" t="s">
        <v>1580</v>
      </c>
      <c r="AP628" s="922">
        <v>2</v>
      </c>
    </row>
    <row r="629" spans="1:42" s="922" customFormat="1" ht="12.75" customHeight="1">
      <c r="A629" s="1050"/>
      <c r="B629" s="988"/>
      <c r="C629" s="1490"/>
      <c r="D629" s="998"/>
      <c r="E629" s="1485"/>
      <c r="F629" s="1485"/>
      <c r="G629" s="1491"/>
      <c r="H629" s="1491"/>
      <c r="I629" s="1491"/>
      <c r="J629" s="1491"/>
      <c r="K629" s="1491"/>
      <c r="L629" s="1491"/>
      <c r="M629" s="1491"/>
      <c r="N629" s="1491"/>
      <c r="O629" s="1491"/>
      <c r="P629" s="1491"/>
      <c r="Q629" s="1491"/>
      <c r="R629" s="1491"/>
      <c r="S629" s="1491"/>
      <c r="T629" s="1485"/>
      <c r="U629" s="1485"/>
      <c r="V629" s="1485"/>
      <c r="W629" s="1485"/>
      <c r="X629" s="1485"/>
      <c r="Y629" s="1485"/>
      <c r="Z629" s="1485"/>
      <c r="AA629" s="1485"/>
      <c r="AB629" s="998"/>
      <c r="AC629" s="998"/>
      <c r="AD629" s="998"/>
      <c r="AE629" s="998"/>
      <c r="AF629" s="998"/>
      <c r="AG629" s="998"/>
      <c r="AH629" s="998"/>
      <c r="AI629" s="938" t="s">
        <v>1581</v>
      </c>
      <c r="AJ629" s="2674">
        <f>VLOOKUP($H$627,$AO$594:$AP$596,2,FALSE)</f>
        <v>3</v>
      </c>
      <c r="AK629" s="2676"/>
      <c r="AL629" s="984"/>
      <c r="AM629" s="981"/>
      <c r="AN629" s="979"/>
      <c r="AO629" s="1097" t="s">
        <v>1582</v>
      </c>
      <c r="AP629" s="922">
        <v>1</v>
      </c>
    </row>
    <row r="630" spans="1:42" s="922" customFormat="1" ht="12.75" customHeight="1">
      <c r="A630" s="1039"/>
      <c r="B630" s="985"/>
      <c r="C630" s="1474"/>
      <c r="D630" s="1002"/>
      <c r="E630" s="1480"/>
      <c r="F630" s="1480"/>
      <c r="G630" s="1480"/>
      <c r="H630" s="1002"/>
      <c r="I630" s="1002"/>
      <c r="J630" s="1488"/>
      <c r="K630" s="1488"/>
      <c r="L630" s="1488"/>
      <c r="M630" s="1488"/>
      <c r="N630" s="1488"/>
      <c r="O630" s="1488"/>
      <c r="P630" s="1488"/>
      <c r="Q630" s="1488"/>
      <c r="R630" s="1488"/>
      <c r="S630" s="1488"/>
      <c r="T630" s="1488"/>
      <c r="U630" s="1480"/>
      <c r="V630" s="1480"/>
      <c r="W630" s="1480"/>
      <c r="X630" s="1480"/>
      <c r="Y630" s="1480"/>
      <c r="Z630" s="1480"/>
      <c r="AA630" s="1480"/>
      <c r="AB630" s="1480"/>
      <c r="AC630" s="1002"/>
      <c r="AD630" s="1002"/>
      <c r="AE630" s="1002"/>
      <c r="AF630" s="1002"/>
      <c r="AG630" s="1002"/>
      <c r="AH630" s="1002"/>
      <c r="AI630" s="1002"/>
      <c r="AJ630" s="1434"/>
      <c r="AK630" s="1002"/>
      <c r="AL630" s="1002"/>
      <c r="AM630" s="1039"/>
      <c r="AN630" s="979"/>
    </row>
    <row r="631" spans="1:42" s="922" customFormat="1" ht="12.75" customHeight="1">
      <c r="A631" s="1039"/>
      <c r="B631" s="985"/>
      <c r="C631" s="965" t="s">
        <v>1583</v>
      </c>
      <c r="D631" s="1002"/>
      <c r="E631" s="1480"/>
      <c r="F631" s="1488"/>
      <c r="G631" s="1488"/>
      <c r="H631" s="1488"/>
      <c r="I631" s="1488"/>
      <c r="J631" s="1488"/>
      <c r="K631" s="1488"/>
      <c r="L631" s="1488"/>
      <c r="M631" s="1488"/>
      <c r="N631" s="1488"/>
      <c r="O631" s="1488"/>
      <c r="P631" s="1488"/>
      <c r="Q631" s="1488"/>
      <c r="R631" s="1488"/>
      <c r="S631" s="1488"/>
      <c r="T631" s="1488"/>
      <c r="U631" s="970"/>
      <c r="V631" s="970"/>
      <c r="W631" s="1488"/>
      <c r="X631" s="1488"/>
      <c r="Y631" s="1488"/>
      <c r="Z631" s="1488"/>
      <c r="AA631" s="1488"/>
      <c r="AB631" s="1488"/>
      <c r="AC631" s="1436"/>
      <c r="AD631" s="1436"/>
      <c r="AE631" s="1436"/>
      <c r="AF631" s="1436"/>
      <c r="AG631" s="1436"/>
      <c r="AH631" s="1436"/>
      <c r="AI631" s="1436"/>
      <c r="AJ631" s="970"/>
      <c r="AK631" s="985"/>
      <c r="AL631" s="985"/>
      <c r="AM631" s="1005"/>
      <c r="AN631" s="979"/>
    </row>
    <row r="632" spans="1:42" s="922" customFormat="1" ht="12.75" customHeight="1">
      <c r="A632" s="1098"/>
      <c r="B632" s="1002"/>
      <c r="C632" s="1476"/>
      <c r="D632" s="1002"/>
      <c r="E632" s="1488"/>
      <c r="F632" s="1488"/>
      <c r="G632" s="1488"/>
      <c r="H632" s="1488"/>
      <c r="I632" s="1488"/>
      <c r="J632" s="1488"/>
      <c r="K632" s="1488"/>
      <c r="L632" s="1488"/>
      <c r="M632" s="1488"/>
      <c r="N632" s="1488"/>
      <c r="O632" s="1488"/>
      <c r="P632" s="1488"/>
      <c r="Q632" s="1488"/>
      <c r="R632" s="1488"/>
      <c r="S632" s="1488"/>
      <c r="T632" s="1488"/>
      <c r="U632" s="1488"/>
      <c r="V632" s="1488"/>
      <c r="W632" s="1488"/>
      <c r="X632" s="1488"/>
      <c r="Y632" s="1488"/>
      <c r="Z632" s="1488"/>
      <c r="AA632" s="1488"/>
      <c r="AB632" s="1488"/>
      <c r="AC632" s="1002"/>
      <c r="AD632" s="1002"/>
      <c r="AE632" s="906"/>
      <c r="AF632" s="906"/>
      <c r="AG632" s="906"/>
      <c r="AH632" s="906"/>
      <c r="AI632" s="906"/>
      <c r="AJ632" s="906"/>
      <c r="AK632" s="906"/>
      <c r="AL632" s="985"/>
      <c r="AM632" s="1005"/>
      <c r="AN632" s="979"/>
    </row>
    <row r="633" spans="1:42" s="922" customFormat="1" ht="12.75" customHeight="1">
      <c r="A633" s="1039"/>
      <c r="B633" s="906"/>
      <c r="C633" s="906"/>
      <c r="D633" s="1085" t="s">
        <v>697</v>
      </c>
      <c r="E633" s="2693" t="s">
        <v>2514</v>
      </c>
      <c r="F633" s="2693"/>
      <c r="G633" s="2693"/>
      <c r="H633" s="2693"/>
      <c r="I633" s="2693"/>
      <c r="J633" s="2693"/>
      <c r="K633" s="2693"/>
      <c r="L633" s="2693"/>
      <c r="M633" s="2693"/>
      <c r="N633" s="2693"/>
      <c r="O633" s="2693"/>
      <c r="P633" s="2693"/>
      <c r="Q633" s="2693"/>
      <c r="R633" s="2693"/>
      <c r="S633" s="2693"/>
      <c r="T633" s="2693"/>
      <c r="U633" s="2693"/>
      <c r="V633" s="2693"/>
      <c r="W633" s="2693"/>
      <c r="X633" s="2693"/>
      <c r="Y633" s="2693"/>
      <c r="Z633" s="2693"/>
      <c r="AA633" s="2693"/>
      <c r="AB633" s="2693"/>
      <c r="AC633" s="2693"/>
      <c r="AD633" s="2693"/>
      <c r="AE633" s="906"/>
      <c r="AF633" s="2751" t="s">
        <v>1523</v>
      </c>
      <c r="AG633" s="2751"/>
      <c r="AH633" s="2751"/>
      <c r="AI633" s="2751"/>
      <c r="AJ633" s="2751"/>
      <c r="AK633" s="2751"/>
      <c r="AL633" s="2751"/>
      <c r="AM633" s="1005"/>
      <c r="AN633" s="979"/>
    </row>
    <row r="634" spans="1:42" s="922" customFormat="1" ht="12.75" customHeight="1">
      <c r="A634" s="1039"/>
      <c r="B634" s="906"/>
      <c r="C634" s="906"/>
      <c r="D634" s="1085"/>
      <c r="E634" s="2693"/>
      <c r="F634" s="2693"/>
      <c r="G634" s="2693"/>
      <c r="H634" s="2693"/>
      <c r="I634" s="2693"/>
      <c r="J634" s="2693"/>
      <c r="K634" s="2693"/>
      <c r="L634" s="2693"/>
      <c r="M634" s="2693"/>
      <c r="N634" s="2693"/>
      <c r="O634" s="2693"/>
      <c r="P634" s="2693"/>
      <c r="Q634" s="2693"/>
      <c r="R634" s="2693"/>
      <c r="S634" s="2693"/>
      <c r="T634" s="2693"/>
      <c r="U634" s="2693"/>
      <c r="V634" s="2693"/>
      <c r="W634" s="2693"/>
      <c r="X634" s="2693"/>
      <c r="Y634" s="2693"/>
      <c r="Z634" s="2693"/>
      <c r="AA634" s="2693"/>
      <c r="AB634" s="2693"/>
      <c r="AC634" s="2693"/>
      <c r="AD634" s="2693"/>
      <c r="AE634" s="1436"/>
      <c r="AF634" s="1436"/>
      <c r="AG634" s="1436"/>
      <c r="AH634" s="1436"/>
      <c r="AI634" s="1436"/>
      <c r="AJ634" s="1436"/>
      <c r="AK634" s="1436"/>
      <c r="AL634" s="1436"/>
      <c r="AM634" s="1005"/>
      <c r="AN634" s="979"/>
    </row>
    <row r="635" spans="1:42" s="922" customFormat="1" ht="12.75" customHeight="1">
      <c r="A635" s="1039"/>
      <c r="B635" s="1014"/>
      <c r="C635" s="1486"/>
      <c r="D635" s="1085"/>
      <c r="E635" s="1014"/>
      <c r="F635" s="1014"/>
      <c r="G635" s="1014"/>
      <c r="H635" s="1014"/>
      <c r="I635" s="1014"/>
      <c r="J635" s="1014"/>
      <c r="K635" s="1014"/>
      <c r="L635" s="1014"/>
      <c r="M635" s="1014"/>
      <c r="N635" s="1014"/>
      <c r="O635" s="1014"/>
      <c r="P635" s="1014"/>
      <c r="Q635" s="1014"/>
      <c r="R635" s="1014"/>
      <c r="S635" s="1014"/>
      <c r="T635" s="1014"/>
      <c r="U635" s="1014"/>
      <c r="V635" s="1014"/>
      <c r="W635" s="1014"/>
      <c r="X635" s="1014"/>
      <c r="Y635" s="1014"/>
      <c r="Z635" s="1014"/>
      <c r="AA635" s="1014"/>
      <c r="AB635" s="1014"/>
      <c r="AC635" s="906"/>
      <c r="AD635" s="906"/>
      <c r="AE635" s="1014"/>
      <c r="AF635" s="906"/>
      <c r="AG635" s="906"/>
      <c r="AH635" s="906"/>
      <c r="AI635" s="906"/>
      <c r="AJ635" s="906"/>
      <c r="AK635" s="906"/>
      <c r="AL635" s="906"/>
      <c r="AM635" s="1005"/>
      <c r="AN635" s="979"/>
    </row>
    <row r="636" spans="1:42" s="922" customFormat="1" ht="12.75" customHeight="1">
      <c r="A636" s="1039"/>
      <c r="B636" s="985"/>
      <c r="C636" s="1474"/>
      <c r="D636" s="1085" t="s">
        <v>518</v>
      </c>
      <c r="E636" s="1014" t="s">
        <v>1584</v>
      </c>
      <c r="F636" s="1014"/>
      <c r="G636" s="1014"/>
      <c r="H636" s="1014"/>
      <c r="I636" s="1014"/>
      <c r="J636" s="1014"/>
      <c r="K636" s="1014"/>
      <c r="L636" s="1014"/>
      <c r="M636" s="1014"/>
      <c r="N636" s="1014"/>
      <c r="O636" s="1014"/>
      <c r="P636" s="1014"/>
      <c r="Q636" s="1014"/>
      <c r="R636" s="1014"/>
      <c r="S636" s="1014"/>
      <c r="T636" s="1014"/>
      <c r="U636" s="1014"/>
      <c r="V636" s="1014"/>
      <c r="W636" s="1014"/>
      <c r="X636" s="1014"/>
      <c r="Y636" s="1014"/>
      <c r="Z636" s="1014"/>
      <c r="AA636" s="1014"/>
      <c r="AB636" s="1014"/>
      <c r="AC636" s="906"/>
      <c r="AD636" s="906"/>
      <c r="AE636" s="906"/>
      <c r="AF636" s="2751" t="s">
        <v>1579</v>
      </c>
      <c r="AG636" s="2751"/>
      <c r="AH636" s="2751"/>
      <c r="AI636" s="2751"/>
      <c r="AJ636" s="2751"/>
      <c r="AK636" s="2751"/>
      <c r="AL636" s="2751"/>
      <c r="AM636" s="1005"/>
      <c r="AN636" s="979"/>
    </row>
    <row r="637" spans="1:42" s="922" customFormat="1" ht="12.75" customHeight="1">
      <c r="A637" s="1039"/>
      <c r="B637" s="985"/>
      <c r="C637" s="1474"/>
      <c r="D637" s="1085"/>
      <c r="E637" s="1014" t="s">
        <v>1585</v>
      </c>
      <c r="F637" s="1014"/>
      <c r="G637" s="1014"/>
      <c r="H637" s="1014"/>
      <c r="I637" s="1014"/>
      <c r="J637" s="1014"/>
      <c r="K637" s="1014"/>
      <c r="L637" s="1014"/>
      <c r="M637" s="1014"/>
      <c r="N637" s="1014"/>
      <c r="O637" s="1014"/>
      <c r="P637" s="1014"/>
      <c r="Q637" s="1014"/>
      <c r="R637" s="1014"/>
      <c r="S637" s="1014"/>
      <c r="T637" s="1014"/>
      <c r="U637" s="1014"/>
      <c r="V637" s="1014"/>
      <c r="W637" s="1014"/>
      <c r="X637" s="1014"/>
      <c r="Y637" s="1014"/>
      <c r="Z637" s="1014"/>
      <c r="AA637" s="1014"/>
      <c r="AB637" s="1014"/>
      <c r="AC637" s="906"/>
      <c r="AD637" s="906"/>
      <c r="AE637" s="1436"/>
      <c r="AF637" s="1436"/>
      <c r="AG637" s="1436"/>
      <c r="AH637" s="1436"/>
      <c r="AI637" s="1436"/>
      <c r="AJ637" s="1436"/>
      <c r="AK637" s="1436"/>
      <c r="AL637" s="1436"/>
      <c r="AM637" s="1005"/>
      <c r="AN637" s="979"/>
    </row>
    <row r="638" spans="1:42" s="981" customFormat="1" ht="12.75" customHeight="1">
      <c r="A638" s="1039"/>
      <c r="B638" s="985"/>
      <c r="C638" s="1474"/>
      <c r="D638" s="1002"/>
      <c r="E638" s="1014"/>
      <c r="F638" s="1014"/>
      <c r="G638" s="1014"/>
      <c r="H638" s="1014"/>
      <c r="I638" s="1014"/>
      <c r="J638" s="1014"/>
      <c r="K638" s="1014"/>
      <c r="L638" s="1014"/>
      <c r="M638" s="1014"/>
      <c r="N638" s="1014"/>
      <c r="O638" s="1014"/>
      <c r="P638" s="1014"/>
      <c r="Q638" s="1014"/>
      <c r="R638" s="1014"/>
      <c r="S638" s="1014"/>
      <c r="T638" s="1014"/>
      <c r="U638" s="1014"/>
      <c r="V638" s="1014"/>
      <c r="W638" s="1014"/>
      <c r="X638" s="1014"/>
      <c r="Y638" s="1014"/>
      <c r="Z638" s="1014"/>
      <c r="AA638" s="1014"/>
      <c r="AB638" s="1014"/>
      <c r="AC638" s="906"/>
      <c r="AD638" s="906"/>
      <c r="AE638" s="906"/>
      <c r="AF638" s="906"/>
      <c r="AG638" s="906"/>
      <c r="AH638" s="906"/>
      <c r="AI638" s="906"/>
      <c r="AJ638" s="906"/>
      <c r="AK638" s="985"/>
      <c r="AL638" s="985"/>
      <c r="AM638" s="1005"/>
      <c r="AN638" s="980"/>
      <c r="AP638" s="1107"/>
    </row>
    <row r="639" spans="1:42" s="922" customFormat="1" ht="12.75" customHeight="1">
      <c r="A639" s="1039"/>
      <c r="B639" s="985"/>
      <c r="C639" s="1474"/>
      <c r="D639" s="1002" t="s">
        <v>1571</v>
      </c>
      <c r="E639" s="1480"/>
      <c r="F639" s="1480"/>
      <c r="G639" s="1480"/>
      <c r="H639" s="2692" t="s">
        <v>600</v>
      </c>
      <c r="I639" s="2692"/>
      <c r="J639" s="1014"/>
      <c r="K639" s="1014"/>
      <c r="L639" s="1014"/>
      <c r="M639" s="1014"/>
      <c r="N639" s="1014"/>
      <c r="O639" s="1014"/>
      <c r="P639" s="1014"/>
      <c r="Q639" s="1014"/>
      <c r="R639" s="1014"/>
      <c r="S639" s="1014"/>
      <c r="T639" s="1014"/>
      <c r="U639" s="1014"/>
      <c r="V639" s="1014"/>
      <c r="W639" s="906"/>
      <c r="X639" s="906"/>
      <c r="Y639" s="906"/>
      <c r="Z639" s="906"/>
      <c r="AA639" s="906"/>
      <c r="AB639" s="906"/>
      <c r="AC639" s="906"/>
      <c r="AD639" s="906"/>
      <c r="AE639" s="906"/>
      <c r="AF639" s="906"/>
      <c r="AG639" s="906"/>
      <c r="AH639" s="906"/>
      <c r="AI639" s="906"/>
      <c r="AJ639" s="906"/>
      <c r="AK639" s="906"/>
      <c r="AL639" s="906"/>
      <c r="AN639" s="979"/>
    </row>
    <row r="640" spans="1:42" s="922" customFormat="1" ht="12.75" customHeight="1">
      <c r="A640" s="1039"/>
      <c r="B640" s="985"/>
      <c r="C640" s="1474"/>
      <c r="D640" s="1002"/>
      <c r="E640" s="1480"/>
      <c r="F640" s="1480"/>
      <c r="G640" s="1014"/>
      <c r="H640" s="1014"/>
      <c r="I640" s="1014"/>
      <c r="J640" s="1014"/>
      <c r="K640" s="1014"/>
      <c r="L640" s="1014"/>
      <c r="M640" s="1014"/>
      <c r="N640" s="1014"/>
      <c r="O640" s="1014"/>
      <c r="P640" s="1014"/>
      <c r="Q640" s="1014"/>
      <c r="R640" s="1014"/>
      <c r="S640" s="1014"/>
      <c r="T640" s="1014"/>
      <c r="U640" s="1014"/>
      <c r="V640" s="1014"/>
      <c r="W640" s="1014"/>
      <c r="X640" s="1014"/>
      <c r="Y640" s="1014"/>
      <c r="Z640" s="1480"/>
      <c r="AA640" s="1480"/>
      <c r="AB640" s="1480"/>
      <c r="AC640" s="906"/>
      <c r="AD640" s="906"/>
      <c r="AE640" s="906"/>
      <c r="AF640" s="906"/>
      <c r="AG640" s="906"/>
      <c r="AH640" s="906"/>
      <c r="AI640" s="906"/>
      <c r="AJ640" s="1014"/>
      <c r="AK640" s="1014"/>
      <c r="AL640" s="1014"/>
      <c r="AM640" s="923"/>
      <c r="AN640" s="979"/>
    </row>
    <row r="641" spans="1:42" s="981" customFormat="1" ht="12.75" customHeight="1">
      <c r="A641" s="1050"/>
      <c r="B641" s="988"/>
      <c r="C641" s="1490"/>
      <c r="D641" s="998"/>
      <c r="E641" s="1485"/>
      <c r="F641" s="1485"/>
      <c r="G641" s="1087"/>
      <c r="H641" s="1087"/>
      <c r="I641" s="1087"/>
      <c r="J641" s="1087"/>
      <c r="K641" s="1087"/>
      <c r="L641" s="1087"/>
      <c r="M641" s="1087"/>
      <c r="N641" s="1087"/>
      <c r="O641" s="1087"/>
      <c r="P641" s="1087"/>
      <c r="Q641" s="1087"/>
      <c r="R641" s="1087"/>
      <c r="S641" s="1087"/>
      <c r="T641" s="1087"/>
      <c r="U641" s="1087"/>
      <c r="V641" s="1087"/>
      <c r="W641" s="1087"/>
      <c r="X641" s="1087"/>
      <c r="Y641" s="1485"/>
      <c r="Z641" s="1485"/>
      <c r="AA641" s="1485"/>
      <c r="AB641" s="998"/>
      <c r="AC641" s="998"/>
      <c r="AD641" s="998"/>
      <c r="AE641" s="998"/>
      <c r="AF641" s="998"/>
      <c r="AG641" s="998"/>
      <c r="AH641" s="998"/>
      <c r="AI641" s="938" t="s">
        <v>1586</v>
      </c>
      <c r="AJ641" s="2674">
        <f>VLOOKUP(H639,AT594:AU596,2,FALSE)</f>
        <v>0</v>
      </c>
      <c r="AK641" s="2676"/>
      <c r="AL641" s="984"/>
      <c r="AN641" s="980"/>
      <c r="AO641" s="981" t="s">
        <v>600</v>
      </c>
      <c r="AP641" s="1106">
        <v>0</v>
      </c>
    </row>
    <row r="642" spans="1:42" s="922" customFormat="1" ht="12.75" customHeight="1">
      <c r="A642" s="1039"/>
      <c r="B642" s="985"/>
      <c r="C642" s="1474"/>
      <c r="D642" s="906"/>
      <c r="E642" s="906"/>
      <c r="F642" s="906"/>
      <c r="G642" s="906"/>
      <c r="H642" s="906"/>
      <c r="I642" s="906"/>
      <c r="J642" s="906"/>
      <c r="K642" s="906"/>
      <c r="L642" s="906"/>
      <c r="M642" s="906"/>
      <c r="N642" s="906"/>
      <c r="O642" s="906"/>
      <c r="P642" s="906"/>
      <c r="Q642" s="906"/>
      <c r="R642" s="906"/>
      <c r="S642" s="906"/>
      <c r="T642" s="906"/>
      <c r="U642" s="906"/>
      <c r="V642" s="906"/>
      <c r="W642" s="906"/>
      <c r="X642" s="906"/>
      <c r="Y642" s="906"/>
      <c r="Z642" s="906"/>
      <c r="AA642" s="906"/>
      <c r="AB642" s="906"/>
      <c r="AC642" s="906"/>
      <c r="AD642" s="906"/>
      <c r="AE642" s="906"/>
      <c r="AF642" s="906"/>
      <c r="AG642" s="906"/>
      <c r="AH642" s="906"/>
      <c r="AI642" s="906"/>
      <c r="AJ642" s="906"/>
      <c r="AK642" s="906"/>
      <c r="AL642" s="906"/>
      <c r="AN642" s="979"/>
      <c r="AO642" s="1097" t="s">
        <v>697</v>
      </c>
      <c r="AP642" s="922">
        <v>3</v>
      </c>
    </row>
    <row r="643" spans="1:42" s="922" customFormat="1" ht="12.75" customHeight="1">
      <c r="B643" s="906"/>
      <c r="C643" s="965" t="s">
        <v>1587</v>
      </c>
      <c r="D643" s="906"/>
      <c r="E643" s="906"/>
      <c r="F643" s="906"/>
      <c r="G643" s="906"/>
      <c r="H643" s="906"/>
      <c r="I643" s="906"/>
      <c r="J643" s="906"/>
      <c r="K643" s="906"/>
      <c r="L643" s="906"/>
      <c r="M643" s="906"/>
      <c r="N643" s="906"/>
      <c r="O643" s="906"/>
      <c r="P643" s="906"/>
      <c r="Q643" s="906"/>
      <c r="R643" s="906"/>
      <c r="S643" s="906"/>
      <c r="T643" s="906"/>
      <c r="U643" s="906"/>
      <c r="V643" s="906"/>
      <c r="W643" s="906"/>
      <c r="X643" s="906"/>
      <c r="Y643" s="906"/>
      <c r="Z643" s="906"/>
      <c r="AA643" s="906"/>
      <c r="AB643" s="906"/>
      <c r="AC643" s="906"/>
      <c r="AD643" s="906"/>
      <c r="AE643" s="906"/>
      <c r="AF643" s="906"/>
      <c r="AG643" s="906"/>
      <c r="AH643" s="906"/>
      <c r="AI643" s="906"/>
      <c r="AJ643" s="906"/>
      <c r="AK643" s="906"/>
      <c r="AL643" s="906"/>
      <c r="AN643" s="979"/>
      <c r="AO643" s="1097" t="s">
        <v>518</v>
      </c>
      <c r="AP643" s="922">
        <v>2</v>
      </c>
    </row>
    <row r="644" spans="1:42" s="922" customFormat="1" ht="12.75" customHeight="1">
      <c r="B644" s="906"/>
      <c r="C644" s="965"/>
      <c r="D644" s="1109" t="s">
        <v>1588</v>
      </c>
      <c r="E644" s="906"/>
      <c r="F644" s="906"/>
      <c r="G644" s="906"/>
      <c r="H644" s="906"/>
      <c r="I644" s="906"/>
      <c r="J644" s="906"/>
      <c r="K644" s="906"/>
      <c r="L644" s="906"/>
      <c r="M644" s="906"/>
      <c r="N644" s="906"/>
      <c r="O644" s="906"/>
      <c r="P644" s="906"/>
      <c r="Q644" s="906"/>
      <c r="R644" s="906"/>
      <c r="S644" s="906"/>
      <c r="T644" s="906"/>
      <c r="U644" s="906"/>
      <c r="V644" s="906"/>
      <c r="W644" s="906"/>
      <c r="X644" s="906"/>
      <c r="Y644" s="906"/>
      <c r="Z644" s="906"/>
      <c r="AA644" s="906"/>
      <c r="AB644" s="906"/>
      <c r="AC644" s="906"/>
      <c r="AD644" s="906"/>
      <c r="AE644" s="906"/>
      <c r="AF644" s="906"/>
      <c r="AG644" s="906"/>
      <c r="AH644" s="906"/>
      <c r="AI644" s="906"/>
      <c r="AJ644" s="906"/>
      <c r="AK644" s="906"/>
      <c r="AL644" s="906"/>
      <c r="AN644" s="979"/>
    </row>
    <row r="645" spans="1:42" s="922" customFormat="1" ht="12.75" customHeight="1">
      <c r="B645" s="906"/>
      <c r="C645" s="965"/>
      <c r="D645" s="906"/>
      <c r="E645" s="906"/>
      <c r="F645" s="906"/>
      <c r="G645" s="906"/>
      <c r="H645" s="906"/>
      <c r="I645" s="906"/>
      <c r="J645" s="906"/>
      <c r="K645" s="906"/>
      <c r="L645" s="906"/>
      <c r="M645" s="906"/>
      <c r="N645" s="906"/>
      <c r="O645" s="906"/>
      <c r="P645" s="906"/>
      <c r="Q645" s="906"/>
      <c r="R645" s="906"/>
      <c r="S645" s="906"/>
      <c r="T645" s="906"/>
      <c r="U645" s="906"/>
      <c r="V645" s="906"/>
      <c r="W645" s="906"/>
      <c r="X645" s="906"/>
      <c r="Y645" s="906"/>
      <c r="Z645" s="906"/>
      <c r="AA645" s="906"/>
      <c r="AB645" s="906"/>
      <c r="AC645" s="906"/>
      <c r="AD645" s="906"/>
      <c r="AE645" s="906"/>
      <c r="AF645" s="906"/>
      <c r="AG645" s="906"/>
      <c r="AH645" s="906"/>
      <c r="AI645" s="906"/>
      <c r="AJ645" s="906"/>
      <c r="AK645" s="906"/>
      <c r="AL645" s="906"/>
      <c r="AN645" s="979"/>
    </row>
    <row r="646" spans="1:42" s="922" customFormat="1" ht="12.75" customHeight="1">
      <c r="B646" s="906"/>
      <c r="C646" s="965"/>
      <c r="D646" s="1085" t="s">
        <v>697</v>
      </c>
      <c r="E646" s="2693" t="s">
        <v>1589</v>
      </c>
      <c r="F646" s="2693"/>
      <c r="G646" s="2693"/>
      <c r="H646" s="2693"/>
      <c r="I646" s="2693"/>
      <c r="J646" s="2693"/>
      <c r="K646" s="2693"/>
      <c r="L646" s="2693"/>
      <c r="M646" s="2693"/>
      <c r="N646" s="2693"/>
      <c r="O646" s="2693"/>
      <c r="P646" s="2693"/>
      <c r="Q646" s="2693"/>
      <c r="R646" s="2693"/>
      <c r="S646" s="2693"/>
      <c r="T646" s="2693"/>
      <c r="U646" s="2693"/>
      <c r="V646" s="2693"/>
      <c r="W646" s="2693"/>
      <c r="X646" s="2693"/>
      <c r="Y646" s="2693"/>
      <c r="Z646" s="2693"/>
      <c r="AA646" s="2693"/>
      <c r="AB646" s="2693"/>
      <c r="AC646" s="2693"/>
      <c r="AD646" s="906"/>
      <c r="AE646" s="906"/>
      <c r="AF646" s="2751" t="s">
        <v>1549</v>
      </c>
      <c r="AG646" s="2751"/>
      <c r="AH646" s="2751"/>
      <c r="AI646" s="2751"/>
      <c r="AJ646" s="2751"/>
      <c r="AK646" s="2751"/>
      <c r="AL646" s="2751"/>
      <c r="AN646" s="979"/>
    </row>
    <row r="647" spans="1:42" s="922" customFormat="1" ht="12.75" customHeight="1">
      <c r="B647" s="906"/>
      <c r="C647" s="965"/>
      <c r="D647" s="906"/>
      <c r="E647" s="2693"/>
      <c r="F647" s="2693"/>
      <c r="G647" s="2693"/>
      <c r="H647" s="2693"/>
      <c r="I647" s="2693"/>
      <c r="J647" s="2693"/>
      <c r="K647" s="2693"/>
      <c r="L647" s="2693"/>
      <c r="M647" s="2693"/>
      <c r="N647" s="2693"/>
      <c r="O647" s="2693"/>
      <c r="P647" s="2693"/>
      <c r="Q647" s="2693"/>
      <c r="R647" s="2693"/>
      <c r="S647" s="2693"/>
      <c r="T647" s="2693"/>
      <c r="U647" s="2693"/>
      <c r="V647" s="2693"/>
      <c r="W647" s="2693"/>
      <c r="X647" s="2693"/>
      <c r="Y647" s="2693"/>
      <c r="Z647" s="2693"/>
      <c r="AA647" s="2693"/>
      <c r="AB647" s="2693"/>
      <c r="AC647" s="2693"/>
      <c r="AD647" s="906"/>
      <c r="AE647" s="906"/>
      <c r="AF647" s="906"/>
      <c r="AG647" s="906"/>
      <c r="AH647" s="906"/>
      <c r="AI647" s="906"/>
      <c r="AJ647" s="906"/>
      <c r="AK647" s="906"/>
      <c r="AL647" s="906"/>
      <c r="AN647" s="979"/>
    </row>
    <row r="648" spans="1:42" s="922" customFormat="1" ht="12.75" customHeight="1">
      <c r="B648" s="906"/>
      <c r="C648" s="965"/>
      <c r="D648" s="1085"/>
      <c r="E648" s="2693"/>
      <c r="F648" s="2693"/>
      <c r="G648" s="2693"/>
      <c r="H648" s="2693"/>
      <c r="I648" s="2693"/>
      <c r="J648" s="2693"/>
      <c r="K648" s="2693"/>
      <c r="L648" s="2693"/>
      <c r="M648" s="2693"/>
      <c r="N648" s="2693"/>
      <c r="O648" s="2693"/>
      <c r="P648" s="2693"/>
      <c r="Q648" s="2693"/>
      <c r="R648" s="2693"/>
      <c r="S648" s="2693"/>
      <c r="T648" s="2693"/>
      <c r="U648" s="2693"/>
      <c r="V648" s="2693"/>
      <c r="W648" s="2693"/>
      <c r="X648" s="2693"/>
      <c r="Y648" s="2693"/>
      <c r="Z648" s="2693"/>
      <c r="AA648" s="2693"/>
      <c r="AB648" s="2693"/>
      <c r="AC648" s="2693"/>
      <c r="AD648" s="906"/>
      <c r="AE648" s="906"/>
      <c r="AF648" s="906"/>
      <c r="AG648" s="906"/>
      <c r="AH648" s="906"/>
      <c r="AI648" s="906"/>
      <c r="AJ648" s="906"/>
      <c r="AK648" s="906"/>
      <c r="AL648" s="906"/>
      <c r="AN648" s="979"/>
    </row>
    <row r="649" spans="1:42" s="922" customFormat="1" ht="15" customHeight="1">
      <c r="B649" s="906"/>
      <c r="C649" s="965"/>
      <c r="D649" s="906"/>
      <c r="E649" s="1492"/>
      <c r="F649" s="1492"/>
      <c r="G649" s="1492"/>
      <c r="H649" s="1492"/>
      <c r="I649" s="1492"/>
      <c r="J649" s="1492"/>
      <c r="K649" s="1492"/>
      <c r="L649" s="1492"/>
      <c r="M649" s="1492"/>
      <c r="N649" s="1492"/>
      <c r="O649" s="1492"/>
      <c r="P649" s="1492"/>
      <c r="Q649" s="1492"/>
      <c r="R649" s="1492"/>
      <c r="S649" s="1492"/>
      <c r="T649" s="1492"/>
      <c r="U649" s="1492"/>
      <c r="V649" s="1492"/>
      <c r="W649" s="1492"/>
      <c r="X649" s="1492"/>
      <c r="Y649" s="1492"/>
      <c r="Z649" s="1492"/>
      <c r="AA649" s="1492"/>
      <c r="AB649" s="1492"/>
      <c r="AC649" s="906"/>
      <c r="AD649" s="906"/>
      <c r="AE649" s="906"/>
      <c r="AF649" s="906"/>
      <c r="AG649" s="906"/>
      <c r="AH649" s="906"/>
      <c r="AI649" s="906"/>
      <c r="AJ649" s="906"/>
      <c r="AK649" s="906"/>
      <c r="AL649" s="906"/>
      <c r="AN649" s="979"/>
    </row>
    <row r="650" spans="1:42" s="922" customFormat="1" ht="12.75" customHeight="1">
      <c r="B650" s="906"/>
      <c r="C650" s="965"/>
      <c r="D650" s="1085" t="s">
        <v>518</v>
      </c>
      <c r="E650" s="2693" t="s">
        <v>1590</v>
      </c>
      <c r="F650" s="2693"/>
      <c r="G650" s="2693"/>
      <c r="H650" s="2693"/>
      <c r="I650" s="2693"/>
      <c r="J650" s="2693"/>
      <c r="K650" s="2693"/>
      <c r="L650" s="2693"/>
      <c r="M650" s="2693"/>
      <c r="N650" s="2693"/>
      <c r="O650" s="2693"/>
      <c r="P650" s="2693"/>
      <c r="Q650" s="2693"/>
      <c r="R650" s="2693"/>
      <c r="S650" s="2693"/>
      <c r="T650" s="2693"/>
      <c r="U650" s="2693"/>
      <c r="V650" s="2693"/>
      <c r="W650" s="2693"/>
      <c r="X650" s="2693"/>
      <c r="Y650" s="2693"/>
      <c r="Z650" s="2693"/>
      <c r="AA650" s="2693"/>
      <c r="AB650" s="2693"/>
      <c r="AC650" s="2693"/>
      <c r="AD650" s="906"/>
      <c r="AE650" s="906"/>
      <c r="AF650" s="2751" t="s">
        <v>1570</v>
      </c>
      <c r="AG650" s="2751"/>
      <c r="AH650" s="2751"/>
      <c r="AI650" s="2751"/>
      <c r="AJ650" s="2751"/>
      <c r="AK650" s="2751"/>
      <c r="AL650" s="2751"/>
      <c r="AN650" s="979"/>
    </row>
    <row r="651" spans="1:42" s="922" customFormat="1" ht="12.75" customHeight="1">
      <c r="B651" s="906"/>
      <c r="C651" s="965"/>
      <c r="D651" s="906"/>
      <c r="E651" s="2693"/>
      <c r="F651" s="2693"/>
      <c r="G651" s="2693"/>
      <c r="H651" s="2693"/>
      <c r="I651" s="2693"/>
      <c r="J651" s="2693"/>
      <c r="K651" s="2693"/>
      <c r="L651" s="2693"/>
      <c r="M651" s="2693"/>
      <c r="N651" s="2693"/>
      <c r="O651" s="2693"/>
      <c r="P651" s="2693"/>
      <c r="Q651" s="2693"/>
      <c r="R651" s="2693"/>
      <c r="S651" s="2693"/>
      <c r="T651" s="2693"/>
      <c r="U651" s="2693"/>
      <c r="V651" s="2693"/>
      <c r="W651" s="2693"/>
      <c r="X651" s="2693"/>
      <c r="Y651" s="2693"/>
      <c r="Z651" s="2693"/>
      <c r="AA651" s="2693"/>
      <c r="AB651" s="2693"/>
      <c r="AC651" s="2693"/>
      <c r="AD651" s="906"/>
      <c r="AE651" s="906"/>
      <c r="AF651" s="906"/>
      <c r="AG651" s="906"/>
      <c r="AH651" s="906"/>
      <c r="AI651" s="906"/>
      <c r="AJ651" s="906"/>
      <c r="AK651" s="906"/>
      <c r="AL651" s="906"/>
      <c r="AN651" s="979"/>
    </row>
    <row r="652" spans="1:42" s="922" customFormat="1" ht="15" customHeight="1">
      <c r="B652" s="906"/>
      <c r="C652" s="965"/>
      <c r="D652" s="1085"/>
      <c r="E652" s="2693"/>
      <c r="F652" s="2693"/>
      <c r="G652" s="2693"/>
      <c r="H652" s="2693"/>
      <c r="I652" s="2693"/>
      <c r="J652" s="2693"/>
      <c r="K652" s="2693"/>
      <c r="L652" s="2693"/>
      <c r="M652" s="2693"/>
      <c r="N652" s="2693"/>
      <c r="O652" s="2693"/>
      <c r="P652" s="2693"/>
      <c r="Q652" s="2693"/>
      <c r="R652" s="2693"/>
      <c r="S652" s="2693"/>
      <c r="T652" s="2693"/>
      <c r="U652" s="2693"/>
      <c r="V652" s="2693"/>
      <c r="W652" s="2693"/>
      <c r="X652" s="2693"/>
      <c r="Y652" s="2693"/>
      <c r="Z652" s="2693"/>
      <c r="AA652" s="2693"/>
      <c r="AB652" s="2693"/>
      <c r="AC652" s="2693"/>
      <c r="AD652" s="906"/>
      <c r="AE652" s="906"/>
      <c r="AF652" s="906"/>
      <c r="AG652" s="906"/>
      <c r="AH652" s="906"/>
      <c r="AI652" s="906"/>
      <c r="AJ652" s="906"/>
      <c r="AK652" s="906"/>
      <c r="AL652" s="906"/>
      <c r="AN652" s="979"/>
    </row>
    <row r="653" spans="1:42" s="981" customFormat="1" ht="12.75" customHeight="1">
      <c r="A653" s="922"/>
      <c r="B653" s="906"/>
      <c r="C653" s="965"/>
      <c r="D653" s="906"/>
      <c r="E653" s="1492"/>
      <c r="F653" s="1492"/>
      <c r="G653" s="1492"/>
      <c r="H653" s="1492"/>
      <c r="I653" s="1492"/>
      <c r="J653" s="1492"/>
      <c r="K653" s="1492"/>
      <c r="L653" s="1492"/>
      <c r="M653" s="1492"/>
      <c r="N653" s="1492"/>
      <c r="O653" s="1492"/>
      <c r="P653" s="1492"/>
      <c r="Q653" s="1492"/>
      <c r="R653" s="1492"/>
      <c r="S653" s="1492"/>
      <c r="T653" s="1492"/>
      <c r="U653" s="1492"/>
      <c r="V653" s="1492"/>
      <c r="W653" s="1492"/>
      <c r="X653" s="1492"/>
      <c r="Y653" s="1492"/>
      <c r="Z653" s="1492"/>
      <c r="AA653" s="1492"/>
      <c r="AB653" s="1492"/>
      <c r="AC653" s="906"/>
      <c r="AD653" s="906"/>
      <c r="AE653" s="906"/>
      <c r="AF653" s="909"/>
      <c r="AG653" s="909"/>
      <c r="AH653" s="909"/>
      <c r="AI653" s="909"/>
      <c r="AJ653" s="909"/>
      <c r="AK653" s="909"/>
      <c r="AL653" s="909"/>
      <c r="AM653" s="922"/>
      <c r="AN653" s="980"/>
    </row>
    <row r="654" spans="1:42" s="922" customFormat="1" ht="12.75" customHeight="1">
      <c r="B654" s="906"/>
      <c r="C654" s="965"/>
      <c r="D654" s="1085" t="s">
        <v>279</v>
      </c>
      <c r="E654" s="2693" t="s">
        <v>1591</v>
      </c>
      <c r="F654" s="2693"/>
      <c r="G654" s="2693"/>
      <c r="H654" s="2693"/>
      <c r="I654" s="2693"/>
      <c r="J654" s="2693"/>
      <c r="K654" s="2693"/>
      <c r="L654" s="2693"/>
      <c r="M654" s="2693"/>
      <c r="N654" s="2693"/>
      <c r="O654" s="2693"/>
      <c r="P654" s="2693"/>
      <c r="Q654" s="2693"/>
      <c r="R654" s="2693"/>
      <c r="S654" s="2693"/>
      <c r="T654" s="2693"/>
      <c r="U654" s="2693"/>
      <c r="V654" s="2693"/>
      <c r="W654" s="2693"/>
      <c r="X654" s="2693"/>
      <c r="Y654" s="2693"/>
      <c r="Z654" s="2693"/>
      <c r="AA654" s="2693"/>
      <c r="AB654" s="2693"/>
      <c r="AC654" s="2693"/>
      <c r="AD654" s="906"/>
      <c r="AE654" s="906"/>
      <c r="AF654" s="2751" t="s">
        <v>1523</v>
      </c>
      <c r="AG654" s="2751"/>
      <c r="AH654" s="2751"/>
      <c r="AI654" s="2751"/>
      <c r="AJ654" s="2751"/>
      <c r="AK654" s="2751"/>
      <c r="AL654" s="2751"/>
      <c r="AN654" s="979"/>
    </row>
    <row r="655" spans="1:42" s="922" customFormat="1" ht="12.75" customHeight="1">
      <c r="A655" s="1039"/>
      <c r="B655" s="1002"/>
      <c r="C655" s="1477"/>
      <c r="D655" s="906"/>
      <c r="E655" s="2693"/>
      <c r="F655" s="2693"/>
      <c r="G655" s="2693"/>
      <c r="H655" s="2693"/>
      <c r="I655" s="2693"/>
      <c r="J655" s="2693"/>
      <c r="K655" s="2693"/>
      <c r="L655" s="2693"/>
      <c r="M655" s="2693"/>
      <c r="N655" s="2693"/>
      <c r="O655" s="2693"/>
      <c r="P655" s="2693"/>
      <c r="Q655" s="2693"/>
      <c r="R655" s="2693"/>
      <c r="S655" s="2693"/>
      <c r="T655" s="2693"/>
      <c r="U655" s="2693"/>
      <c r="V655" s="2693"/>
      <c r="W655" s="2693"/>
      <c r="X655" s="2693"/>
      <c r="Y655" s="2693"/>
      <c r="Z655" s="2693"/>
      <c r="AA655" s="2693"/>
      <c r="AB655" s="2693"/>
      <c r="AC655" s="2693"/>
      <c r="AD655" s="906"/>
      <c r="AE655" s="2751"/>
      <c r="AF655" s="2751"/>
      <c r="AG655" s="2751"/>
      <c r="AH655" s="2751"/>
      <c r="AI655" s="2751"/>
      <c r="AJ655" s="2751"/>
      <c r="AK655" s="2751"/>
      <c r="AL655" s="1436"/>
      <c r="AM655" s="1005"/>
      <c r="AN655" s="979"/>
      <c r="AO655" s="922" t="s">
        <v>600</v>
      </c>
      <c r="AP655" s="1099">
        <v>0</v>
      </c>
    </row>
    <row r="656" spans="1:42" s="922" customFormat="1" ht="12.75" customHeight="1">
      <c r="A656" s="1105"/>
      <c r="B656" s="906"/>
      <c r="C656" s="906"/>
      <c r="D656" s="1085"/>
      <c r="E656" s="2693"/>
      <c r="F656" s="2693"/>
      <c r="G656" s="2693"/>
      <c r="H656" s="2693"/>
      <c r="I656" s="2693"/>
      <c r="J656" s="2693"/>
      <c r="K656" s="2693"/>
      <c r="L656" s="2693"/>
      <c r="M656" s="2693"/>
      <c r="N656" s="2693"/>
      <c r="O656" s="2693"/>
      <c r="P656" s="2693"/>
      <c r="Q656" s="2693"/>
      <c r="R656" s="2693"/>
      <c r="S656" s="2693"/>
      <c r="T656" s="2693"/>
      <c r="U656" s="2693"/>
      <c r="V656" s="2693"/>
      <c r="W656" s="2693"/>
      <c r="X656" s="2693"/>
      <c r="Y656" s="2693"/>
      <c r="Z656" s="2693"/>
      <c r="AA656" s="2693"/>
      <c r="AB656" s="2693"/>
      <c r="AC656" s="2693"/>
      <c r="AD656" s="906"/>
      <c r="AE656" s="906"/>
      <c r="AF656" s="906"/>
      <c r="AG656" s="985"/>
      <c r="AH656" s="985"/>
      <c r="AI656" s="985"/>
      <c r="AJ656" s="985"/>
      <c r="AK656" s="985"/>
      <c r="AL656" s="985"/>
      <c r="AM656" s="1005"/>
      <c r="AN656" s="979"/>
      <c r="AO656" s="1097" t="s">
        <v>697</v>
      </c>
      <c r="AP656" s="922">
        <v>3</v>
      </c>
    </row>
    <row r="657" spans="1:42" s="922" customFormat="1" ht="12.75" customHeight="1">
      <c r="A657" s="1039"/>
      <c r="B657" s="1002"/>
      <c r="C657" s="1477"/>
      <c r="D657" s="1085"/>
      <c r="E657" s="948"/>
      <c r="F657" s="948"/>
      <c r="G657" s="948"/>
      <c r="H657" s="948"/>
      <c r="I657" s="948"/>
      <c r="J657" s="948"/>
      <c r="K657" s="948"/>
      <c r="L657" s="948"/>
      <c r="M657" s="948"/>
      <c r="N657" s="948"/>
      <c r="O657" s="948"/>
      <c r="P657" s="948"/>
      <c r="Q657" s="948"/>
      <c r="R657" s="948"/>
      <c r="S657" s="948"/>
      <c r="T657" s="948"/>
      <c r="U657" s="948"/>
      <c r="V657" s="948"/>
      <c r="W657" s="948"/>
      <c r="X657" s="948"/>
      <c r="Y657" s="948"/>
      <c r="Z657" s="948"/>
      <c r="AA657" s="948"/>
      <c r="AB657" s="948"/>
      <c r="AC657" s="906"/>
      <c r="AD657" s="906"/>
      <c r="AE657" s="985"/>
      <c r="AF657" s="906"/>
      <c r="AG657" s="906"/>
      <c r="AH657" s="906"/>
      <c r="AI657" s="906"/>
      <c r="AJ657" s="906"/>
      <c r="AK657" s="906"/>
      <c r="AL657" s="906"/>
      <c r="AN657" s="979"/>
      <c r="AO657" s="1097" t="s">
        <v>518</v>
      </c>
      <c r="AP657" s="922">
        <v>2</v>
      </c>
    </row>
    <row r="658" spans="1:42" s="922" customFormat="1" ht="12.75" customHeight="1">
      <c r="A658" s="1094"/>
      <c r="B658" s="1002"/>
      <c r="C658" s="1493"/>
      <c r="D658" s="1085" t="s">
        <v>1568</v>
      </c>
      <c r="E658" s="2693" t="s">
        <v>1592</v>
      </c>
      <c r="F658" s="2693"/>
      <c r="G658" s="2693"/>
      <c r="H658" s="2693"/>
      <c r="I658" s="2693"/>
      <c r="J658" s="2693"/>
      <c r="K658" s="2693"/>
      <c r="L658" s="2693"/>
      <c r="M658" s="2693"/>
      <c r="N658" s="2693"/>
      <c r="O658" s="2693"/>
      <c r="P658" s="2693"/>
      <c r="Q658" s="2693"/>
      <c r="R658" s="2693"/>
      <c r="S658" s="2693"/>
      <c r="T658" s="2693"/>
      <c r="U658" s="2693"/>
      <c r="V658" s="2693"/>
      <c r="W658" s="2693"/>
      <c r="X658" s="2693"/>
      <c r="Y658" s="2693"/>
      <c r="Z658" s="2693"/>
      <c r="AA658" s="2693"/>
      <c r="AB658" s="2693"/>
      <c r="AC658" s="2693"/>
      <c r="AD658" s="906"/>
      <c r="AE658" s="906"/>
      <c r="AF658" s="2751" t="s">
        <v>1570</v>
      </c>
      <c r="AG658" s="2751"/>
      <c r="AH658" s="2751"/>
      <c r="AI658" s="2751"/>
      <c r="AJ658" s="2751"/>
      <c r="AK658" s="2751"/>
      <c r="AL658" s="2751"/>
      <c r="AN658" s="979"/>
    </row>
    <row r="659" spans="1:42" s="922" customFormat="1" ht="12.75" customHeight="1">
      <c r="A659" s="1094"/>
      <c r="B659" s="1002"/>
      <c r="C659" s="1493"/>
      <c r="D659" s="1085"/>
      <c r="E659" s="2693"/>
      <c r="F659" s="2693"/>
      <c r="G659" s="2693"/>
      <c r="H659" s="2693"/>
      <c r="I659" s="2693"/>
      <c r="J659" s="2693"/>
      <c r="K659" s="2693"/>
      <c r="L659" s="2693"/>
      <c r="M659" s="2693"/>
      <c r="N659" s="2693"/>
      <c r="O659" s="2693"/>
      <c r="P659" s="2693"/>
      <c r="Q659" s="2693"/>
      <c r="R659" s="2693"/>
      <c r="S659" s="2693"/>
      <c r="T659" s="2693"/>
      <c r="U659" s="2693"/>
      <c r="V659" s="2693"/>
      <c r="W659" s="2693"/>
      <c r="X659" s="2693"/>
      <c r="Y659" s="2693"/>
      <c r="Z659" s="2693"/>
      <c r="AA659" s="2693"/>
      <c r="AB659" s="2693"/>
      <c r="AC659" s="2693"/>
      <c r="AD659" s="906"/>
      <c r="AE659" s="1436"/>
      <c r="AF659" s="1436"/>
      <c r="AG659" s="1436"/>
      <c r="AH659" s="1436"/>
      <c r="AI659" s="1436"/>
      <c r="AJ659" s="1436"/>
      <c r="AK659" s="1436"/>
      <c r="AL659" s="1436"/>
      <c r="AM659" s="1044"/>
      <c r="AN659" s="979"/>
    </row>
    <row r="660" spans="1:42" s="922" customFormat="1" ht="12.75" customHeight="1">
      <c r="A660" s="1094"/>
      <c r="B660" s="1002"/>
      <c r="C660" s="1493"/>
      <c r="D660" s="1085"/>
      <c r="E660" s="2693"/>
      <c r="F660" s="2693"/>
      <c r="G660" s="2693"/>
      <c r="H660" s="2693"/>
      <c r="I660" s="2693"/>
      <c r="J660" s="2693"/>
      <c r="K660" s="2693"/>
      <c r="L660" s="2693"/>
      <c r="M660" s="2693"/>
      <c r="N660" s="2693"/>
      <c r="O660" s="2693"/>
      <c r="P660" s="2693"/>
      <c r="Q660" s="2693"/>
      <c r="R660" s="2693"/>
      <c r="S660" s="2693"/>
      <c r="T660" s="2693"/>
      <c r="U660" s="2693"/>
      <c r="V660" s="2693"/>
      <c r="W660" s="2693"/>
      <c r="X660" s="2693"/>
      <c r="Y660" s="2693"/>
      <c r="Z660" s="2693"/>
      <c r="AA660" s="2693"/>
      <c r="AB660" s="2693"/>
      <c r="AC660" s="2693"/>
      <c r="AD660" s="906"/>
      <c r="AE660" s="1436"/>
      <c r="AF660" s="1436"/>
      <c r="AG660" s="1436"/>
      <c r="AH660" s="1436"/>
      <c r="AI660" s="1436"/>
      <c r="AJ660" s="1436"/>
      <c r="AK660" s="1436"/>
      <c r="AL660" s="1436"/>
      <c r="AM660" s="1044"/>
      <c r="AN660" s="979"/>
    </row>
    <row r="661" spans="1:42" s="922" customFormat="1" ht="12.75" customHeight="1">
      <c r="A661" s="1039"/>
      <c r="B661" s="985"/>
      <c r="C661" s="1474"/>
      <c r="D661" s="1085"/>
      <c r="E661" s="1057"/>
      <c r="F661" s="1057"/>
      <c r="G661" s="1057"/>
      <c r="H661" s="1057"/>
      <c r="I661" s="1057"/>
      <c r="J661" s="1057"/>
      <c r="K661" s="1057"/>
      <c r="L661" s="1057"/>
      <c r="M661" s="1057"/>
      <c r="N661" s="1057"/>
      <c r="O661" s="1057"/>
      <c r="P661" s="1057"/>
      <c r="Q661" s="1057"/>
      <c r="R661" s="1057"/>
      <c r="S661" s="1057"/>
      <c r="T661" s="1057"/>
      <c r="U661" s="1057"/>
      <c r="V661" s="1057"/>
      <c r="W661" s="1057"/>
      <c r="X661" s="1057"/>
      <c r="Y661" s="1057"/>
      <c r="Z661" s="1057"/>
      <c r="AA661" s="1057"/>
      <c r="AB661" s="1057"/>
      <c r="AC661" s="911"/>
      <c r="AD661" s="911"/>
      <c r="AE661" s="906"/>
      <c r="AF661" s="906"/>
      <c r="AG661" s="906"/>
      <c r="AH661" s="906"/>
      <c r="AI661" s="906"/>
      <c r="AJ661" s="906"/>
      <c r="AK661" s="906"/>
      <c r="AL661" s="1436"/>
      <c r="AM661" s="1044"/>
      <c r="AN661" s="979"/>
    </row>
    <row r="662" spans="1:42" s="922" customFormat="1" ht="12.75" customHeight="1">
      <c r="A662" s="1039"/>
      <c r="B662" s="1002"/>
      <c r="C662" s="1477"/>
      <c r="D662" s="1085" t="s">
        <v>1569</v>
      </c>
      <c r="E662" s="2693" t="s">
        <v>1593</v>
      </c>
      <c r="F662" s="2693"/>
      <c r="G662" s="2693"/>
      <c r="H662" s="2693"/>
      <c r="I662" s="2693"/>
      <c r="J662" s="2693"/>
      <c r="K662" s="2693"/>
      <c r="L662" s="2693"/>
      <c r="M662" s="2693"/>
      <c r="N662" s="2693"/>
      <c r="O662" s="2693"/>
      <c r="P662" s="2693"/>
      <c r="Q662" s="2693"/>
      <c r="R662" s="2693"/>
      <c r="S662" s="2693"/>
      <c r="T662" s="2693"/>
      <c r="U662" s="2693"/>
      <c r="V662" s="2693"/>
      <c r="W662" s="2693"/>
      <c r="X662" s="2693"/>
      <c r="Y662" s="2693"/>
      <c r="Z662" s="2693"/>
      <c r="AA662" s="2693"/>
      <c r="AB662" s="2693"/>
      <c r="AC662" s="2693"/>
      <c r="AD662" s="906"/>
      <c r="AE662" s="906"/>
      <c r="AF662" s="2751" t="s">
        <v>1523</v>
      </c>
      <c r="AG662" s="2751"/>
      <c r="AH662" s="2751"/>
      <c r="AI662" s="2751"/>
      <c r="AJ662" s="2751"/>
      <c r="AK662" s="2751"/>
      <c r="AL662" s="2751"/>
      <c r="AM662" s="1044"/>
      <c r="AN662" s="979"/>
    </row>
    <row r="663" spans="1:42" s="922" customFormat="1" ht="12.75" customHeight="1">
      <c r="A663" s="1039"/>
      <c r="B663" s="1002"/>
      <c r="C663" s="1477"/>
      <c r="D663" s="1085"/>
      <c r="E663" s="2693"/>
      <c r="F663" s="2693"/>
      <c r="G663" s="2693"/>
      <c r="H663" s="2693"/>
      <c r="I663" s="2693"/>
      <c r="J663" s="2693"/>
      <c r="K663" s="2693"/>
      <c r="L663" s="2693"/>
      <c r="M663" s="2693"/>
      <c r="N663" s="2693"/>
      <c r="O663" s="2693"/>
      <c r="P663" s="2693"/>
      <c r="Q663" s="2693"/>
      <c r="R663" s="2693"/>
      <c r="S663" s="2693"/>
      <c r="T663" s="2693"/>
      <c r="U663" s="2693"/>
      <c r="V663" s="2693"/>
      <c r="W663" s="2693"/>
      <c r="X663" s="2693"/>
      <c r="Y663" s="2693"/>
      <c r="Z663" s="2693"/>
      <c r="AA663" s="2693"/>
      <c r="AB663" s="2693"/>
      <c r="AC663" s="2693"/>
      <c r="AD663" s="906"/>
      <c r="AE663" s="985"/>
      <c r="AF663" s="985"/>
      <c r="AG663" s="906"/>
      <c r="AH663" s="985"/>
      <c r="AI663" s="985"/>
      <c r="AJ663" s="985"/>
      <c r="AK663" s="985"/>
      <c r="AL663" s="985"/>
      <c r="AM663" s="1044"/>
      <c r="AN663" s="979"/>
    </row>
    <row r="664" spans="1:42" s="922" customFormat="1" ht="12.75" customHeight="1">
      <c r="A664" s="1039"/>
      <c r="B664" s="1002"/>
      <c r="C664" s="1477"/>
      <c r="D664" s="1085"/>
      <c r="E664" s="2693"/>
      <c r="F664" s="2693"/>
      <c r="G664" s="2693"/>
      <c r="H664" s="2693"/>
      <c r="I664" s="2693"/>
      <c r="J664" s="2693"/>
      <c r="K664" s="2693"/>
      <c r="L664" s="2693"/>
      <c r="M664" s="2693"/>
      <c r="N664" s="2693"/>
      <c r="O664" s="2693"/>
      <c r="P664" s="2693"/>
      <c r="Q664" s="2693"/>
      <c r="R664" s="2693"/>
      <c r="S664" s="2693"/>
      <c r="T664" s="2693"/>
      <c r="U664" s="2693"/>
      <c r="V664" s="2693"/>
      <c r="W664" s="2693"/>
      <c r="X664" s="2693"/>
      <c r="Y664" s="2693"/>
      <c r="Z664" s="2693"/>
      <c r="AA664" s="2693"/>
      <c r="AB664" s="2693"/>
      <c r="AC664" s="2693"/>
      <c r="AD664" s="906"/>
      <c r="AE664" s="985"/>
      <c r="AF664" s="985"/>
      <c r="AG664" s="906"/>
      <c r="AH664" s="985"/>
      <c r="AI664" s="985"/>
      <c r="AJ664" s="985"/>
      <c r="AK664" s="985"/>
      <c r="AL664" s="985"/>
      <c r="AM664" s="1044"/>
      <c r="AN664" s="979"/>
    </row>
    <row r="665" spans="1:42" s="981" customFormat="1" ht="12.75" customHeight="1">
      <c r="A665" s="1039"/>
      <c r="B665" s="906"/>
      <c r="C665" s="1494"/>
      <c r="D665" s="1085"/>
      <c r="E665" s="906"/>
      <c r="F665" s="906"/>
      <c r="G665" s="906"/>
      <c r="H665" s="906"/>
      <c r="I665" s="906"/>
      <c r="J665" s="906"/>
      <c r="K665" s="906"/>
      <c r="L665" s="906"/>
      <c r="M665" s="906"/>
      <c r="N665" s="906"/>
      <c r="O665" s="906"/>
      <c r="P665" s="906"/>
      <c r="Q665" s="906"/>
      <c r="R665" s="906"/>
      <c r="S665" s="906"/>
      <c r="T665" s="906"/>
      <c r="U665" s="906"/>
      <c r="V665" s="906"/>
      <c r="W665" s="906"/>
      <c r="X665" s="906"/>
      <c r="Y665" s="906"/>
      <c r="Z665" s="906"/>
      <c r="AA665" s="906"/>
      <c r="AB665" s="906"/>
      <c r="AC665" s="906"/>
      <c r="AD665" s="906"/>
      <c r="AE665" s="906"/>
      <c r="AF665" s="909"/>
      <c r="AG665" s="909"/>
      <c r="AH665" s="909"/>
      <c r="AI665" s="909"/>
      <c r="AJ665" s="909"/>
      <c r="AK665" s="909"/>
      <c r="AL665" s="909"/>
      <c r="AM665" s="1044"/>
      <c r="AN665" s="980"/>
    </row>
    <row r="666" spans="1:42" s="922" customFormat="1" ht="12.75" customHeight="1">
      <c r="A666" s="1105"/>
      <c r="B666" s="985"/>
      <c r="C666" s="1474"/>
      <c r="D666" s="1085" t="s">
        <v>1580</v>
      </c>
      <c r="E666" s="2693" t="s">
        <v>1594</v>
      </c>
      <c r="F666" s="2693"/>
      <c r="G666" s="2693"/>
      <c r="H666" s="2693"/>
      <c r="I666" s="2693"/>
      <c r="J666" s="2693"/>
      <c r="K666" s="2693"/>
      <c r="L666" s="2693"/>
      <c r="M666" s="2693"/>
      <c r="N666" s="2693"/>
      <c r="O666" s="2693"/>
      <c r="P666" s="2693"/>
      <c r="Q666" s="2693"/>
      <c r="R666" s="2693"/>
      <c r="S666" s="2693"/>
      <c r="T666" s="2693"/>
      <c r="U666" s="2693"/>
      <c r="V666" s="2693"/>
      <c r="W666" s="2693"/>
      <c r="X666" s="2693"/>
      <c r="Y666" s="2693"/>
      <c r="Z666" s="2693"/>
      <c r="AA666" s="2693"/>
      <c r="AB666" s="2693"/>
      <c r="AC666" s="2693"/>
      <c r="AD666" s="906"/>
      <c r="AE666" s="906"/>
      <c r="AF666" s="2751" t="s">
        <v>1579</v>
      </c>
      <c r="AG666" s="2751"/>
      <c r="AH666" s="2751"/>
      <c r="AI666" s="2751"/>
      <c r="AJ666" s="2751"/>
      <c r="AK666" s="2751"/>
      <c r="AL666" s="2751"/>
      <c r="AM666" s="1044"/>
      <c r="AN666" s="979"/>
    </row>
    <row r="667" spans="1:42" s="922" customFormat="1" ht="12.75" customHeight="1">
      <c r="A667" s="1439"/>
      <c r="B667" s="985"/>
      <c r="C667" s="1474"/>
      <c r="D667" s="1085"/>
      <c r="E667" s="2693"/>
      <c r="F667" s="2693"/>
      <c r="G667" s="2693"/>
      <c r="H667" s="2693"/>
      <c r="I667" s="2693"/>
      <c r="J667" s="2693"/>
      <c r="K667" s="2693"/>
      <c r="L667" s="2693"/>
      <c r="M667" s="2693"/>
      <c r="N667" s="2693"/>
      <c r="O667" s="2693"/>
      <c r="P667" s="2693"/>
      <c r="Q667" s="2693"/>
      <c r="R667" s="2693"/>
      <c r="S667" s="2693"/>
      <c r="T667" s="2693"/>
      <c r="U667" s="2693"/>
      <c r="V667" s="2693"/>
      <c r="W667" s="2693"/>
      <c r="X667" s="2693"/>
      <c r="Y667" s="2693"/>
      <c r="Z667" s="2693"/>
      <c r="AA667" s="2693"/>
      <c r="AB667" s="2693"/>
      <c r="AC667" s="2693"/>
      <c r="AD667" s="906"/>
      <c r="AE667" s="906"/>
      <c r="AF667" s="1436"/>
      <c r="AG667" s="1436"/>
      <c r="AH667" s="1436"/>
      <c r="AI667" s="1436"/>
      <c r="AJ667" s="1436"/>
      <c r="AK667" s="1436"/>
      <c r="AL667" s="1436"/>
      <c r="AM667" s="1044"/>
      <c r="AN667" s="979"/>
    </row>
    <row r="668" spans="1:42" s="922" customFormat="1" ht="12.75" customHeight="1">
      <c r="A668" s="1105"/>
      <c r="B668" s="985"/>
      <c r="C668" s="1474"/>
      <c r="D668" s="1085"/>
      <c r="E668" s="2693"/>
      <c r="F668" s="2693"/>
      <c r="G668" s="2693"/>
      <c r="H668" s="2693"/>
      <c r="I668" s="2693"/>
      <c r="J668" s="2693"/>
      <c r="K668" s="2693"/>
      <c r="L668" s="2693"/>
      <c r="M668" s="2693"/>
      <c r="N668" s="2693"/>
      <c r="O668" s="2693"/>
      <c r="P668" s="2693"/>
      <c r="Q668" s="2693"/>
      <c r="R668" s="2693"/>
      <c r="S668" s="2693"/>
      <c r="T668" s="2693"/>
      <c r="U668" s="2693"/>
      <c r="V668" s="2693"/>
      <c r="W668" s="2693"/>
      <c r="X668" s="2693"/>
      <c r="Y668" s="2693"/>
      <c r="Z668" s="2693"/>
      <c r="AA668" s="2693"/>
      <c r="AB668" s="2693"/>
      <c r="AC668" s="2693"/>
      <c r="AD668" s="906"/>
      <c r="AE668" s="1436"/>
      <c r="AF668" s="1436"/>
      <c r="AG668" s="1436"/>
      <c r="AH668" s="1436"/>
      <c r="AI668" s="1436"/>
      <c r="AJ668" s="1436"/>
      <c r="AK668" s="1436"/>
      <c r="AL668" s="1436"/>
      <c r="AM668" s="1044"/>
      <c r="AN668" s="979"/>
    </row>
    <row r="669" spans="1:42" s="922" customFormat="1" ht="12.75" customHeight="1">
      <c r="A669" s="1105"/>
      <c r="B669" s="985"/>
      <c r="C669" s="1474"/>
      <c r="D669" s="1085"/>
      <c r="E669" s="1057"/>
      <c r="F669" s="1057"/>
      <c r="G669" s="1057"/>
      <c r="H669" s="1057"/>
      <c r="I669" s="1057"/>
      <c r="J669" s="1057"/>
      <c r="K669" s="1057"/>
      <c r="L669" s="1057"/>
      <c r="M669" s="1057"/>
      <c r="N669" s="1057"/>
      <c r="O669" s="1057"/>
      <c r="P669" s="1057"/>
      <c r="Q669" s="1057"/>
      <c r="R669" s="1057"/>
      <c r="S669" s="1057"/>
      <c r="T669" s="1057"/>
      <c r="U669" s="1057"/>
      <c r="V669" s="1057"/>
      <c r="W669" s="1057"/>
      <c r="X669" s="1057"/>
      <c r="Y669" s="1057"/>
      <c r="Z669" s="1057"/>
      <c r="AA669" s="1057"/>
      <c r="AB669" s="1057"/>
      <c r="AC669" s="1057"/>
      <c r="AD669" s="906"/>
      <c r="AE669" s="1436"/>
      <c r="AF669" s="906"/>
      <c r="AG669" s="906"/>
      <c r="AH669" s="906"/>
      <c r="AI669" s="906"/>
      <c r="AJ669" s="906"/>
      <c r="AK669" s="906"/>
      <c r="AL669" s="906"/>
      <c r="AM669" s="1044"/>
      <c r="AN669" s="979"/>
      <c r="AO669" s="922" t="s">
        <v>600</v>
      </c>
      <c r="AP669" s="1110">
        <v>0</v>
      </c>
    </row>
    <row r="670" spans="1:42" s="922" customFormat="1" ht="12.75" customHeight="1">
      <c r="A670" s="1105"/>
      <c r="B670" s="985"/>
      <c r="C670" s="1474"/>
      <c r="D670" s="1085" t="s">
        <v>1582</v>
      </c>
      <c r="E670" s="2693" t="s">
        <v>1595</v>
      </c>
      <c r="F670" s="2693"/>
      <c r="G670" s="2693"/>
      <c r="H670" s="2693"/>
      <c r="I670" s="2693"/>
      <c r="J670" s="2693"/>
      <c r="K670" s="2693"/>
      <c r="L670" s="2693"/>
      <c r="M670" s="2693"/>
      <c r="N670" s="2693"/>
      <c r="O670" s="2693"/>
      <c r="P670" s="2693"/>
      <c r="Q670" s="2693"/>
      <c r="R670" s="2693"/>
      <c r="S670" s="2693"/>
      <c r="T670" s="2693"/>
      <c r="U670" s="2693"/>
      <c r="V670" s="2693"/>
      <c r="W670" s="2693"/>
      <c r="X670" s="2693"/>
      <c r="Y670" s="2693"/>
      <c r="Z670" s="2693"/>
      <c r="AA670" s="2693"/>
      <c r="AB670" s="2693"/>
      <c r="AC670" s="2693"/>
      <c r="AD670" s="906"/>
      <c r="AE670" s="906"/>
      <c r="AF670" s="2751" t="s">
        <v>1596</v>
      </c>
      <c r="AG670" s="2751"/>
      <c r="AH670" s="2751"/>
      <c r="AI670" s="2751"/>
      <c r="AJ670" s="2751"/>
      <c r="AK670" s="2751"/>
      <c r="AL670" s="2751"/>
      <c r="AM670" s="1044"/>
      <c r="AN670" s="979"/>
      <c r="AO670" s="1097" t="s">
        <v>697</v>
      </c>
      <c r="AP670" s="922">
        <v>3</v>
      </c>
    </row>
    <row r="671" spans="1:42" s="922" customFormat="1" ht="12.75" customHeight="1">
      <c r="A671" s="1439"/>
      <c r="B671" s="985"/>
      <c r="C671" s="1474"/>
      <c r="D671" s="1085"/>
      <c r="E671" s="2693"/>
      <c r="F671" s="2693"/>
      <c r="G671" s="2693"/>
      <c r="H671" s="2693"/>
      <c r="I671" s="2693"/>
      <c r="J671" s="2693"/>
      <c r="K671" s="2693"/>
      <c r="L671" s="2693"/>
      <c r="M671" s="2693"/>
      <c r="N671" s="2693"/>
      <c r="O671" s="2693"/>
      <c r="P671" s="2693"/>
      <c r="Q671" s="2693"/>
      <c r="R671" s="2693"/>
      <c r="S671" s="2693"/>
      <c r="T671" s="2693"/>
      <c r="U671" s="2693"/>
      <c r="V671" s="2693"/>
      <c r="W671" s="2693"/>
      <c r="X671" s="2693"/>
      <c r="Y671" s="2693"/>
      <c r="Z671" s="2693"/>
      <c r="AA671" s="2693"/>
      <c r="AB671" s="2693"/>
      <c r="AC671" s="2693"/>
      <c r="AD671" s="906"/>
      <c r="AE671" s="906"/>
      <c r="AF671" s="1436"/>
      <c r="AG671" s="1436"/>
      <c r="AH671" s="1436"/>
      <c r="AI671" s="1436"/>
      <c r="AJ671" s="1436"/>
      <c r="AK671" s="1436"/>
      <c r="AL671" s="1436"/>
      <c r="AM671" s="1044"/>
      <c r="AN671" s="979"/>
      <c r="AO671" s="1097" t="s">
        <v>518</v>
      </c>
      <c r="AP671" s="922">
        <v>2</v>
      </c>
    </row>
    <row r="672" spans="1:42" s="922" customFormat="1" ht="12.75" customHeight="1">
      <c r="A672" s="1105"/>
      <c r="B672" s="985"/>
      <c r="C672" s="1474"/>
      <c r="D672" s="1085"/>
      <c r="E672" s="2693"/>
      <c r="F672" s="2693"/>
      <c r="G672" s="2693"/>
      <c r="H672" s="2693"/>
      <c r="I672" s="2693"/>
      <c r="J672" s="2693"/>
      <c r="K672" s="2693"/>
      <c r="L672" s="2693"/>
      <c r="M672" s="2693"/>
      <c r="N672" s="2693"/>
      <c r="O672" s="2693"/>
      <c r="P672" s="2693"/>
      <c r="Q672" s="2693"/>
      <c r="R672" s="2693"/>
      <c r="S672" s="2693"/>
      <c r="T672" s="2693"/>
      <c r="U672" s="2693"/>
      <c r="V672" s="2693"/>
      <c r="W672" s="2693"/>
      <c r="X672" s="2693"/>
      <c r="Y672" s="2693"/>
      <c r="Z672" s="2693"/>
      <c r="AA672" s="2693"/>
      <c r="AB672" s="2693"/>
      <c r="AC672" s="2693"/>
      <c r="AD672" s="906"/>
      <c r="AE672" s="1436"/>
      <c r="AF672" s="1436"/>
      <c r="AG672" s="1436"/>
      <c r="AH672" s="1436"/>
      <c r="AI672" s="1436"/>
      <c r="AJ672" s="1436"/>
      <c r="AK672" s="1436"/>
      <c r="AL672" s="1436"/>
      <c r="AM672" s="1044"/>
      <c r="AN672" s="979"/>
    </row>
    <row r="673" spans="1:42" s="922" customFormat="1" ht="12.75" customHeight="1">
      <c r="A673" s="1094"/>
      <c r="B673" s="1002"/>
      <c r="C673" s="1493"/>
      <c r="D673" s="1085"/>
      <c r="E673" s="1437"/>
      <c r="F673" s="1437"/>
      <c r="G673" s="1437"/>
      <c r="H673" s="1437"/>
      <c r="I673" s="1437"/>
      <c r="J673" s="1437"/>
      <c r="K673" s="1437"/>
      <c r="L673" s="1437"/>
      <c r="M673" s="1437"/>
      <c r="N673" s="1437"/>
      <c r="O673" s="1437"/>
      <c r="P673" s="1437"/>
      <c r="Q673" s="1437"/>
      <c r="R673" s="1437"/>
      <c r="S673" s="1437"/>
      <c r="T673" s="1437"/>
      <c r="U673" s="1437"/>
      <c r="V673" s="1437"/>
      <c r="W673" s="1437"/>
      <c r="X673" s="1437"/>
      <c r="Y673" s="1437"/>
      <c r="Z673" s="1437"/>
      <c r="AA673" s="1437"/>
      <c r="AB673" s="1437"/>
      <c r="AC673" s="1437"/>
      <c r="AD673" s="906"/>
      <c r="AE673" s="1436"/>
      <c r="AF673" s="1436"/>
      <c r="AG673" s="1436"/>
      <c r="AH673" s="1436"/>
      <c r="AI673" s="1436"/>
      <c r="AJ673" s="1436"/>
      <c r="AK673" s="1436"/>
      <c r="AL673" s="1436"/>
      <c r="AM673" s="1044"/>
      <c r="AN673" s="979"/>
    </row>
    <row r="674" spans="1:42" s="922" customFormat="1" ht="12.75" customHeight="1">
      <c r="A674" s="1105"/>
      <c r="B674" s="985"/>
      <c r="C674" s="1474"/>
      <c r="D674" s="1002" t="s">
        <v>1571</v>
      </c>
      <c r="E674" s="1480"/>
      <c r="F674" s="1480"/>
      <c r="G674" s="1480"/>
      <c r="H674" s="2692" t="s">
        <v>279</v>
      </c>
      <c r="I674" s="2692"/>
      <c r="J674" s="1014"/>
      <c r="K674" s="1014"/>
      <c r="L674" s="906"/>
      <c r="M674" s="906"/>
      <c r="N674" s="906"/>
      <c r="O674" s="906"/>
      <c r="P674" s="906"/>
      <c r="Q674" s="906"/>
      <c r="R674" s="906"/>
      <c r="S674" s="906"/>
      <c r="T674" s="906"/>
      <c r="U674" s="906"/>
      <c r="V674" s="906"/>
      <c r="W674" s="906"/>
      <c r="X674" s="906"/>
      <c r="Y674" s="906"/>
      <c r="Z674" s="906"/>
      <c r="AA674" s="906"/>
      <c r="AB674" s="906"/>
      <c r="AC674" s="906"/>
      <c r="AD674" s="906"/>
      <c r="AE674" s="906"/>
      <c r="AF674" s="906"/>
      <c r="AG674" s="906"/>
      <c r="AH674" s="906"/>
      <c r="AI674" s="906"/>
      <c r="AJ674" s="906"/>
      <c r="AK674" s="906"/>
      <c r="AL674" s="906"/>
      <c r="AN674" s="979"/>
    </row>
    <row r="675" spans="1:42" s="922" customFormat="1" ht="12.75" customHeight="1">
      <c r="A675" s="1105"/>
      <c r="B675" s="985"/>
      <c r="C675" s="1474"/>
      <c r="D675" s="1002"/>
      <c r="E675" s="1480"/>
      <c r="F675" s="1480"/>
      <c r="G675" s="1014"/>
      <c r="H675" s="1014"/>
      <c r="I675" s="1014"/>
      <c r="J675" s="1014"/>
      <c r="K675" s="1014"/>
      <c r="L675" s="1014"/>
      <c r="M675" s="1014"/>
      <c r="N675" s="1014"/>
      <c r="O675" s="1014"/>
      <c r="P675" s="1014"/>
      <c r="Q675" s="1014"/>
      <c r="R675" s="1014"/>
      <c r="S675" s="1014"/>
      <c r="T675" s="1014"/>
      <c r="U675" s="1014"/>
      <c r="V675" s="1014"/>
      <c r="W675" s="1014"/>
      <c r="X675" s="1014"/>
      <c r="Y675" s="1014"/>
      <c r="Z675" s="1480"/>
      <c r="AA675" s="1480"/>
      <c r="AB675" s="1480"/>
      <c r="AC675" s="1002"/>
      <c r="AD675" s="1002"/>
      <c r="AE675" s="1002"/>
      <c r="AF675" s="1002"/>
      <c r="AG675" s="1014"/>
      <c r="AH675" s="1014"/>
      <c r="AI675" s="1014"/>
      <c r="AJ675" s="1014"/>
      <c r="AK675" s="1014"/>
      <c r="AL675" s="1014"/>
      <c r="AM675" s="923"/>
      <c r="AN675" s="979"/>
    </row>
    <row r="676" spans="1:42" s="922" customFormat="1" ht="12.75" customHeight="1">
      <c r="A676" s="1111"/>
      <c r="B676" s="988"/>
      <c r="C676" s="1490"/>
      <c r="D676" s="998"/>
      <c r="E676" s="1485"/>
      <c r="F676" s="1087"/>
      <c r="G676" s="1087"/>
      <c r="H676" s="1087"/>
      <c r="I676" s="1087"/>
      <c r="J676" s="1087"/>
      <c r="K676" s="1087"/>
      <c r="L676" s="1087"/>
      <c r="M676" s="1087"/>
      <c r="N676" s="1087"/>
      <c r="O676" s="1087"/>
      <c r="P676" s="1087"/>
      <c r="Q676" s="1087"/>
      <c r="R676" s="1087"/>
      <c r="S676" s="1087"/>
      <c r="T676" s="1087"/>
      <c r="U676" s="1087"/>
      <c r="V676" s="1087"/>
      <c r="W676" s="1087"/>
      <c r="X676" s="1087"/>
      <c r="Y676" s="1485"/>
      <c r="Z676" s="1485"/>
      <c r="AA676" s="1485"/>
      <c r="AB676" s="998"/>
      <c r="AC676" s="998"/>
      <c r="AD676" s="998"/>
      <c r="AE676" s="998"/>
      <c r="AF676" s="998"/>
      <c r="AG676" s="998"/>
      <c r="AH676" s="998"/>
      <c r="AI676" s="938" t="s">
        <v>1597</v>
      </c>
      <c r="AJ676" s="2674">
        <f>VLOOKUP($H$674,$AO$622:$AP$629,2,FALSE)</f>
        <v>3</v>
      </c>
      <c r="AK676" s="2676"/>
      <c r="AL676" s="984"/>
      <c r="AM676" s="981"/>
      <c r="AN676" s="979"/>
    </row>
    <row r="677" spans="1:42" s="922" customFormat="1" ht="12.75" customHeight="1">
      <c r="A677" s="1105"/>
      <c r="B677" s="985"/>
      <c r="C677" s="1474"/>
      <c r="D677" s="1002"/>
      <c r="E677" s="1014"/>
      <c r="F677" s="1014"/>
      <c r="G677" s="1014"/>
      <c r="H677" s="1014"/>
      <c r="I677" s="1014"/>
      <c r="J677" s="1014"/>
      <c r="K677" s="1014"/>
      <c r="L677" s="1014"/>
      <c r="M677" s="1014"/>
      <c r="N677" s="1014"/>
      <c r="O677" s="1014"/>
      <c r="P677" s="1014"/>
      <c r="Q677" s="1014"/>
      <c r="R677" s="1014"/>
      <c r="S677" s="1014"/>
      <c r="T677" s="1014"/>
      <c r="U677" s="1014"/>
      <c r="V677" s="1014"/>
      <c r="W677" s="1014"/>
      <c r="X677" s="1014"/>
      <c r="Y677" s="1014"/>
      <c r="Z677" s="1014"/>
      <c r="AA677" s="1014"/>
      <c r="AB677" s="1014"/>
      <c r="AC677" s="1014"/>
      <c r="AD677" s="1438"/>
      <c r="AE677" s="985"/>
      <c r="AF677" s="985"/>
      <c r="AG677" s="985"/>
      <c r="AH677" s="985"/>
      <c r="AI677" s="985"/>
      <c r="AJ677" s="970"/>
      <c r="AK677" s="1002"/>
      <c r="AL677" s="1002"/>
      <c r="AM677" s="1039"/>
      <c r="AN677" s="979"/>
    </row>
    <row r="678" spans="1:42" s="922" customFormat="1" ht="12.75" customHeight="1">
      <c r="A678" s="1105"/>
      <c r="B678" s="906"/>
      <c r="C678" s="965" t="s">
        <v>2553</v>
      </c>
      <c r="D678" s="1495"/>
      <c r="E678" s="1014"/>
      <c r="F678" s="1014"/>
      <c r="G678" s="1014"/>
      <c r="H678" s="1014"/>
      <c r="I678" s="1014"/>
      <c r="J678" s="1014"/>
      <c r="K678" s="1014"/>
      <c r="L678" s="1014"/>
      <c r="M678" s="1014"/>
      <c r="N678" s="1014"/>
      <c r="O678" s="1014"/>
      <c r="P678" s="1014"/>
      <c r="Q678" s="1014"/>
      <c r="R678" s="1014"/>
      <c r="S678" s="1014"/>
      <c r="T678" s="1014"/>
      <c r="U678" s="1014"/>
      <c r="V678" s="1014"/>
      <c r="W678" s="1014"/>
      <c r="X678" s="1014"/>
      <c r="Y678" s="1014"/>
      <c r="Z678" s="1014"/>
      <c r="AA678" s="1014"/>
      <c r="AB678" s="1014"/>
      <c r="AC678" s="1014"/>
      <c r="AD678" s="1438"/>
      <c r="AE678" s="985"/>
      <c r="AF678" s="985"/>
      <c r="AG678" s="985"/>
      <c r="AH678" s="985"/>
      <c r="AI678" s="985"/>
      <c r="AJ678" s="970"/>
      <c r="AK678" s="1002"/>
      <c r="AL678" s="1002"/>
      <c r="AM678" s="1039"/>
      <c r="AN678" s="979"/>
    </row>
    <row r="679" spans="1:42" s="922" customFormat="1" ht="12.75" customHeight="1">
      <c r="A679" s="1105"/>
      <c r="B679" s="970"/>
      <c r="C679" s="1496"/>
      <c r="D679" s="1002"/>
      <c r="E679" s="1002"/>
      <c r="F679" s="1002"/>
      <c r="G679" s="985"/>
      <c r="H679" s="985"/>
      <c r="I679" s="985"/>
      <c r="J679" s="985"/>
      <c r="K679" s="985"/>
      <c r="L679" s="985"/>
      <c r="M679" s="985"/>
      <c r="N679" s="985"/>
      <c r="O679" s="985"/>
      <c r="P679" s="985"/>
      <c r="Q679" s="985"/>
      <c r="R679" s="985"/>
      <c r="S679" s="985"/>
      <c r="T679" s="985"/>
      <c r="U679" s="985"/>
      <c r="V679" s="985"/>
      <c r="W679" s="985"/>
      <c r="X679" s="985"/>
      <c r="Y679" s="985"/>
      <c r="Z679" s="985"/>
      <c r="AA679" s="985"/>
      <c r="AB679" s="985"/>
      <c r="AC679" s="985"/>
      <c r="AD679" s="985"/>
      <c r="AE679" s="985"/>
      <c r="AF679" s="985"/>
      <c r="AG679" s="985"/>
      <c r="AH679" s="985"/>
      <c r="AI679" s="985"/>
      <c r="AJ679" s="906"/>
      <c r="AK679" s="985"/>
      <c r="AL679" s="985"/>
      <c r="AM679" s="1005"/>
      <c r="AN679" s="979"/>
    </row>
    <row r="680" spans="1:42" s="981" customFormat="1" ht="12.75" customHeight="1">
      <c r="A680" s="1039"/>
      <c r="B680" s="906"/>
      <c r="C680" s="1474"/>
      <c r="D680" s="1085" t="s">
        <v>697</v>
      </c>
      <c r="E680" s="2693" t="s">
        <v>2551</v>
      </c>
      <c r="F680" s="2693"/>
      <c r="G680" s="2693"/>
      <c r="H680" s="2693"/>
      <c r="I680" s="2693"/>
      <c r="J680" s="2693"/>
      <c r="K680" s="2693"/>
      <c r="L680" s="2693"/>
      <c r="M680" s="2693"/>
      <c r="N680" s="2693"/>
      <c r="O680" s="2693"/>
      <c r="P680" s="2693"/>
      <c r="Q680" s="2693"/>
      <c r="R680" s="2693"/>
      <c r="S680" s="2693"/>
      <c r="T680" s="2693"/>
      <c r="U680" s="2693"/>
      <c r="V680" s="2693"/>
      <c r="W680" s="2693"/>
      <c r="X680" s="2693"/>
      <c r="Y680" s="2693"/>
      <c r="Z680" s="2693"/>
      <c r="AA680" s="2693"/>
      <c r="AB680" s="2693"/>
      <c r="AC680" s="906"/>
      <c r="AD680" s="906"/>
      <c r="AE680" s="909"/>
      <c r="AF680" s="2751" t="s">
        <v>1523</v>
      </c>
      <c r="AG680" s="2751"/>
      <c r="AH680" s="2751"/>
      <c r="AI680" s="2751"/>
      <c r="AJ680" s="2751"/>
      <c r="AK680" s="2751"/>
      <c r="AL680" s="2751"/>
      <c r="AM680" s="1005"/>
      <c r="AN680" s="980"/>
    </row>
    <row r="681" spans="1:42" s="981" customFormat="1" ht="12.75" customHeight="1">
      <c r="A681" s="1039"/>
      <c r="B681" s="1002"/>
      <c r="C681" s="1486"/>
      <c r="D681" s="1085"/>
      <c r="E681" s="2693"/>
      <c r="F681" s="2693"/>
      <c r="G681" s="2693"/>
      <c r="H681" s="2693"/>
      <c r="I681" s="2693"/>
      <c r="J681" s="2693"/>
      <c r="K681" s="2693"/>
      <c r="L681" s="2693"/>
      <c r="M681" s="2693"/>
      <c r="N681" s="2693"/>
      <c r="O681" s="2693"/>
      <c r="P681" s="2693"/>
      <c r="Q681" s="2693"/>
      <c r="R681" s="2693"/>
      <c r="S681" s="2693"/>
      <c r="T681" s="2693"/>
      <c r="U681" s="2693"/>
      <c r="V681" s="2693"/>
      <c r="W681" s="2693"/>
      <c r="X681" s="2693"/>
      <c r="Y681" s="2693"/>
      <c r="Z681" s="2693"/>
      <c r="AA681" s="2693"/>
      <c r="AB681" s="2693"/>
      <c r="AC681" s="906"/>
      <c r="AD681" s="906"/>
      <c r="AE681" s="1014"/>
      <c r="AF681" s="909"/>
      <c r="AG681" s="909"/>
      <c r="AH681" s="909"/>
      <c r="AI681" s="909"/>
      <c r="AJ681" s="909"/>
      <c r="AK681" s="909"/>
      <c r="AL681" s="909"/>
      <c r="AM681" s="1005"/>
      <c r="AN681" s="980"/>
      <c r="AO681" s="2791"/>
      <c r="AP681" s="2791"/>
    </row>
    <row r="682" spans="1:42" s="981" customFormat="1" ht="12.75" customHeight="1">
      <c r="A682" s="1039"/>
      <c r="B682" s="1002"/>
      <c r="C682" s="1486"/>
      <c r="D682" s="1085"/>
      <c r="E682" s="2693"/>
      <c r="F682" s="2693"/>
      <c r="G682" s="2693"/>
      <c r="H682" s="2693"/>
      <c r="I682" s="2693"/>
      <c r="J682" s="2693"/>
      <c r="K682" s="2693"/>
      <c r="L682" s="2693"/>
      <c r="M682" s="2693"/>
      <c r="N682" s="2693"/>
      <c r="O682" s="2693"/>
      <c r="P682" s="2693"/>
      <c r="Q682" s="2693"/>
      <c r="R682" s="2693"/>
      <c r="S682" s="2693"/>
      <c r="T682" s="2693"/>
      <c r="U682" s="2693"/>
      <c r="V682" s="2693"/>
      <c r="W682" s="2693"/>
      <c r="X682" s="2693"/>
      <c r="Y682" s="2693"/>
      <c r="Z682" s="2693"/>
      <c r="AA682" s="2693"/>
      <c r="AB682" s="2693"/>
      <c r="AC682" s="906"/>
      <c r="AD682" s="906"/>
      <c r="AE682" s="1014"/>
      <c r="AF682" s="1014"/>
      <c r="AG682" s="1014"/>
      <c r="AH682" s="1014"/>
      <c r="AI682" s="1014"/>
      <c r="AJ682" s="1014"/>
      <c r="AK682" s="1014"/>
      <c r="AL682" s="1014"/>
      <c r="AM682" s="1005"/>
      <c r="AN682" s="980"/>
    </row>
    <row r="683" spans="1:42" s="922" customFormat="1" ht="28.5" customHeight="1">
      <c r="A683" s="1039"/>
      <c r="B683" s="1002"/>
      <c r="C683" s="1486"/>
      <c r="D683" s="1085"/>
      <c r="E683" s="2693"/>
      <c r="F683" s="2693"/>
      <c r="G683" s="2693"/>
      <c r="H683" s="2693"/>
      <c r="I683" s="2693"/>
      <c r="J683" s="2693"/>
      <c r="K683" s="2693"/>
      <c r="L683" s="2693"/>
      <c r="M683" s="2693"/>
      <c r="N683" s="2693"/>
      <c r="O683" s="2693"/>
      <c r="P683" s="2693"/>
      <c r="Q683" s="2693"/>
      <c r="R683" s="2693"/>
      <c r="S683" s="2693"/>
      <c r="T683" s="2693"/>
      <c r="U683" s="2693"/>
      <c r="V683" s="2693"/>
      <c r="W683" s="2693"/>
      <c r="X683" s="2693"/>
      <c r="Y683" s="2693"/>
      <c r="Z683" s="2693"/>
      <c r="AA683" s="2693"/>
      <c r="AB683" s="2693"/>
      <c r="AC683" s="906"/>
      <c r="AD683" s="906"/>
      <c r="AE683" s="1014"/>
      <c r="AF683" s="1014"/>
      <c r="AG683" s="1014"/>
      <c r="AH683" s="1014"/>
      <c r="AI683" s="1014"/>
      <c r="AJ683" s="1014"/>
      <c r="AK683" s="1014"/>
      <c r="AL683" s="1014"/>
      <c r="AM683" s="1005"/>
      <c r="AN683" s="979"/>
      <c r="AO683" s="922" t="s">
        <v>600</v>
      </c>
      <c r="AP683" s="1099">
        <v>0</v>
      </c>
    </row>
    <row r="684" spans="1:42" s="922" customFormat="1" ht="12.75" customHeight="1">
      <c r="A684" s="1039"/>
      <c r="B684" s="1002"/>
      <c r="C684" s="1486"/>
      <c r="D684" s="1085"/>
      <c r="E684" s="948"/>
      <c r="F684" s="948"/>
      <c r="G684" s="948"/>
      <c r="H684" s="948"/>
      <c r="I684" s="948"/>
      <c r="J684" s="948"/>
      <c r="K684" s="948"/>
      <c r="L684" s="948"/>
      <c r="M684" s="948"/>
      <c r="N684" s="948"/>
      <c r="O684" s="948"/>
      <c r="P684" s="948"/>
      <c r="Q684" s="948"/>
      <c r="R684" s="948"/>
      <c r="S684" s="948"/>
      <c r="T684" s="948"/>
      <c r="U684" s="948"/>
      <c r="V684" s="948"/>
      <c r="W684" s="948"/>
      <c r="X684" s="948"/>
      <c r="Y684" s="948"/>
      <c r="Z684" s="948"/>
      <c r="AA684" s="948"/>
      <c r="AB684" s="948"/>
      <c r="AC684" s="906"/>
      <c r="AD684" s="906"/>
      <c r="AE684" s="1014"/>
      <c r="AF684" s="1014"/>
      <c r="AG684" s="1014"/>
      <c r="AH684" s="1014"/>
      <c r="AI684" s="1014"/>
      <c r="AJ684" s="1014"/>
      <c r="AK684" s="1014"/>
      <c r="AL684" s="1014"/>
      <c r="AM684" s="1005"/>
      <c r="AN684" s="979"/>
      <c r="AO684" s="1097" t="s">
        <v>697</v>
      </c>
      <c r="AP684" s="922">
        <v>2</v>
      </c>
    </row>
    <row r="685" spans="1:42" s="922" customFormat="1" ht="12.75" customHeight="1">
      <c r="A685" s="1039"/>
      <c r="B685" s="985"/>
      <c r="C685" s="1474"/>
      <c r="D685" s="1085" t="s">
        <v>518</v>
      </c>
      <c r="E685" s="2693" t="s">
        <v>2552</v>
      </c>
      <c r="F685" s="2693"/>
      <c r="G685" s="2693"/>
      <c r="H685" s="2693"/>
      <c r="I685" s="2693"/>
      <c r="J685" s="2693"/>
      <c r="K685" s="2693"/>
      <c r="L685" s="2693"/>
      <c r="M685" s="2693"/>
      <c r="N685" s="2693"/>
      <c r="O685" s="2693"/>
      <c r="P685" s="2693"/>
      <c r="Q685" s="2693"/>
      <c r="R685" s="2693"/>
      <c r="S685" s="2693"/>
      <c r="T685" s="2693"/>
      <c r="U685" s="2693"/>
      <c r="V685" s="2693"/>
      <c r="W685" s="2693"/>
      <c r="X685" s="2693"/>
      <c r="Y685" s="2693"/>
      <c r="Z685" s="2693"/>
      <c r="AA685" s="2693"/>
      <c r="AB685" s="2693"/>
      <c r="AC685" s="906"/>
      <c r="AD685" s="906"/>
      <c r="AE685" s="906"/>
      <c r="AF685" s="2751" t="s">
        <v>1579</v>
      </c>
      <c r="AG685" s="2751"/>
      <c r="AH685" s="2751"/>
      <c r="AI685" s="2751"/>
      <c r="AJ685" s="2751"/>
      <c r="AK685" s="2751"/>
      <c r="AL685" s="2751"/>
      <c r="AM685" s="1005"/>
      <c r="AN685" s="979"/>
      <c r="AO685" s="1097" t="s">
        <v>518</v>
      </c>
      <c r="AP685" s="922">
        <v>1</v>
      </c>
    </row>
    <row r="686" spans="1:42" s="922" customFormat="1" ht="12" customHeight="1">
      <c r="A686" s="1005"/>
      <c r="B686" s="906"/>
      <c r="C686" s="1494"/>
      <c r="D686" s="906"/>
      <c r="E686" s="2693"/>
      <c r="F686" s="2693"/>
      <c r="G686" s="2693"/>
      <c r="H686" s="2693"/>
      <c r="I686" s="2693"/>
      <c r="J686" s="2693"/>
      <c r="K686" s="2693"/>
      <c r="L686" s="2693"/>
      <c r="M686" s="2693"/>
      <c r="N686" s="2693"/>
      <c r="O686" s="2693"/>
      <c r="P686" s="2693"/>
      <c r="Q686" s="2693"/>
      <c r="R686" s="2693"/>
      <c r="S686" s="2693"/>
      <c r="T686" s="2693"/>
      <c r="U686" s="2693"/>
      <c r="V686" s="2693"/>
      <c r="W686" s="2693"/>
      <c r="X686" s="2693"/>
      <c r="Y686" s="2693"/>
      <c r="Z686" s="2693"/>
      <c r="AA686" s="2693"/>
      <c r="AB686" s="2693"/>
      <c r="AC686" s="906"/>
      <c r="AD686" s="906"/>
      <c r="AE686" s="1014"/>
      <c r="AF686" s="906"/>
      <c r="AG686" s="906"/>
      <c r="AH686" s="906"/>
      <c r="AI686" s="906"/>
      <c r="AJ686" s="906"/>
      <c r="AK686" s="906"/>
      <c r="AL686" s="906"/>
      <c r="AM686" s="1005"/>
      <c r="AN686" s="979"/>
    </row>
    <row r="687" spans="1:42" s="922" customFormat="1" ht="12" customHeight="1">
      <c r="A687" s="1005"/>
      <c r="B687" s="906"/>
      <c r="C687" s="1494"/>
      <c r="D687" s="906"/>
      <c r="E687" s="2693"/>
      <c r="F687" s="2693"/>
      <c r="G687" s="2693"/>
      <c r="H687" s="2693"/>
      <c r="I687" s="2693"/>
      <c r="J687" s="2693"/>
      <c r="K687" s="2693"/>
      <c r="L687" s="2693"/>
      <c r="M687" s="2693"/>
      <c r="N687" s="2693"/>
      <c r="O687" s="2693"/>
      <c r="P687" s="2693"/>
      <c r="Q687" s="2693"/>
      <c r="R687" s="2693"/>
      <c r="S687" s="2693"/>
      <c r="T687" s="2693"/>
      <c r="U687" s="2693"/>
      <c r="V687" s="2693"/>
      <c r="W687" s="2693"/>
      <c r="X687" s="2693"/>
      <c r="Y687" s="2693"/>
      <c r="Z687" s="2693"/>
      <c r="AA687" s="2693"/>
      <c r="AB687" s="2693"/>
      <c r="AC687" s="906"/>
      <c r="AD687" s="906"/>
      <c r="AE687" s="1014"/>
      <c r="AF687" s="906"/>
      <c r="AG687" s="906"/>
      <c r="AH687" s="906"/>
      <c r="AI687" s="906"/>
      <c r="AJ687" s="906"/>
      <c r="AK687" s="906"/>
      <c r="AL687" s="906"/>
      <c r="AM687" s="1005"/>
      <c r="AN687" s="979"/>
    </row>
    <row r="688" spans="1:42" s="1113" customFormat="1" ht="29.25" customHeight="1">
      <c r="A688" s="1005"/>
      <c r="B688" s="906"/>
      <c r="C688" s="1494"/>
      <c r="D688" s="906"/>
      <c r="E688" s="2693"/>
      <c r="F688" s="2693"/>
      <c r="G688" s="2693"/>
      <c r="H688" s="2693"/>
      <c r="I688" s="2693"/>
      <c r="J688" s="2693"/>
      <c r="K688" s="2693"/>
      <c r="L688" s="2693"/>
      <c r="M688" s="2693"/>
      <c r="N688" s="2693"/>
      <c r="O688" s="2693"/>
      <c r="P688" s="2693"/>
      <c r="Q688" s="2693"/>
      <c r="R688" s="2693"/>
      <c r="S688" s="2693"/>
      <c r="T688" s="2693"/>
      <c r="U688" s="2693"/>
      <c r="V688" s="2693"/>
      <c r="W688" s="2693"/>
      <c r="X688" s="2693"/>
      <c r="Y688" s="2693"/>
      <c r="Z688" s="2693"/>
      <c r="AA688" s="2693"/>
      <c r="AB688" s="2693"/>
      <c r="AC688" s="906"/>
      <c r="AD688" s="906"/>
      <c r="AE688" s="1014"/>
      <c r="AF688" s="1014"/>
      <c r="AG688" s="1014"/>
      <c r="AH688" s="1014"/>
      <c r="AI688" s="1014"/>
      <c r="AJ688" s="906"/>
      <c r="AK688" s="985"/>
      <c r="AL688" s="985"/>
      <c r="AM688" s="1005"/>
      <c r="AN688" s="1112"/>
    </row>
    <row r="689" spans="1:42" s="1113" customFormat="1" ht="12" customHeight="1">
      <c r="A689" s="1005"/>
      <c r="B689" s="906"/>
      <c r="C689" s="1494"/>
      <c r="D689" s="906"/>
      <c r="E689" s="1437"/>
      <c r="F689" s="1437"/>
      <c r="G689" s="1437"/>
      <c r="H689" s="1437"/>
      <c r="I689" s="1437"/>
      <c r="J689" s="1437"/>
      <c r="K689" s="1437"/>
      <c r="L689" s="1437"/>
      <c r="M689" s="1437"/>
      <c r="N689" s="1437"/>
      <c r="O689" s="1437"/>
      <c r="P689" s="1437"/>
      <c r="Q689" s="1437"/>
      <c r="R689" s="1437"/>
      <c r="S689" s="1437"/>
      <c r="T689" s="1437"/>
      <c r="U689" s="1437"/>
      <c r="V689" s="1437"/>
      <c r="W689" s="1437"/>
      <c r="X689" s="1437"/>
      <c r="Y689" s="1437"/>
      <c r="Z689" s="1437"/>
      <c r="AA689" s="1437"/>
      <c r="AB689" s="1437"/>
      <c r="AC689" s="906"/>
      <c r="AD689" s="906"/>
      <c r="AE689" s="1014"/>
      <c r="AF689" s="1014"/>
      <c r="AG689" s="1014"/>
      <c r="AH689" s="1014"/>
      <c r="AI689" s="1014"/>
      <c r="AJ689" s="906"/>
      <c r="AK689" s="985"/>
      <c r="AL689" s="985"/>
      <c r="AM689" s="1005"/>
      <c r="AN689" s="1112"/>
    </row>
    <row r="690" spans="1:42" s="1113" customFormat="1" ht="12.75" customHeight="1">
      <c r="A690" s="1005"/>
      <c r="B690" s="906"/>
      <c r="C690" s="1494"/>
      <c r="D690" s="906"/>
      <c r="E690" s="2693" t="s">
        <v>1947</v>
      </c>
      <c r="F690" s="2693"/>
      <c r="G690" s="2693"/>
      <c r="H690" s="2693"/>
      <c r="I690" s="2693"/>
      <c r="J690" s="2693"/>
      <c r="K690" s="2693"/>
      <c r="L690" s="2693"/>
      <c r="M690" s="2693"/>
      <c r="N690" s="2693"/>
      <c r="O690" s="2693"/>
      <c r="P690" s="2693"/>
      <c r="Q690" s="2693"/>
      <c r="R690" s="2693"/>
      <c r="S690" s="2693"/>
      <c r="T690" s="2693"/>
      <c r="U690" s="2693"/>
      <c r="V690" s="2693"/>
      <c r="W690" s="2693"/>
      <c r="X690" s="2693"/>
      <c r="Y690" s="2693"/>
      <c r="Z690" s="2693"/>
      <c r="AA690" s="2693"/>
      <c r="AB690" s="2693"/>
      <c r="AC690" s="906"/>
      <c r="AD690" s="906"/>
      <c r="AE690" s="1014"/>
      <c r="AF690" s="1014"/>
      <c r="AG690" s="1014"/>
      <c r="AH690" s="1014"/>
      <c r="AI690" s="1014"/>
      <c r="AJ690" s="906"/>
      <c r="AK690" s="985"/>
      <c r="AL690" s="985"/>
      <c r="AM690" s="1005"/>
      <c r="AN690" s="1112"/>
    </row>
    <row r="691" spans="1:42" s="1113" customFormat="1" ht="12.75" customHeight="1">
      <c r="A691" s="1005"/>
      <c r="B691" s="906"/>
      <c r="C691" s="1494"/>
      <c r="D691" s="906"/>
      <c r="E691" s="2693"/>
      <c r="F691" s="2693"/>
      <c r="G691" s="2693"/>
      <c r="H691" s="2693"/>
      <c r="I691" s="2693"/>
      <c r="J691" s="2693"/>
      <c r="K691" s="2693"/>
      <c r="L691" s="2693"/>
      <c r="M691" s="2693"/>
      <c r="N691" s="2693"/>
      <c r="O691" s="2693"/>
      <c r="P691" s="2693"/>
      <c r="Q691" s="2693"/>
      <c r="R691" s="2693"/>
      <c r="S691" s="2693"/>
      <c r="T691" s="2693"/>
      <c r="U691" s="2693"/>
      <c r="V691" s="2693"/>
      <c r="W691" s="2693"/>
      <c r="X691" s="2693"/>
      <c r="Y691" s="2693"/>
      <c r="Z691" s="2693"/>
      <c r="AA691" s="2693"/>
      <c r="AB691" s="2693"/>
      <c r="AC691" s="906"/>
      <c r="AD691" s="906"/>
      <c r="AE691" s="1014"/>
      <c r="AF691" s="1014"/>
      <c r="AG691" s="1014"/>
      <c r="AH691" s="1014"/>
      <c r="AI691" s="1014"/>
      <c r="AJ691" s="906"/>
      <c r="AK691" s="985"/>
      <c r="AL691" s="985"/>
      <c r="AM691" s="1005"/>
      <c r="AN691" s="1112"/>
    </row>
    <row r="692" spans="1:42" s="1113" customFormat="1" ht="12.75" customHeight="1">
      <c r="A692" s="1005"/>
      <c r="B692" s="906"/>
      <c r="C692" s="1494"/>
      <c r="D692" s="906"/>
      <c r="E692" s="2693"/>
      <c r="F692" s="2693"/>
      <c r="G692" s="2693"/>
      <c r="H692" s="2693"/>
      <c r="I692" s="2693"/>
      <c r="J692" s="2693"/>
      <c r="K692" s="2693"/>
      <c r="L692" s="2693"/>
      <c r="M692" s="2693"/>
      <c r="N692" s="2693"/>
      <c r="O692" s="2693"/>
      <c r="P692" s="2693"/>
      <c r="Q692" s="2693"/>
      <c r="R692" s="2693"/>
      <c r="S692" s="2693"/>
      <c r="T692" s="2693"/>
      <c r="U692" s="2693"/>
      <c r="V692" s="2693"/>
      <c r="W692" s="2693"/>
      <c r="X692" s="2693"/>
      <c r="Y692" s="2693"/>
      <c r="Z692" s="2693"/>
      <c r="AA692" s="2693"/>
      <c r="AB692" s="2693"/>
      <c r="AC692" s="906"/>
      <c r="AD692" s="906"/>
      <c r="AE692" s="1014"/>
      <c r="AF692" s="1014"/>
      <c r="AG692" s="1014"/>
      <c r="AH692" s="1014"/>
      <c r="AI692" s="1014"/>
      <c r="AJ692" s="906"/>
      <c r="AK692" s="985"/>
      <c r="AL692" s="985"/>
      <c r="AM692" s="1005"/>
      <c r="AN692" s="1112"/>
    </row>
    <row r="693" spans="1:42" s="1113" customFormat="1" ht="12.75" customHeight="1">
      <c r="A693" s="1005"/>
      <c r="B693" s="906"/>
      <c r="C693" s="1494"/>
      <c r="D693" s="906"/>
      <c r="E693" s="1437"/>
      <c r="F693" s="1437"/>
      <c r="G693" s="1437"/>
      <c r="H693" s="1437"/>
      <c r="I693" s="1437"/>
      <c r="J693" s="1437"/>
      <c r="K693" s="1437"/>
      <c r="L693" s="1437"/>
      <c r="M693" s="1437"/>
      <c r="N693" s="1437"/>
      <c r="O693" s="1437"/>
      <c r="P693" s="1437"/>
      <c r="Q693" s="1437"/>
      <c r="R693" s="1437"/>
      <c r="S693" s="1437"/>
      <c r="T693" s="1437"/>
      <c r="U693" s="1437"/>
      <c r="V693" s="1437"/>
      <c r="W693" s="1437"/>
      <c r="X693" s="1437"/>
      <c r="Y693" s="1437"/>
      <c r="Z693" s="1437"/>
      <c r="AA693" s="1437"/>
      <c r="AB693" s="1437"/>
      <c r="AC693" s="906"/>
      <c r="AD693" s="906"/>
      <c r="AE693" s="1014"/>
      <c r="AF693" s="1014"/>
      <c r="AG693" s="1014"/>
      <c r="AH693" s="1014"/>
      <c r="AI693" s="1014"/>
      <c r="AJ693" s="906"/>
      <c r="AK693" s="985"/>
      <c r="AL693" s="985"/>
      <c r="AM693" s="1005"/>
      <c r="AN693" s="1112"/>
    </row>
    <row r="694" spans="1:42" s="1113" customFormat="1" ht="12.75" customHeight="1">
      <c r="A694" s="1005"/>
      <c r="B694" s="906"/>
      <c r="C694" s="1494"/>
      <c r="D694" s="1002" t="s">
        <v>1571</v>
      </c>
      <c r="E694" s="1480"/>
      <c r="F694" s="1480"/>
      <c r="G694" s="1480"/>
      <c r="H694" s="2692" t="s">
        <v>600</v>
      </c>
      <c r="I694" s="2692"/>
      <c r="J694" s="1437"/>
      <c r="K694" s="1437"/>
      <c r="L694" s="1437"/>
      <c r="M694" s="1437"/>
      <c r="N694" s="1437"/>
      <c r="O694" s="1437"/>
      <c r="P694" s="1437"/>
      <c r="Q694" s="1437"/>
      <c r="R694" s="1437"/>
      <c r="S694" s="1437"/>
      <c r="T694" s="1437"/>
      <c r="U694" s="1437"/>
      <c r="V694" s="1437"/>
      <c r="W694" s="1437"/>
      <c r="X694" s="1437"/>
      <c r="Y694" s="1437"/>
      <c r="Z694" s="1437"/>
      <c r="AA694" s="1437"/>
      <c r="AB694" s="1437"/>
      <c r="AC694" s="906"/>
      <c r="AD694" s="906"/>
      <c r="AE694" s="1014"/>
      <c r="AF694" s="1014"/>
      <c r="AG694" s="1014"/>
      <c r="AH694" s="1014"/>
      <c r="AI694" s="1014"/>
      <c r="AJ694" s="906"/>
      <c r="AK694" s="985"/>
      <c r="AL694" s="985"/>
      <c r="AM694" s="1005"/>
      <c r="AN694" s="1112"/>
      <c r="AP694" s="1113" t="s">
        <v>1598</v>
      </c>
    </row>
    <row r="695" spans="1:42" s="1113" customFormat="1">
      <c r="A695" s="1005"/>
      <c r="B695" s="906"/>
      <c r="C695" s="1494"/>
      <c r="D695" s="906"/>
      <c r="E695" s="1437"/>
      <c r="F695" s="1437"/>
      <c r="G695" s="1437"/>
      <c r="H695" s="1437"/>
      <c r="I695" s="1437"/>
      <c r="J695" s="1437"/>
      <c r="K695" s="1437"/>
      <c r="L695" s="1437"/>
      <c r="M695" s="1437"/>
      <c r="N695" s="1437"/>
      <c r="O695" s="1437"/>
      <c r="P695" s="1437"/>
      <c r="Q695" s="1437"/>
      <c r="R695" s="1437"/>
      <c r="S695" s="1437"/>
      <c r="T695" s="1437"/>
      <c r="U695" s="1437"/>
      <c r="V695" s="1437"/>
      <c r="W695" s="1437"/>
      <c r="X695" s="1437"/>
      <c r="Y695" s="1437"/>
      <c r="Z695" s="1437"/>
      <c r="AA695" s="1437"/>
      <c r="AB695" s="1437"/>
      <c r="AC695" s="906"/>
      <c r="AD695" s="906"/>
      <c r="AE695" s="1014"/>
      <c r="AF695" s="1014"/>
      <c r="AG695" s="1014"/>
      <c r="AH695" s="1014"/>
      <c r="AI695" s="1014"/>
      <c r="AJ695" s="906"/>
      <c r="AK695" s="985"/>
      <c r="AL695" s="985"/>
      <c r="AM695" s="1005"/>
      <c r="AN695" s="1112"/>
      <c r="AP695" s="1113" t="s">
        <v>1576</v>
      </c>
    </row>
    <row r="696" spans="1:42" s="1113" customFormat="1" ht="12.75" customHeight="1">
      <c r="A696" s="996"/>
      <c r="B696" s="988"/>
      <c r="C696" s="1490"/>
      <c r="D696" s="988"/>
      <c r="E696" s="988"/>
      <c r="F696" s="988"/>
      <c r="G696" s="988"/>
      <c r="H696" s="988"/>
      <c r="I696" s="988"/>
      <c r="J696" s="1497"/>
      <c r="K696" s="1497"/>
      <c r="L696" s="1087"/>
      <c r="M696" s="1087"/>
      <c r="N696" s="1087"/>
      <c r="O696" s="1087"/>
      <c r="P696" s="1087"/>
      <c r="Q696" s="1087"/>
      <c r="R696" s="1087"/>
      <c r="S696" s="1087"/>
      <c r="T696" s="1087"/>
      <c r="U696" s="1087"/>
      <c r="V696" s="1087"/>
      <c r="W696" s="1087"/>
      <c r="X696" s="1087"/>
      <c r="Y696" s="1485"/>
      <c r="Z696" s="1485"/>
      <c r="AA696" s="1485"/>
      <c r="AB696" s="998"/>
      <c r="AC696" s="998"/>
      <c r="AD696" s="998"/>
      <c r="AE696" s="998"/>
      <c r="AF696" s="998"/>
      <c r="AG696" s="998"/>
      <c r="AH696" s="998"/>
      <c r="AI696" s="938" t="s">
        <v>2554</v>
      </c>
      <c r="AJ696" s="2674">
        <f>VLOOKUP($H$694,$AO$641:$AP$643,2,FALSE)</f>
        <v>0</v>
      </c>
      <c r="AK696" s="2676"/>
      <c r="AL696" s="984"/>
      <c r="AM696" s="981"/>
      <c r="AN696" s="1112"/>
      <c r="AP696" s="1113" t="s">
        <v>1583</v>
      </c>
    </row>
    <row r="697" spans="1:42" s="1113" customFormat="1">
      <c r="A697" s="1005"/>
      <c r="B697" s="906"/>
      <c r="C697" s="906"/>
      <c r="D697" s="906"/>
      <c r="E697" s="906"/>
      <c r="F697" s="906"/>
      <c r="G697" s="906"/>
      <c r="H697" s="906"/>
      <c r="I697" s="906"/>
      <c r="J697" s="906"/>
      <c r="K697" s="906"/>
      <c r="L697" s="906"/>
      <c r="M697" s="906"/>
      <c r="N697" s="906"/>
      <c r="O697" s="906"/>
      <c r="P697" s="906"/>
      <c r="Q697" s="906"/>
      <c r="R697" s="906"/>
      <c r="S697" s="906"/>
      <c r="T697" s="906"/>
      <c r="U697" s="906"/>
      <c r="V697" s="906"/>
      <c r="W697" s="906"/>
      <c r="X697" s="906"/>
      <c r="Y697" s="906"/>
      <c r="Z697" s="906"/>
      <c r="AA697" s="906"/>
      <c r="AB697" s="906"/>
      <c r="AC697" s="906"/>
      <c r="AD697" s="906"/>
      <c r="AE697" s="1014"/>
      <c r="AF697" s="1014"/>
      <c r="AG697" s="1014"/>
      <c r="AH697" s="1014"/>
      <c r="AI697" s="1014"/>
      <c r="AJ697" s="906"/>
      <c r="AK697" s="985"/>
      <c r="AL697" s="985"/>
      <c r="AM697" s="1005"/>
      <c r="AN697" s="1112"/>
      <c r="AP697" s="1113" t="s">
        <v>1599</v>
      </c>
    </row>
    <row r="698" spans="1:42" s="1113" customFormat="1" ht="12.75" customHeight="1">
      <c r="A698" s="1005"/>
      <c r="B698" s="906"/>
      <c r="C698" s="965" t="s">
        <v>1600</v>
      </c>
      <c r="D698" s="1150"/>
      <c r="E698" s="906"/>
      <c r="F698" s="906"/>
      <c r="G698" s="906"/>
      <c r="H698" s="906"/>
      <c r="I698" s="906"/>
      <c r="J698" s="906"/>
      <c r="K698" s="906"/>
      <c r="L698" s="906"/>
      <c r="M698" s="906"/>
      <c r="N698" s="906"/>
      <c r="O698" s="906"/>
      <c r="P698" s="906"/>
      <c r="Q698" s="906"/>
      <c r="R698" s="906"/>
      <c r="S698" s="906"/>
      <c r="T698" s="906"/>
      <c r="U698" s="906"/>
      <c r="V698" s="906"/>
      <c r="W698" s="906"/>
      <c r="X698" s="906"/>
      <c r="Y698" s="906"/>
      <c r="Z698" s="906"/>
      <c r="AA698" s="906"/>
      <c r="AB698" s="906"/>
      <c r="AC698" s="906"/>
      <c r="AD698" s="906"/>
      <c r="AE698" s="1014"/>
      <c r="AF698" s="1014"/>
      <c r="AG698" s="1014"/>
      <c r="AH698" s="1014"/>
      <c r="AI698" s="1014"/>
      <c r="AJ698" s="906"/>
      <c r="AK698" s="985"/>
      <c r="AL698" s="985"/>
      <c r="AM698" s="1005"/>
      <c r="AN698" s="1112"/>
      <c r="AP698" s="1113" t="s">
        <v>1601</v>
      </c>
    </row>
    <row r="699" spans="1:42" s="1113" customFormat="1" ht="12.75" customHeight="1">
      <c r="A699" s="1005"/>
      <c r="B699" s="906"/>
      <c r="C699" s="1494"/>
      <c r="D699" s="906"/>
      <c r="E699" s="906"/>
      <c r="F699" s="906"/>
      <c r="G699" s="906"/>
      <c r="H699" s="906"/>
      <c r="I699" s="906"/>
      <c r="J699" s="906"/>
      <c r="K699" s="906"/>
      <c r="L699" s="906"/>
      <c r="M699" s="906"/>
      <c r="N699" s="906"/>
      <c r="O699" s="906"/>
      <c r="P699" s="906"/>
      <c r="Q699" s="906"/>
      <c r="R699" s="906"/>
      <c r="S699" s="906"/>
      <c r="T699" s="906"/>
      <c r="U699" s="906"/>
      <c r="V699" s="906"/>
      <c r="W699" s="906"/>
      <c r="X699" s="906"/>
      <c r="Y699" s="906"/>
      <c r="Z699" s="906"/>
      <c r="AA699" s="906"/>
      <c r="AB699" s="906"/>
      <c r="AC699" s="906"/>
      <c r="AD699" s="906"/>
      <c r="AE699" s="1014"/>
      <c r="AF699" s="1014"/>
      <c r="AG699" s="1014"/>
      <c r="AH699" s="1014"/>
      <c r="AI699" s="1014"/>
      <c r="AJ699" s="906"/>
      <c r="AK699" s="985"/>
      <c r="AL699" s="985"/>
      <c r="AM699" s="1005"/>
      <c r="AN699" s="1112"/>
      <c r="AP699" s="1113" t="s">
        <v>1602</v>
      </c>
    </row>
    <row r="700" spans="1:42" s="1113" customFormat="1" ht="12.75" customHeight="1">
      <c r="A700" s="1098"/>
      <c r="B700" s="906"/>
      <c r="C700" s="1474"/>
      <c r="D700" s="1085" t="s">
        <v>697</v>
      </c>
      <c r="E700" s="2789" t="s">
        <v>1949</v>
      </c>
      <c r="F700" s="2789"/>
      <c r="G700" s="2789"/>
      <c r="H700" s="2789"/>
      <c r="I700" s="2789"/>
      <c r="J700" s="2789"/>
      <c r="K700" s="2789"/>
      <c r="L700" s="2789"/>
      <c r="M700" s="2789"/>
      <c r="N700" s="2789"/>
      <c r="O700" s="2789"/>
      <c r="P700" s="2789"/>
      <c r="Q700" s="2789"/>
      <c r="R700" s="2789"/>
      <c r="S700" s="2789"/>
      <c r="T700" s="2789"/>
      <c r="U700" s="2789"/>
      <c r="V700" s="2789"/>
      <c r="W700" s="2789"/>
      <c r="X700" s="2789"/>
      <c r="Y700" s="2789"/>
      <c r="Z700" s="2789"/>
      <c r="AA700" s="2789"/>
      <c r="AB700" s="2789"/>
      <c r="AC700" s="906"/>
      <c r="AD700" s="906"/>
      <c r="AE700" s="906"/>
      <c r="AF700" s="2751" t="s">
        <v>1523</v>
      </c>
      <c r="AG700" s="2751"/>
      <c r="AH700" s="2751"/>
      <c r="AI700" s="2751"/>
      <c r="AJ700" s="2751"/>
      <c r="AK700" s="2751"/>
      <c r="AL700" s="2751"/>
      <c r="AM700" s="1005"/>
      <c r="AN700" s="1112"/>
      <c r="AP700" s="1114" t="s">
        <v>1603</v>
      </c>
    </row>
    <row r="701" spans="1:42" s="1113" customFormat="1" ht="11.85" customHeight="1">
      <c r="A701" s="1039"/>
      <c r="B701" s="1002"/>
      <c r="C701" s="1476"/>
      <c r="D701" s="1085"/>
      <c r="E701" s="2789"/>
      <c r="F701" s="2789"/>
      <c r="G701" s="2789"/>
      <c r="H701" s="2789"/>
      <c r="I701" s="2789"/>
      <c r="J701" s="2789"/>
      <c r="K701" s="2789"/>
      <c r="L701" s="2789"/>
      <c r="M701" s="2789"/>
      <c r="N701" s="2789"/>
      <c r="O701" s="2789"/>
      <c r="P701" s="2789"/>
      <c r="Q701" s="2789"/>
      <c r="R701" s="2789"/>
      <c r="S701" s="2789"/>
      <c r="T701" s="2789"/>
      <c r="U701" s="2789"/>
      <c r="V701" s="2789"/>
      <c r="W701" s="2789"/>
      <c r="X701" s="2789"/>
      <c r="Y701" s="2789"/>
      <c r="Z701" s="2789"/>
      <c r="AA701" s="2789"/>
      <c r="AB701" s="2789"/>
      <c r="AC701" s="906"/>
      <c r="AD701" s="906"/>
      <c r="AE701" s="1002"/>
      <c r="AF701" s="906"/>
      <c r="AG701" s="906"/>
      <c r="AH701" s="906"/>
      <c r="AI701" s="906"/>
      <c r="AJ701" s="906"/>
      <c r="AK701" s="906"/>
      <c r="AL701" s="906"/>
      <c r="AM701" s="1005"/>
      <c r="AN701" s="1112"/>
      <c r="AP701" s="1114" t="s">
        <v>1604</v>
      </c>
    </row>
    <row r="702" spans="1:42" s="1113" customFormat="1" ht="13.9" customHeight="1">
      <c r="A702" s="1039"/>
      <c r="B702" s="1003"/>
      <c r="C702" s="1477"/>
      <c r="D702" s="1085"/>
      <c r="E702" s="2789"/>
      <c r="F702" s="2789"/>
      <c r="G702" s="2789"/>
      <c r="H702" s="2789"/>
      <c r="I702" s="2789"/>
      <c r="J702" s="2789"/>
      <c r="K702" s="2789"/>
      <c r="L702" s="2789"/>
      <c r="M702" s="2789"/>
      <c r="N702" s="2789"/>
      <c r="O702" s="2789"/>
      <c r="P702" s="2789"/>
      <c r="Q702" s="2789"/>
      <c r="R702" s="2789"/>
      <c r="S702" s="2789"/>
      <c r="T702" s="2789"/>
      <c r="U702" s="2789"/>
      <c r="V702" s="2789"/>
      <c r="W702" s="2789"/>
      <c r="X702" s="2789"/>
      <c r="Y702" s="2789"/>
      <c r="Z702" s="2789"/>
      <c r="AA702" s="2789"/>
      <c r="AB702" s="2789"/>
      <c r="AC702" s="906"/>
      <c r="AD702" s="906"/>
      <c r="AE702" s="1014"/>
      <c r="AF702" s="906"/>
      <c r="AG702" s="906"/>
      <c r="AH702" s="906"/>
      <c r="AI702" s="906"/>
      <c r="AJ702" s="906"/>
      <c r="AK702" s="906"/>
      <c r="AL702" s="906"/>
      <c r="AM702" s="1005"/>
      <c r="AN702" s="1112"/>
      <c r="AP702" s="1114" t="s">
        <v>1605</v>
      </c>
    </row>
    <row r="703" spans="1:42" s="1113" customFormat="1" ht="13.9" customHeight="1">
      <c r="A703" s="1039"/>
      <c r="B703" s="1003"/>
      <c r="C703" s="1477"/>
      <c r="D703" s="1085"/>
      <c r="E703" s="1480"/>
      <c r="F703" s="1480"/>
      <c r="G703" s="1480"/>
      <c r="H703" s="1480"/>
      <c r="I703" s="1480"/>
      <c r="J703" s="1480"/>
      <c r="K703" s="1480"/>
      <c r="L703" s="1480"/>
      <c r="M703" s="1480"/>
      <c r="N703" s="1480"/>
      <c r="O703" s="1480"/>
      <c r="P703" s="1480"/>
      <c r="Q703" s="1480"/>
      <c r="R703" s="1480"/>
      <c r="S703" s="1480"/>
      <c r="T703" s="1480"/>
      <c r="U703" s="1480"/>
      <c r="V703" s="1480"/>
      <c r="W703" s="1480"/>
      <c r="X703" s="1480"/>
      <c r="Y703" s="1480"/>
      <c r="Z703" s="1480"/>
      <c r="AA703" s="1480"/>
      <c r="AB703" s="1480"/>
      <c r="AC703" s="906"/>
      <c r="AD703" s="906"/>
      <c r="AE703" s="1014"/>
      <c r="AF703" s="906"/>
      <c r="AG703" s="906"/>
      <c r="AH703" s="906"/>
      <c r="AI703" s="906"/>
      <c r="AJ703" s="906"/>
      <c r="AK703" s="906"/>
      <c r="AL703" s="906"/>
      <c r="AM703" s="1005"/>
      <c r="AN703" s="1112"/>
      <c r="AP703" s="1116" t="s">
        <v>1607</v>
      </c>
    </row>
    <row r="704" spans="1:42" s="1113" customFormat="1" ht="13.9" customHeight="1">
      <c r="A704" s="1039"/>
      <c r="B704" s="985"/>
      <c r="C704" s="1474"/>
      <c r="D704" s="1085" t="s">
        <v>518</v>
      </c>
      <c r="E704" s="2790" t="s">
        <v>1606</v>
      </c>
      <c r="F704" s="2790"/>
      <c r="G704" s="2790"/>
      <c r="H704" s="2790"/>
      <c r="I704" s="2790"/>
      <c r="J704" s="2790"/>
      <c r="K704" s="2790"/>
      <c r="L704" s="2790"/>
      <c r="M704" s="2790"/>
      <c r="N704" s="2790"/>
      <c r="O704" s="2790"/>
      <c r="P704" s="2790"/>
      <c r="Q704" s="2790"/>
      <c r="R704" s="2790"/>
      <c r="S704" s="2790"/>
      <c r="T704" s="2790"/>
      <c r="U704" s="2790"/>
      <c r="V704" s="2790"/>
      <c r="W704" s="2790"/>
      <c r="X704" s="2790"/>
      <c r="Y704" s="2790"/>
      <c r="Z704" s="2790"/>
      <c r="AA704" s="2790"/>
      <c r="AB704" s="2790"/>
      <c r="AC704" s="906"/>
      <c r="AD704" s="906"/>
      <c r="AE704" s="906"/>
      <c r="AF704" s="2751" t="s">
        <v>1579</v>
      </c>
      <c r="AG704" s="2751"/>
      <c r="AH704" s="2751"/>
      <c r="AI704" s="2751"/>
      <c r="AJ704" s="2751"/>
      <c r="AK704" s="2751"/>
      <c r="AL704" s="2751"/>
      <c r="AM704" s="1005"/>
      <c r="AN704" s="1115"/>
    </row>
    <row r="705" spans="1:52" s="1113" customFormat="1" ht="12.75" customHeight="1">
      <c r="A705" s="1039"/>
      <c r="B705" s="1002"/>
      <c r="C705" s="1476"/>
      <c r="D705" s="1002"/>
      <c r="E705" s="2790"/>
      <c r="F705" s="2790"/>
      <c r="G705" s="2790"/>
      <c r="H705" s="2790"/>
      <c r="I705" s="2790"/>
      <c r="J705" s="2790"/>
      <c r="K705" s="2790"/>
      <c r="L705" s="2790"/>
      <c r="M705" s="2790"/>
      <c r="N705" s="2790"/>
      <c r="O705" s="2790"/>
      <c r="P705" s="2790"/>
      <c r="Q705" s="2790"/>
      <c r="R705" s="2790"/>
      <c r="S705" s="2790"/>
      <c r="T705" s="2790"/>
      <c r="U705" s="2790"/>
      <c r="V705" s="2790"/>
      <c r="W705" s="2790"/>
      <c r="X705" s="2790"/>
      <c r="Y705" s="2790"/>
      <c r="Z705" s="2790"/>
      <c r="AA705" s="2790"/>
      <c r="AB705" s="2790"/>
      <c r="AC705" s="1002"/>
      <c r="AD705" s="1002"/>
      <c r="AE705" s="1002"/>
      <c r="AF705" s="1002"/>
      <c r="AG705" s="1002"/>
      <c r="AH705" s="1002"/>
      <c r="AI705" s="1002"/>
      <c r="AJ705" s="906"/>
      <c r="AK705" s="985"/>
      <c r="AL705" s="985"/>
      <c r="AM705" s="1005"/>
      <c r="AN705" s="1112"/>
      <c r="AP705" s="922" t="s">
        <v>600</v>
      </c>
      <c r="AQ705" s="1099">
        <v>0</v>
      </c>
    </row>
    <row r="706" spans="1:52" s="1113" customFormat="1" ht="13.9" customHeight="1">
      <c r="A706" s="1039"/>
      <c r="B706" s="1002"/>
      <c r="C706" s="1476"/>
      <c r="D706" s="1002"/>
      <c r="E706" s="2790"/>
      <c r="F706" s="2790"/>
      <c r="G706" s="2790"/>
      <c r="H706" s="2790"/>
      <c r="I706" s="2790"/>
      <c r="J706" s="2790"/>
      <c r="K706" s="2790"/>
      <c r="L706" s="2790"/>
      <c r="M706" s="2790"/>
      <c r="N706" s="2790"/>
      <c r="O706" s="2790"/>
      <c r="P706" s="2790"/>
      <c r="Q706" s="2790"/>
      <c r="R706" s="2790"/>
      <c r="S706" s="2790"/>
      <c r="T706" s="2790"/>
      <c r="U706" s="2790"/>
      <c r="V706" s="2790"/>
      <c r="W706" s="2790"/>
      <c r="X706" s="2790"/>
      <c r="Y706" s="2790"/>
      <c r="Z706" s="2790"/>
      <c r="AA706" s="2790"/>
      <c r="AB706" s="2790"/>
      <c r="AC706" s="1002"/>
      <c r="AD706" s="1002"/>
      <c r="AE706" s="1002"/>
      <c r="AF706" s="1002"/>
      <c r="AG706" s="1002"/>
      <c r="AH706" s="1002"/>
      <c r="AI706" s="1002"/>
      <c r="AJ706" s="906"/>
      <c r="AK706" s="985"/>
      <c r="AL706" s="985"/>
      <c r="AM706" s="1005"/>
      <c r="AN706" s="1112"/>
      <c r="AP706" s="1097" t="s">
        <v>697</v>
      </c>
      <c r="AQ706" s="922">
        <v>2</v>
      </c>
    </row>
    <row r="707" spans="1:52" s="1113" customFormat="1" ht="13.9" customHeight="1">
      <c r="A707" s="1039"/>
      <c r="B707" s="1002"/>
      <c r="C707" s="1476"/>
      <c r="D707" s="1002"/>
      <c r="E707" s="1498"/>
      <c r="F707" s="1498"/>
      <c r="G707" s="1498"/>
      <c r="H707" s="1498"/>
      <c r="I707" s="1498"/>
      <c r="J707" s="1498"/>
      <c r="K707" s="1498"/>
      <c r="L707" s="1498"/>
      <c r="M707" s="1498"/>
      <c r="N707" s="1498"/>
      <c r="O707" s="1498"/>
      <c r="P707" s="1498"/>
      <c r="Q707" s="1498"/>
      <c r="R707" s="1498"/>
      <c r="S707" s="1498"/>
      <c r="T707" s="1498"/>
      <c r="U707" s="1498"/>
      <c r="V707" s="1498"/>
      <c r="W707" s="1498"/>
      <c r="X707" s="1498"/>
      <c r="Y707" s="1498"/>
      <c r="Z707" s="1498"/>
      <c r="AA707" s="1498"/>
      <c r="AB707" s="1498"/>
      <c r="AC707" s="1002"/>
      <c r="AD707" s="1002"/>
      <c r="AE707" s="1002"/>
      <c r="AF707" s="1002"/>
      <c r="AG707" s="1002"/>
      <c r="AH707" s="1002"/>
      <c r="AI707" s="1002"/>
      <c r="AJ707" s="906"/>
      <c r="AK707" s="985"/>
      <c r="AL707" s="985"/>
      <c r="AM707" s="1005"/>
      <c r="AN707" s="1112"/>
      <c r="AP707" s="1097" t="s">
        <v>518</v>
      </c>
      <c r="AQ707" s="922">
        <v>3</v>
      </c>
    </row>
    <row r="708" spans="1:52" s="1113" customFormat="1" ht="13.9" customHeight="1">
      <c r="A708" s="1039"/>
      <c r="B708" s="1002"/>
      <c r="C708" s="1476"/>
      <c r="D708" s="1002" t="s">
        <v>1571</v>
      </c>
      <c r="E708" s="1480"/>
      <c r="F708" s="1480"/>
      <c r="G708" s="1480"/>
      <c r="H708" s="2692" t="s">
        <v>697</v>
      </c>
      <c r="I708" s="2692"/>
      <c r="J708" s="1498"/>
      <c r="K708" s="1498"/>
      <c r="L708" s="1498"/>
      <c r="M708" s="1498"/>
      <c r="N708" s="1498"/>
      <c r="O708" s="1498"/>
      <c r="P708" s="1498"/>
      <c r="Q708" s="1498"/>
      <c r="R708" s="1498"/>
      <c r="S708" s="1498"/>
      <c r="T708" s="1498"/>
      <c r="U708" s="1498"/>
      <c r="V708" s="1498"/>
      <c r="W708" s="1498"/>
      <c r="X708" s="1498"/>
      <c r="Y708" s="1498"/>
      <c r="Z708" s="1498"/>
      <c r="AA708" s="1498"/>
      <c r="AB708" s="1498"/>
      <c r="AC708" s="1002"/>
      <c r="AD708" s="1002"/>
      <c r="AE708" s="1002"/>
      <c r="AF708" s="1002"/>
      <c r="AG708" s="1002"/>
      <c r="AH708" s="1002"/>
      <c r="AI708" s="1002"/>
      <c r="AJ708" s="906"/>
      <c r="AK708" s="985"/>
      <c r="AL708" s="985"/>
      <c r="AM708" s="1005"/>
      <c r="AN708" s="1112"/>
    </row>
    <row r="709" spans="1:52" s="1114" customFormat="1" ht="14.25" customHeight="1">
      <c r="A709" s="1039"/>
      <c r="B709" s="1002"/>
      <c r="C709" s="1476"/>
      <c r="D709" s="1002"/>
      <c r="E709" s="1498"/>
      <c r="F709" s="1498"/>
      <c r="G709" s="1498"/>
      <c r="H709" s="1498"/>
      <c r="I709" s="1498"/>
      <c r="J709" s="1498"/>
      <c r="K709" s="1498"/>
      <c r="L709" s="1498"/>
      <c r="M709" s="1498"/>
      <c r="N709" s="1498"/>
      <c r="O709" s="1498"/>
      <c r="P709" s="1498"/>
      <c r="Q709" s="1498"/>
      <c r="R709" s="1498"/>
      <c r="S709" s="1498"/>
      <c r="T709" s="1498"/>
      <c r="U709" s="1498"/>
      <c r="V709" s="1498"/>
      <c r="W709" s="1498"/>
      <c r="X709" s="1498"/>
      <c r="Y709" s="1498"/>
      <c r="Z709" s="1498"/>
      <c r="AA709" s="1498"/>
      <c r="AB709" s="1498"/>
      <c r="AC709" s="1002"/>
      <c r="AD709" s="1002"/>
      <c r="AE709" s="1002"/>
      <c r="AF709" s="1002"/>
      <c r="AG709" s="1002"/>
      <c r="AH709" s="1002"/>
      <c r="AI709" s="1002"/>
      <c r="AJ709" s="906"/>
      <c r="AK709" s="985"/>
      <c r="AL709" s="985"/>
      <c r="AM709" s="1005"/>
      <c r="AN709" s="1117"/>
    </row>
    <row r="710" spans="1:52" s="1114" customFormat="1" ht="12.75" customHeight="1">
      <c r="A710" s="1050"/>
      <c r="B710" s="998"/>
      <c r="C710" s="1484"/>
      <c r="D710" s="988"/>
      <c r="E710" s="988"/>
      <c r="F710" s="988"/>
      <c r="G710" s="988"/>
      <c r="H710" s="988"/>
      <c r="I710" s="988"/>
      <c r="J710" s="1499"/>
      <c r="K710" s="1499"/>
      <c r="L710" s="1499"/>
      <c r="M710" s="1499"/>
      <c r="N710" s="1499"/>
      <c r="O710" s="1499"/>
      <c r="P710" s="1499"/>
      <c r="Q710" s="1499"/>
      <c r="R710" s="1499"/>
      <c r="S710" s="1499"/>
      <c r="T710" s="1499"/>
      <c r="U710" s="1087"/>
      <c r="V710" s="1087"/>
      <c r="W710" s="1087"/>
      <c r="X710" s="1087"/>
      <c r="Y710" s="1485"/>
      <c r="Z710" s="1485"/>
      <c r="AA710" s="1485"/>
      <c r="AB710" s="998"/>
      <c r="AC710" s="998"/>
      <c r="AD710" s="998"/>
      <c r="AE710" s="998"/>
      <c r="AF710" s="998"/>
      <c r="AG710" s="998"/>
      <c r="AH710" s="998"/>
      <c r="AI710" s="938" t="s">
        <v>1608</v>
      </c>
      <c r="AJ710" s="2674">
        <f>VLOOKUP($H$708,$AO$641:$AP$643,2,FALSE)</f>
        <v>3</v>
      </c>
      <c r="AK710" s="2676"/>
      <c r="AL710" s="984"/>
      <c r="AM710" s="981"/>
      <c r="AN710" s="1117"/>
      <c r="AP710" s="2674"/>
      <c r="AQ710" s="2676"/>
    </row>
    <row r="711" spans="1:52" s="1113" customFormat="1">
      <c r="A711" s="1039"/>
      <c r="B711" s="1003"/>
      <c r="C711" s="1477"/>
      <c r="D711" s="1479"/>
      <c r="E711" s="1014"/>
      <c r="F711" s="1014"/>
      <c r="G711" s="1014"/>
      <c r="H711" s="1014"/>
      <c r="I711" s="1014"/>
      <c r="J711" s="1014"/>
      <c r="K711" s="1014"/>
      <c r="L711" s="1014"/>
      <c r="M711" s="1014"/>
      <c r="N711" s="1014"/>
      <c r="O711" s="1014"/>
      <c r="P711" s="1014"/>
      <c r="Q711" s="1014"/>
      <c r="R711" s="1014"/>
      <c r="S711" s="1014"/>
      <c r="T711" s="1014"/>
      <c r="U711" s="1014"/>
      <c r="V711" s="1014"/>
      <c r="W711" s="1014"/>
      <c r="X711" s="1014"/>
      <c r="Y711" s="1014"/>
      <c r="Z711" s="1014"/>
      <c r="AA711" s="1014"/>
      <c r="AB711" s="1014"/>
      <c r="AC711" s="1002"/>
      <c r="AD711" s="1002"/>
      <c r="AE711" s="1002"/>
      <c r="AF711" s="1002"/>
      <c r="AG711" s="1002"/>
      <c r="AH711" s="1002"/>
      <c r="AI711" s="1002"/>
      <c r="AJ711" s="970"/>
      <c r="AK711" s="1002"/>
      <c r="AL711" s="1002"/>
      <c r="AM711" s="1039"/>
      <c r="AN711" s="1112"/>
      <c r="AT711" s="51"/>
      <c r="AU711" s="51"/>
      <c r="AV711" s="51"/>
      <c r="AW711" s="51"/>
      <c r="AX711" s="51"/>
      <c r="AY711" s="51"/>
      <c r="AZ711" s="51"/>
    </row>
    <row r="712" spans="1:52" s="1113" customFormat="1">
      <c r="A712" s="1039"/>
      <c r="B712" s="906"/>
      <c r="C712" s="965" t="s">
        <v>1609</v>
      </c>
      <c r="D712" s="1500"/>
      <c r="E712" s="1014"/>
      <c r="F712" s="1014"/>
      <c r="G712" s="1014"/>
      <c r="H712" s="1014"/>
      <c r="I712" s="1014"/>
      <c r="J712" s="1014"/>
      <c r="K712" s="1014"/>
      <c r="L712" s="1014"/>
      <c r="M712" s="1014"/>
      <c r="N712" s="1014"/>
      <c r="O712" s="1014"/>
      <c r="P712" s="1014"/>
      <c r="Q712" s="1014"/>
      <c r="R712" s="1014"/>
      <c r="S712" s="1014"/>
      <c r="T712" s="1014"/>
      <c r="U712" s="1014"/>
      <c r="V712" s="1014"/>
      <c r="W712" s="1014"/>
      <c r="X712" s="1014"/>
      <c r="Y712" s="1014"/>
      <c r="Z712" s="1014"/>
      <c r="AA712" s="1014"/>
      <c r="AB712" s="1014"/>
      <c r="AC712" s="1002"/>
      <c r="AD712" s="1002"/>
      <c r="AE712" s="1002"/>
      <c r="AF712" s="1002"/>
      <c r="AG712" s="1002"/>
      <c r="AH712" s="1002"/>
      <c r="AI712" s="1002"/>
      <c r="AJ712" s="970"/>
      <c r="AK712" s="1002"/>
      <c r="AL712" s="1002"/>
      <c r="AM712" s="1039"/>
      <c r="AN712" s="1112"/>
      <c r="AT712" s="51"/>
      <c r="AU712" s="51"/>
      <c r="AV712" s="51"/>
      <c r="AW712" s="51"/>
      <c r="AX712" s="51"/>
      <c r="AY712" s="51"/>
      <c r="AZ712" s="51"/>
    </row>
    <row r="713" spans="1:52" s="1113" customFormat="1">
      <c r="A713" s="1039"/>
      <c r="B713" s="1003"/>
      <c r="C713" s="1477"/>
      <c r="D713" s="1479"/>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02"/>
      <c r="AD713" s="1002"/>
      <c r="AE713" s="1002"/>
      <c r="AF713" s="1002"/>
      <c r="AG713" s="1002"/>
      <c r="AH713" s="1002"/>
      <c r="AI713" s="1002"/>
      <c r="AJ713" s="970"/>
      <c r="AK713" s="985"/>
      <c r="AL713" s="985"/>
      <c r="AM713" s="1005"/>
      <c r="AN713" s="1112"/>
      <c r="AT713" s="51"/>
      <c r="AU713" s="51"/>
      <c r="AV713" s="51"/>
      <c r="AW713" s="51"/>
      <c r="AX713" s="51"/>
      <c r="AY713" s="51"/>
      <c r="AZ713" s="51"/>
    </row>
    <row r="714" spans="1:52" s="1113" customFormat="1">
      <c r="A714" s="1039"/>
      <c r="B714" s="906"/>
      <c r="C714" s="1474"/>
      <c r="D714" s="1085" t="s">
        <v>697</v>
      </c>
      <c r="E714" s="2693" t="s">
        <v>1950</v>
      </c>
      <c r="F714" s="2693"/>
      <c r="G714" s="2693"/>
      <c r="H714" s="2693"/>
      <c r="I714" s="2693"/>
      <c r="J714" s="2693"/>
      <c r="K714" s="2693"/>
      <c r="L714" s="2693"/>
      <c r="M714" s="2693"/>
      <c r="N714" s="2693"/>
      <c r="O714" s="2693"/>
      <c r="P714" s="2693"/>
      <c r="Q714" s="2693"/>
      <c r="R714" s="2693"/>
      <c r="S714" s="2693"/>
      <c r="T714" s="2693"/>
      <c r="U714" s="2693"/>
      <c r="V714" s="2693"/>
      <c r="W714" s="2693"/>
      <c r="X714" s="2693"/>
      <c r="Y714" s="2693"/>
      <c r="Z714" s="2693"/>
      <c r="AA714" s="2693"/>
      <c r="AB714" s="2693"/>
      <c r="AC714" s="906"/>
      <c r="AD714" s="906"/>
      <c r="AE714" s="906"/>
      <c r="AF714" s="2751" t="s">
        <v>1523</v>
      </c>
      <c r="AG714" s="2751"/>
      <c r="AH714" s="2751"/>
      <c r="AI714" s="2751"/>
      <c r="AJ714" s="2751"/>
      <c r="AK714" s="2751"/>
      <c r="AL714" s="2751"/>
      <c r="AM714" s="1005"/>
      <c r="AN714" s="1112"/>
      <c r="AT714" s="51"/>
      <c r="AU714" s="51"/>
      <c r="AV714" s="51"/>
      <c r="AW714" s="51"/>
      <c r="AX714" s="51"/>
      <c r="AY714" s="51"/>
      <c r="AZ714" s="51"/>
    </row>
    <row r="715" spans="1:52" s="1113" customFormat="1">
      <c r="A715" s="1039"/>
      <c r="B715" s="1002"/>
      <c r="C715" s="1476"/>
      <c r="D715" s="1085"/>
      <c r="E715" s="2693"/>
      <c r="F715" s="2693"/>
      <c r="G715" s="2693"/>
      <c r="H715" s="2693"/>
      <c r="I715" s="2693"/>
      <c r="J715" s="2693"/>
      <c r="K715" s="2693"/>
      <c r="L715" s="2693"/>
      <c r="M715" s="2693"/>
      <c r="N715" s="2693"/>
      <c r="O715" s="2693"/>
      <c r="P715" s="2693"/>
      <c r="Q715" s="2693"/>
      <c r="R715" s="2693"/>
      <c r="S715" s="2693"/>
      <c r="T715" s="2693"/>
      <c r="U715" s="2693"/>
      <c r="V715" s="2693"/>
      <c r="W715" s="2693"/>
      <c r="X715" s="2693"/>
      <c r="Y715" s="2693"/>
      <c r="Z715" s="2693"/>
      <c r="AA715" s="2693"/>
      <c r="AB715" s="2693"/>
      <c r="AC715" s="906"/>
      <c r="AD715" s="906"/>
      <c r="AE715" s="1002"/>
      <c r="AF715" s="1002"/>
      <c r="AG715" s="1002"/>
      <c r="AH715" s="1002"/>
      <c r="AI715" s="1002"/>
      <c r="AJ715" s="1002"/>
      <c r="AK715" s="1002"/>
      <c r="AL715" s="1002"/>
      <c r="AM715" s="1005"/>
      <c r="AN715" s="1112"/>
      <c r="AT715" s="51"/>
      <c r="AU715" s="51"/>
      <c r="AV715" s="51"/>
      <c r="AW715" s="51"/>
      <c r="AX715" s="51"/>
      <c r="AY715" s="51"/>
      <c r="AZ715" s="51"/>
    </row>
    <row r="716" spans="1:52" s="1113" customFormat="1">
      <c r="A716" s="1039"/>
      <c r="B716" s="1003"/>
      <c r="C716" s="1477"/>
      <c r="D716" s="1085"/>
      <c r="E716" s="1014"/>
      <c r="F716" s="1014"/>
      <c r="G716" s="1014"/>
      <c r="H716" s="1014"/>
      <c r="I716" s="1014"/>
      <c r="J716" s="1014"/>
      <c r="K716" s="1014"/>
      <c r="L716" s="1014"/>
      <c r="M716" s="1014"/>
      <c r="N716" s="1014"/>
      <c r="O716" s="1014"/>
      <c r="P716" s="1014"/>
      <c r="Q716" s="1014"/>
      <c r="R716" s="1014"/>
      <c r="S716" s="1014"/>
      <c r="T716" s="1014"/>
      <c r="U716" s="1014"/>
      <c r="V716" s="1014"/>
      <c r="W716" s="1014"/>
      <c r="X716" s="1014"/>
      <c r="Y716" s="1014"/>
      <c r="Z716" s="1014"/>
      <c r="AA716" s="1014"/>
      <c r="AB716" s="1014"/>
      <c r="AC716" s="906"/>
      <c r="AD716" s="906"/>
      <c r="AE716" s="1002"/>
      <c r="AF716" s="1002"/>
      <c r="AG716" s="1002"/>
      <c r="AH716" s="1002"/>
      <c r="AI716" s="1002"/>
      <c r="AJ716" s="1002"/>
      <c r="AK716" s="1002"/>
      <c r="AL716" s="1002"/>
      <c r="AM716" s="1005"/>
      <c r="AN716" s="1112"/>
      <c r="AT716" s="51"/>
      <c r="AU716" s="51"/>
      <c r="AV716" s="51"/>
      <c r="AW716" s="51"/>
      <c r="AX716" s="51"/>
      <c r="AY716" s="51"/>
      <c r="AZ716" s="51"/>
    </row>
    <row r="717" spans="1:52" s="1113" customFormat="1" ht="12.75" customHeight="1">
      <c r="A717" s="1039"/>
      <c r="B717" s="985"/>
      <c r="C717" s="1474"/>
      <c r="D717" s="1085" t="s">
        <v>518</v>
      </c>
      <c r="E717" s="2693" t="s">
        <v>1610</v>
      </c>
      <c r="F717" s="2693"/>
      <c r="G717" s="2693"/>
      <c r="H717" s="2693"/>
      <c r="I717" s="2693"/>
      <c r="J717" s="2693"/>
      <c r="K717" s="2693"/>
      <c r="L717" s="2693"/>
      <c r="M717" s="2693"/>
      <c r="N717" s="2693"/>
      <c r="O717" s="2693"/>
      <c r="P717" s="2693"/>
      <c r="Q717" s="2693"/>
      <c r="R717" s="2693"/>
      <c r="S717" s="2693"/>
      <c r="T717" s="2693"/>
      <c r="U717" s="2693"/>
      <c r="V717" s="2693"/>
      <c r="W717" s="2693"/>
      <c r="X717" s="2693"/>
      <c r="Y717" s="2693"/>
      <c r="Z717" s="2693"/>
      <c r="AA717" s="2693"/>
      <c r="AB717" s="2693"/>
      <c r="AC717" s="906"/>
      <c r="AD717" s="906"/>
      <c r="AE717" s="906"/>
      <c r="AF717" s="2751" t="s">
        <v>1579</v>
      </c>
      <c r="AG717" s="2751"/>
      <c r="AH717" s="2751"/>
      <c r="AI717" s="2751"/>
      <c r="AJ717" s="2751"/>
      <c r="AK717" s="2751"/>
      <c r="AL717" s="2751"/>
      <c r="AM717" s="1005"/>
      <c r="AN717" s="1112"/>
      <c r="AT717" s="51"/>
      <c r="AU717" s="51"/>
      <c r="AV717" s="51"/>
      <c r="AW717" s="51"/>
      <c r="AX717" s="51"/>
      <c r="AY717" s="51"/>
      <c r="AZ717" s="51"/>
    </row>
    <row r="718" spans="1:52" s="1113" customFormat="1">
      <c r="A718" s="1039"/>
      <c r="B718" s="1002"/>
      <c r="C718" s="1476"/>
      <c r="D718" s="1002"/>
      <c r="E718" s="2693"/>
      <c r="F718" s="2693"/>
      <c r="G718" s="2693"/>
      <c r="H718" s="2693"/>
      <c r="I718" s="2693"/>
      <c r="J718" s="2693"/>
      <c r="K718" s="2693"/>
      <c r="L718" s="2693"/>
      <c r="M718" s="2693"/>
      <c r="N718" s="2693"/>
      <c r="O718" s="2693"/>
      <c r="P718" s="2693"/>
      <c r="Q718" s="2693"/>
      <c r="R718" s="2693"/>
      <c r="S718" s="2693"/>
      <c r="T718" s="2693"/>
      <c r="U718" s="2693"/>
      <c r="V718" s="2693"/>
      <c r="W718" s="2693"/>
      <c r="X718" s="2693"/>
      <c r="Y718" s="2693"/>
      <c r="Z718" s="2693"/>
      <c r="AA718" s="2693"/>
      <c r="AB718" s="2693"/>
      <c r="AC718" s="1002"/>
      <c r="AD718" s="1002"/>
      <c r="AE718" s="1002"/>
      <c r="AF718" s="1002"/>
      <c r="AG718" s="1002"/>
      <c r="AH718" s="1002"/>
      <c r="AI718" s="1002"/>
      <c r="AJ718" s="906"/>
      <c r="AK718" s="985"/>
      <c r="AL718" s="985"/>
      <c r="AM718" s="1005"/>
      <c r="AN718" s="1112"/>
      <c r="AT718" s="51"/>
      <c r="AU718" s="51"/>
      <c r="AV718" s="51"/>
      <c r="AW718" s="51"/>
      <c r="AX718" s="51"/>
      <c r="AY718" s="51"/>
      <c r="AZ718" s="51"/>
    </row>
    <row r="719" spans="1:52" s="1113" customFormat="1">
      <c r="A719" s="1039"/>
      <c r="B719" s="1002"/>
      <c r="C719" s="1476"/>
      <c r="D719" s="1002"/>
      <c r="E719" s="1437"/>
      <c r="F719" s="1437"/>
      <c r="G719" s="1437"/>
      <c r="H719" s="1437"/>
      <c r="I719" s="1437"/>
      <c r="J719" s="1437"/>
      <c r="K719" s="1437"/>
      <c r="L719" s="1437"/>
      <c r="M719" s="1437"/>
      <c r="N719" s="1437"/>
      <c r="O719" s="1437"/>
      <c r="P719" s="1437"/>
      <c r="Q719" s="1437"/>
      <c r="R719" s="1437"/>
      <c r="S719" s="1437"/>
      <c r="T719" s="1437"/>
      <c r="U719" s="1437"/>
      <c r="V719" s="1437"/>
      <c r="W719" s="1437"/>
      <c r="X719" s="1437"/>
      <c r="Y719" s="1437"/>
      <c r="Z719" s="1437"/>
      <c r="AA719" s="1437"/>
      <c r="AB719" s="1437"/>
      <c r="AC719" s="1002"/>
      <c r="AD719" s="1002"/>
      <c r="AE719" s="1002"/>
      <c r="AF719" s="1002"/>
      <c r="AG719" s="1002"/>
      <c r="AH719" s="1002"/>
      <c r="AI719" s="1002"/>
      <c r="AJ719" s="906"/>
      <c r="AK719" s="985"/>
      <c r="AL719" s="985"/>
      <c r="AM719" s="1005"/>
      <c r="AN719" s="1112"/>
      <c r="AT719" s="51"/>
      <c r="AU719" s="51"/>
      <c r="AV719" s="51"/>
      <c r="AW719" s="51"/>
      <c r="AX719" s="51"/>
      <c r="AY719" s="51"/>
      <c r="AZ719" s="51"/>
    </row>
    <row r="720" spans="1:52" s="1113" customFormat="1" ht="12.75" customHeight="1">
      <c r="A720" s="1039"/>
      <c r="B720" s="1002"/>
      <c r="C720" s="1476"/>
      <c r="D720" s="1002" t="s">
        <v>1571</v>
      </c>
      <c r="E720" s="1480"/>
      <c r="F720" s="1480"/>
      <c r="G720" s="1480"/>
      <c r="H720" s="2692" t="s">
        <v>600</v>
      </c>
      <c r="I720" s="2692"/>
      <c r="J720" s="1437"/>
      <c r="K720" s="1437"/>
      <c r="L720" s="1437"/>
      <c r="M720" s="1437"/>
      <c r="N720" s="1437"/>
      <c r="O720" s="1437"/>
      <c r="P720" s="1437"/>
      <c r="Q720" s="1437"/>
      <c r="R720" s="1437"/>
      <c r="S720" s="1437"/>
      <c r="T720" s="1437"/>
      <c r="U720" s="1437"/>
      <c r="V720" s="1437"/>
      <c r="W720" s="1437"/>
      <c r="X720" s="1437"/>
      <c r="Y720" s="1437"/>
      <c r="Z720" s="1437"/>
      <c r="AA720" s="1437"/>
      <c r="AB720" s="1437"/>
      <c r="AC720" s="1002"/>
      <c r="AD720" s="1002"/>
      <c r="AE720" s="1002"/>
      <c r="AF720" s="1002"/>
      <c r="AG720" s="1002"/>
      <c r="AH720" s="1002"/>
      <c r="AI720" s="1002"/>
      <c r="AJ720" s="906"/>
      <c r="AK720" s="985"/>
      <c r="AL720" s="985"/>
      <c r="AM720" s="1005"/>
      <c r="AN720" s="1112"/>
      <c r="AT720" s="51"/>
      <c r="AU720" s="51"/>
      <c r="AV720" s="51"/>
      <c r="AW720" s="51"/>
      <c r="AX720" s="51"/>
      <c r="AY720" s="51"/>
      <c r="AZ720" s="51"/>
    </row>
    <row r="721" spans="1:81" s="1113" customFormat="1">
      <c r="A721" s="1039"/>
      <c r="B721" s="1002"/>
      <c r="C721" s="1476"/>
      <c r="D721" s="1002"/>
      <c r="E721" s="1437"/>
      <c r="F721" s="1437"/>
      <c r="G721" s="1437"/>
      <c r="H721" s="1437"/>
      <c r="I721" s="1437"/>
      <c r="J721" s="1437"/>
      <c r="K721" s="1437"/>
      <c r="L721" s="1437"/>
      <c r="M721" s="1437"/>
      <c r="N721" s="1437"/>
      <c r="O721" s="1437"/>
      <c r="P721" s="1437"/>
      <c r="Q721" s="1437"/>
      <c r="R721" s="1437"/>
      <c r="S721" s="1437"/>
      <c r="T721" s="1437"/>
      <c r="U721" s="1437"/>
      <c r="V721" s="1437"/>
      <c r="W721" s="1437"/>
      <c r="X721" s="1437"/>
      <c r="Y721" s="1437"/>
      <c r="Z721" s="1437"/>
      <c r="AA721" s="1437"/>
      <c r="AB721" s="1437"/>
      <c r="AC721" s="1002"/>
      <c r="AD721" s="1002"/>
      <c r="AE721" s="1002"/>
      <c r="AF721" s="1002"/>
      <c r="AG721" s="1002"/>
      <c r="AH721" s="1002"/>
      <c r="AI721" s="1002"/>
      <c r="AJ721" s="906"/>
      <c r="AK721" s="985"/>
      <c r="AL721" s="985"/>
      <c r="AM721" s="1005"/>
      <c r="AN721" s="111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13" customFormat="1">
      <c r="A722" s="1050"/>
      <c r="B722" s="998"/>
      <c r="C722" s="1484"/>
      <c r="D722" s="998"/>
      <c r="E722" s="1497"/>
      <c r="F722" s="1497"/>
      <c r="G722" s="1497"/>
      <c r="H722" s="1497"/>
      <c r="I722" s="1497"/>
      <c r="J722" s="1497"/>
      <c r="K722" s="1497"/>
      <c r="L722" s="1497"/>
      <c r="M722" s="1497"/>
      <c r="N722" s="1497"/>
      <c r="O722" s="1497"/>
      <c r="P722" s="1497"/>
      <c r="Q722" s="1497"/>
      <c r="R722" s="1497"/>
      <c r="S722" s="1497"/>
      <c r="T722" s="1497"/>
      <c r="U722" s="1497"/>
      <c r="V722" s="1087"/>
      <c r="W722" s="1087"/>
      <c r="X722" s="1087"/>
      <c r="Y722" s="1485"/>
      <c r="Z722" s="1485"/>
      <c r="AA722" s="1485"/>
      <c r="AB722" s="998"/>
      <c r="AC722" s="998"/>
      <c r="AD722" s="998"/>
      <c r="AE722" s="998"/>
      <c r="AF722" s="998"/>
      <c r="AG722" s="998"/>
      <c r="AH722" s="998"/>
      <c r="AI722" s="938" t="s">
        <v>1611</v>
      </c>
      <c r="AJ722" s="2674">
        <f>VLOOKUP($H$720,$AO$655:$AP$657,2,FALSE)</f>
        <v>0</v>
      </c>
      <c r="AK722" s="2676"/>
      <c r="AL722" s="984"/>
      <c r="AM722" s="981"/>
      <c r="AN722" s="111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13" customFormat="1" ht="12.75" customHeight="1">
      <c r="A723" s="1039"/>
      <c r="B723" s="1002"/>
      <c r="C723" s="1476"/>
      <c r="D723" s="906"/>
      <c r="E723" s="906"/>
      <c r="F723" s="906"/>
      <c r="G723" s="906"/>
      <c r="H723" s="906"/>
      <c r="I723" s="906"/>
      <c r="J723" s="1437"/>
      <c r="K723" s="1437"/>
      <c r="L723" s="1437"/>
      <c r="M723" s="1437"/>
      <c r="N723" s="906"/>
      <c r="O723" s="906"/>
      <c r="P723" s="906"/>
      <c r="Q723" s="906"/>
      <c r="R723" s="906"/>
      <c r="S723" s="906"/>
      <c r="T723" s="906"/>
      <c r="U723" s="906"/>
      <c r="V723" s="906"/>
      <c r="W723" s="906"/>
      <c r="X723" s="906"/>
      <c r="Y723" s="906"/>
      <c r="Z723" s="906"/>
      <c r="AA723" s="906"/>
      <c r="AB723" s="906"/>
      <c r="AC723" s="906"/>
      <c r="AD723" s="906"/>
      <c r="AE723" s="906"/>
      <c r="AF723" s="906"/>
      <c r="AG723" s="906"/>
      <c r="AH723" s="906"/>
      <c r="AI723" s="906"/>
      <c r="AJ723" s="906"/>
      <c r="AK723" s="906"/>
      <c r="AL723" s="906"/>
      <c r="AM723" s="922"/>
      <c r="AN723" s="111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13" customFormat="1" ht="12.75" customHeight="1">
      <c r="A724" s="922"/>
      <c r="B724" s="906"/>
      <c r="C724" s="965" t="s">
        <v>1612</v>
      </c>
      <c r="D724" s="906"/>
      <c r="E724" s="906"/>
      <c r="F724" s="906"/>
      <c r="G724" s="906"/>
      <c r="H724" s="906"/>
      <c r="I724" s="906"/>
      <c r="J724" s="906"/>
      <c r="K724" s="906"/>
      <c r="L724" s="906"/>
      <c r="M724" s="906"/>
      <c r="N724" s="906"/>
      <c r="O724" s="906"/>
      <c r="P724" s="906"/>
      <c r="Q724" s="906"/>
      <c r="R724" s="906"/>
      <c r="S724" s="906"/>
      <c r="T724" s="906"/>
      <c r="U724" s="906"/>
      <c r="V724" s="906"/>
      <c r="W724" s="906"/>
      <c r="X724" s="906"/>
      <c r="Y724" s="906"/>
      <c r="Z724" s="906"/>
      <c r="AA724" s="906"/>
      <c r="AB724" s="906"/>
      <c r="AC724" s="906"/>
      <c r="AD724" s="906"/>
      <c r="AE724" s="906"/>
      <c r="AF724" s="906"/>
      <c r="AG724" s="906"/>
      <c r="AH724" s="906"/>
      <c r="AI724" s="906"/>
      <c r="AJ724" s="906"/>
      <c r="AK724" s="906"/>
      <c r="AL724" s="906"/>
      <c r="AM724" s="922"/>
      <c r="AN724" s="111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13" customFormat="1">
      <c r="A725" s="1039"/>
      <c r="B725" s="1003"/>
      <c r="C725" s="1501"/>
      <c r="D725" s="1003"/>
      <c r="E725" s="1003"/>
      <c r="F725" s="1002"/>
      <c r="G725" s="1002"/>
      <c r="H725" s="1003"/>
      <c r="I725" s="1003"/>
      <c r="J725" s="1003"/>
      <c r="K725" s="1003"/>
      <c r="L725" s="1003"/>
      <c r="M725" s="1003"/>
      <c r="N725" s="1003"/>
      <c r="O725" s="1003"/>
      <c r="P725" s="1003"/>
      <c r="Q725" s="1003"/>
      <c r="R725" s="1003"/>
      <c r="S725" s="1003"/>
      <c r="T725" s="1002"/>
      <c r="U725" s="1002"/>
      <c r="V725" s="1002"/>
      <c r="W725" s="1002"/>
      <c r="X725" s="984"/>
      <c r="Y725" s="984"/>
      <c r="Z725" s="984"/>
      <c r="AA725" s="984"/>
      <c r="AB725" s="984"/>
      <c r="AC725" s="1002"/>
      <c r="AD725" s="1002"/>
      <c r="AE725" s="1002"/>
      <c r="AF725" s="1002"/>
      <c r="AG725" s="1002"/>
      <c r="AH725" s="1002"/>
      <c r="AI725" s="1002"/>
      <c r="AJ725" s="906"/>
      <c r="AK725" s="985"/>
      <c r="AL725" s="985"/>
      <c r="AM725" s="1005"/>
      <c r="AN725" s="111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13" customFormat="1">
      <c r="A726" s="1039"/>
      <c r="B726" s="906"/>
      <c r="C726" s="1474"/>
      <c r="D726" s="1085" t="s">
        <v>697</v>
      </c>
      <c r="E726" s="2693" t="s">
        <v>1613</v>
      </c>
      <c r="F726" s="2693"/>
      <c r="G726" s="2693"/>
      <c r="H726" s="2693"/>
      <c r="I726" s="2693"/>
      <c r="J726" s="2693"/>
      <c r="K726" s="2693"/>
      <c r="L726" s="2693"/>
      <c r="M726" s="2693"/>
      <c r="N726" s="2693"/>
      <c r="O726" s="2693"/>
      <c r="P726" s="2693"/>
      <c r="Q726" s="2693"/>
      <c r="R726" s="2693"/>
      <c r="S726" s="2693"/>
      <c r="T726" s="2693"/>
      <c r="U726" s="2693"/>
      <c r="V726" s="2693"/>
      <c r="W726" s="2693"/>
      <c r="X726" s="2693"/>
      <c r="Y726" s="2693"/>
      <c r="Z726" s="2693"/>
      <c r="AA726" s="2693"/>
      <c r="AB726" s="2693"/>
      <c r="AC726" s="906"/>
      <c r="AD726" s="906"/>
      <c r="AE726" s="906"/>
      <c r="AF726" s="2751" t="s">
        <v>1523</v>
      </c>
      <c r="AG726" s="2751"/>
      <c r="AH726" s="2751"/>
      <c r="AI726" s="2751"/>
      <c r="AJ726" s="2751"/>
      <c r="AK726" s="2751"/>
      <c r="AL726" s="2751"/>
      <c r="AM726" s="1005"/>
      <c r="AN726" s="1112"/>
      <c r="AT726" s="51"/>
      <c r="AU726" s="51"/>
      <c r="AV726" s="51"/>
      <c r="AW726" s="51"/>
      <c r="AX726" s="51"/>
      <c r="AY726" s="51"/>
      <c r="AZ726" s="51"/>
    </row>
    <row r="727" spans="1:81" s="1113" customFormat="1">
      <c r="A727" s="1039"/>
      <c r="B727" s="906"/>
      <c r="C727" s="1474"/>
      <c r="D727" s="1085"/>
      <c r="E727" s="2693"/>
      <c r="F727" s="2693"/>
      <c r="G727" s="2693"/>
      <c r="H727" s="2693"/>
      <c r="I727" s="2693"/>
      <c r="J727" s="2693"/>
      <c r="K727" s="2693"/>
      <c r="L727" s="2693"/>
      <c r="M727" s="2693"/>
      <c r="N727" s="2693"/>
      <c r="O727" s="2693"/>
      <c r="P727" s="2693"/>
      <c r="Q727" s="2693"/>
      <c r="R727" s="2693"/>
      <c r="S727" s="2693"/>
      <c r="T727" s="2693"/>
      <c r="U727" s="2693"/>
      <c r="V727" s="2693"/>
      <c r="W727" s="2693"/>
      <c r="X727" s="2693"/>
      <c r="Y727" s="2693"/>
      <c r="Z727" s="2693"/>
      <c r="AA727" s="2693"/>
      <c r="AB727" s="2693"/>
      <c r="AC727" s="906"/>
      <c r="AD727" s="906"/>
      <c r="AE727" s="906"/>
      <c r="AF727" s="1436"/>
      <c r="AG727" s="1436"/>
      <c r="AH727" s="1436"/>
      <c r="AI727" s="1436"/>
      <c r="AJ727" s="1436"/>
      <c r="AK727" s="1436"/>
      <c r="AL727" s="1436"/>
      <c r="AM727" s="1005"/>
      <c r="AN727" s="1112"/>
      <c r="AT727" s="51"/>
      <c r="AU727" s="51"/>
      <c r="AV727" s="51"/>
      <c r="AW727" s="51"/>
      <c r="AX727" s="51"/>
      <c r="AY727" s="51"/>
      <c r="AZ727" s="51"/>
    </row>
    <row r="728" spans="1:81" s="1113" customFormat="1">
      <c r="A728" s="1039"/>
      <c r="B728" s="1002"/>
      <c r="C728" s="1476"/>
      <c r="D728" s="1085"/>
      <c r="E728" s="2693"/>
      <c r="F728" s="2693"/>
      <c r="G728" s="2693"/>
      <c r="H728" s="2693"/>
      <c r="I728" s="2693"/>
      <c r="J728" s="2693"/>
      <c r="K728" s="2693"/>
      <c r="L728" s="2693"/>
      <c r="M728" s="2693"/>
      <c r="N728" s="2693"/>
      <c r="O728" s="2693"/>
      <c r="P728" s="2693"/>
      <c r="Q728" s="2693"/>
      <c r="R728" s="2693"/>
      <c r="S728" s="2693"/>
      <c r="T728" s="2693"/>
      <c r="U728" s="2693"/>
      <c r="V728" s="2693"/>
      <c r="W728" s="2693"/>
      <c r="X728" s="2693"/>
      <c r="Y728" s="2693"/>
      <c r="Z728" s="2693"/>
      <c r="AA728" s="2693"/>
      <c r="AB728" s="2693"/>
      <c r="AC728" s="906"/>
      <c r="AD728" s="906"/>
      <c r="AE728" s="906"/>
      <c r="AF728" s="906"/>
      <c r="AG728" s="906"/>
      <c r="AH728" s="906"/>
      <c r="AI728" s="906"/>
      <c r="AJ728" s="906"/>
      <c r="AK728" s="906"/>
      <c r="AL728" s="985"/>
      <c r="AM728" s="1005"/>
      <c r="AN728" s="1112"/>
    </row>
    <row r="729" spans="1:81" s="1114" customFormat="1" ht="12.75" customHeight="1">
      <c r="A729" s="1039"/>
      <c r="B729" s="1002"/>
      <c r="C729" s="1476"/>
      <c r="D729" s="1085"/>
      <c r="E729" s="2693"/>
      <c r="F729" s="2693"/>
      <c r="G729" s="2693"/>
      <c r="H729" s="2693"/>
      <c r="I729" s="2693"/>
      <c r="J729" s="2693"/>
      <c r="K729" s="2693"/>
      <c r="L729" s="2693"/>
      <c r="M729" s="2693"/>
      <c r="N729" s="2693"/>
      <c r="O729" s="2693"/>
      <c r="P729" s="2693"/>
      <c r="Q729" s="2693"/>
      <c r="R729" s="2693"/>
      <c r="S729" s="2693"/>
      <c r="T729" s="2693"/>
      <c r="U729" s="2693"/>
      <c r="V729" s="2693"/>
      <c r="W729" s="2693"/>
      <c r="X729" s="2693"/>
      <c r="Y729" s="2693"/>
      <c r="Z729" s="2693"/>
      <c r="AA729" s="2693"/>
      <c r="AB729" s="2693"/>
      <c r="AC729" s="906"/>
      <c r="AD729" s="906"/>
      <c r="AE729" s="1002"/>
      <c r="AF729" s="1002"/>
      <c r="AG729" s="985"/>
      <c r="AH729" s="985"/>
      <c r="AI729" s="985"/>
      <c r="AJ729" s="985"/>
      <c r="AK729" s="985"/>
      <c r="AL729" s="985"/>
      <c r="AM729" s="1005"/>
      <c r="AN729" s="1118"/>
      <c r="AO729" s="56"/>
    </row>
    <row r="730" spans="1:81" s="1113" customFormat="1">
      <c r="A730" s="1105"/>
      <c r="B730" s="984"/>
      <c r="C730" s="1477"/>
      <c r="D730" s="1085"/>
      <c r="E730" s="1502"/>
      <c r="F730" s="1502"/>
      <c r="G730" s="1502"/>
      <c r="H730" s="1502"/>
      <c r="I730" s="1502"/>
      <c r="J730" s="1502"/>
      <c r="K730" s="1502"/>
      <c r="L730" s="1502"/>
      <c r="M730" s="1502"/>
      <c r="N730" s="1502"/>
      <c r="O730" s="1502"/>
      <c r="P730" s="1502"/>
      <c r="Q730" s="1502"/>
      <c r="R730" s="1502"/>
      <c r="S730" s="1502"/>
      <c r="T730" s="1502"/>
      <c r="U730" s="1502"/>
      <c r="V730" s="1502"/>
      <c r="W730" s="1502"/>
      <c r="X730" s="1502"/>
      <c r="Y730" s="1502"/>
      <c r="Z730" s="1502"/>
      <c r="AA730" s="1502"/>
      <c r="AB730" s="1502"/>
      <c r="AC730" s="906"/>
      <c r="AD730" s="906"/>
      <c r="AE730" s="985"/>
      <c r="AF730" s="906"/>
      <c r="AG730" s="906"/>
      <c r="AH730" s="906"/>
      <c r="AI730" s="906"/>
      <c r="AJ730" s="906"/>
      <c r="AK730" s="906"/>
      <c r="AL730" s="906"/>
      <c r="AM730" s="1005"/>
      <c r="AN730" s="1112"/>
      <c r="AO730" s="126"/>
      <c r="AP730" s="51"/>
    </row>
    <row r="731" spans="1:81" s="1113" customFormat="1">
      <c r="A731" s="1039"/>
      <c r="B731" s="985"/>
      <c r="C731" s="1474"/>
      <c r="D731" s="1085" t="s">
        <v>518</v>
      </c>
      <c r="E731" s="2693" t="s">
        <v>1614</v>
      </c>
      <c r="F731" s="2693"/>
      <c r="G731" s="2693"/>
      <c r="H731" s="2693"/>
      <c r="I731" s="2693"/>
      <c r="J731" s="2693"/>
      <c r="K731" s="2693"/>
      <c r="L731" s="2693"/>
      <c r="M731" s="2693"/>
      <c r="N731" s="2693"/>
      <c r="O731" s="2693"/>
      <c r="P731" s="2693"/>
      <c r="Q731" s="2693"/>
      <c r="R731" s="2693"/>
      <c r="S731" s="2693"/>
      <c r="T731" s="2693"/>
      <c r="U731" s="2693"/>
      <c r="V731" s="2693"/>
      <c r="W731" s="2693"/>
      <c r="X731" s="2693"/>
      <c r="Y731" s="2693"/>
      <c r="Z731" s="2693"/>
      <c r="AA731" s="2693"/>
      <c r="AB731" s="948"/>
      <c r="AC731" s="906"/>
      <c r="AD731" s="906"/>
      <c r="AE731" s="906"/>
      <c r="AF731" s="2751" t="s">
        <v>1579</v>
      </c>
      <c r="AG731" s="2751"/>
      <c r="AH731" s="2751"/>
      <c r="AI731" s="2751"/>
      <c r="AJ731" s="2751"/>
      <c r="AK731" s="2751"/>
      <c r="AL731" s="2751"/>
      <c r="AM731" s="1005"/>
      <c r="AN731" s="1112"/>
      <c r="AO731" s="126"/>
      <c r="AP731" s="51"/>
    </row>
    <row r="732" spans="1:81" s="1113" customFormat="1">
      <c r="A732" s="1039"/>
      <c r="B732" s="985"/>
      <c r="C732" s="1474"/>
      <c r="D732" s="1085"/>
      <c r="E732" s="2693"/>
      <c r="F732" s="2693"/>
      <c r="G732" s="2693"/>
      <c r="H732" s="2693"/>
      <c r="I732" s="2693"/>
      <c r="J732" s="2693"/>
      <c r="K732" s="2693"/>
      <c r="L732" s="2693"/>
      <c r="M732" s="2693"/>
      <c r="N732" s="2693"/>
      <c r="O732" s="2693"/>
      <c r="P732" s="2693"/>
      <c r="Q732" s="2693"/>
      <c r="R732" s="2693"/>
      <c r="S732" s="2693"/>
      <c r="T732" s="2693"/>
      <c r="U732" s="2693"/>
      <c r="V732" s="2693"/>
      <c r="W732" s="2693"/>
      <c r="X732" s="2693"/>
      <c r="Y732" s="2693"/>
      <c r="Z732" s="2693"/>
      <c r="AA732" s="2693"/>
      <c r="AB732" s="948"/>
      <c r="AC732" s="906"/>
      <c r="AD732" s="906"/>
      <c r="AE732" s="906"/>
      <c r="AF732" s="1436"/>
      <c r="AG732" s="1436"/>
      <c r="AH732" s="1436"/>
      <c r="AI732" s="1436"/>
      <c r="AJ732" s="1436"/>
      <c r="AK732" s="1436"/>
      <c r="AL732" s="1436"/>
      <c r="AM732" s="1005"/>
      <c r="AN732" s="1112"/>
      <c r="AO732" s="126"/>
      <c r="AP732" s="51"/>
    </row>
    <row r="733" spans="1:81" s="1113" customFormat="1">
      <c r="A733" s="1039"/>
      <c r="B733" s="985"/>
      <c r="C733" s="1474"/>
      <c r="D733" s="1002"/>
      <c r="E733" s="2693"/>
      <c r="F733" s="2693"/>
      <c r="G733" s="2693"/>
      <c r="H733" s="2693"/>
      <c r="I733" s="2693"/>
      <c r="J733" s="2693"/>
      <c r="K733" s="2693"/>
      <c r="L733" s="2693"/>
      <c r="M733" s="2693"/>
      <c r="N733" s="2693"/>
      <c r="O733" s="2693"/>
      <c r="P733" s="2693"/>
      <c r="Q733" s="2693"/>
      <c r="R733" s="2693"/>
      <c r="S733" s="2693"/>
      <c r="T733" s="2693"/>
      <c r="U733" s="2693"/>
      <c r="V733" s="2693"/>
      <c r="W733" s="2693"/>
      <c r="X733" s="2693"/>
      <c r="Y733" s="2693"/>
      <c r="Z733" s="2693"/>
      <c r="AA733" s="2693"/>
      <c r="AB733" s="948"/>
      <c r="AC733" s="1436"/>
      <c r="AD733" s="1436"/>
      <c r="AE733" s="1436"/>
      <c r="AF733" s="1436"/>
      <c r="AG733" s="1436"/>
      <c r="AH733" s="1436"/>
      <c r="AI733" s="1436"/>
      <c r="AJ733" s="906"/>
      <c r="AK733" s="985"/>
      <c r="AL733" s="985"/>
      <c r="AM733" s="1005"/>
      <c r="AN733" s="1112"/>
      <c r="AO733" s="126"/>
      <c r="AP733" s="51"/>
    </row>
    <row r="734" spans="1:81" s="1113" customFormat="1">
      <c r="A734" s="1039"/>
      <c r="B734" s="985"/>
      <c r="C734" s="1474"/>
      <c r="D734" s="1002"/>
      <c r="E734" s="2693"/>
      <c r="F734" s="2693"/>
      <c r="G734" s="2693"/>
      <c r="H734" s="2693"/>
      <c r="I734" s="2693"/>
      <c r="J734" s="2693"/>
      <c r="K734" s="2693"/>
      <c r="L734" s="2693"/>
      <c r="M734" s="2693"/>
      <c r="N734" s="2693"/>
      <c r="O734" s="2693"/>
      <c r="P734" s="2693"/>
      <c r="Q734" s="2693"/>
      <c r="R734" s="2693"/>
      <c r="S734" s="2693"/>
      <c r="T734" s="2693"/>
      <c r="U734" s="2693"/>
      <c r="V734" s="2693"/>
      <c r="W734" s="2693"/>
      <c r="X734" s="2693"/>
      <c r="Y734" s="2693"/>
      <c r="Z734" s="2693"/>
      <c r="AA734" s="2693"/>
      <c r="AB734" s="948"/>
      <c r="AC734" s="1436"/>
      <c r="AD734" s="1436"/>
      <c r="AE734" s="1436"/>
      <c r="AF734" s="1436"/>
      <c r="AG734" s="1436"/>
      <c r="AH734" s="1436"/>
      <c r="AI734" s="1436"/>
      <c r="AJ734" s="906"/>
      <c r="AK734" s="985"/>
      <c r="AL734" s="985"/>
      <c r="AM734" s="1005"/>
      <c r="AN734" s="1112"/>
      <c r="AO734" s="126"/>
      <c r="AP734" s="51"/>
    </row>
    <row r="735" spans="1:81" s="1113" customFormat="1">
      <c r="A735" s="1039"/>
      <c r="B735" s="985"/>
      <c r="C735" s="1474"/>
      <c r="D735" s="1002"/>
      <c r="E735" s="1057"/>
      <c r="F735" s="1057"/>
      <c r="G735" s="1057"/>
      <c r="H735" s="1057"/>
      <c r="I735" s="1057"/>
      <c r="J735" s="1057"/>
      <c r="K735" s="1057"/>
      <c r="L735" s="1057"/>
      <c r="M735" s="1057"/>
      <c r="N735" s="1057"/>
      <c r="O735" s="1057"/>
      <c r="P735" s="1057"/>
      <c r="Q735" s="1057"/>
      <c r="R735" s="1057"/>
      <c r="S735" s="1057"/>
      <c r="T735" s="1057"/>
      <c r="U735" s="1057"/>
      <c r="V735" s="1057"/>
      <c r="W735" s="1057"/>
      <c r="X735" s="1057"/>
      <c r="Y735" s="1057"/>
      <c r="Z735" s="1057"/>
      <c r="AA735" s="1057"/>
      <c r="AB735" s="1057"/>
      <c r="AC735" s="1436"/>
      <c r="AD735" s="1436"/>
      <c r="AE735" s="1436"/>
      <c r="AF735" s="1436"/>
      <c r="AG735" s="1436"/>
      <c r="AH735" s="1436"/>
      <c r="AI735" s="1436"/>
      <c r="AJ735" s="906"/>
      <c r="AK735" s="985"/>
      <c r="AL735" s="985"/>
      <c r="AM735" s="1005"/>
      <c r="AN735" s="1112"/>
    </row>
    <row r="736" spans="1:81" s="1113" customFormat="1" ht="12.75" customHeight="1">
      <c r="A736" s="1039"/>
      <c r="B736" s="985"/>
      <c r="C736" s="1474"/>
      <c r="D736" s="1002" t="s">
        <v>1571</v>
      </c>
      <c r="E736" s="1480"/>
      <c r="F736" s="1480"/>
      <c r="G736" s="1480"/>
      <c r="H736" s="2692" t="s">
        <v>697</v>
      </c>
      <c r="I736" s="2692"/>
      <c r="J736" s="1057"/>
      <c r="K736" s="1057"/>
      <c r="L736" s="1057"/>
      <c r="M736" s="1057"/>
      <c r="N736" s="1057"/>
      <c r="O736" s="1057"/>
      <c r="P736" s="1057"/>
      <c r="Q736" s="1057"/>
      <c r="R736" s="1057"/>
      <c r="S736" s="1057"/>
      <c r="T736" s="1057"/>
      <c r="U736" s="1057"/>
      <c r="V736" s="1057"/>
      <c r="W736" s="1057"/>
      <c r="X736" s="1057"/>
      <c r="Y736" s="1057"/>
      <c r="Z736" s="1057"/>
      <c r="AA736" s="1057"/>
      <c r="AB736" s="1057"/>
      <c r="AC736" s="1436"/>
      <c r="AD736" s="1436"/>
      <c r="AE736" s="1436"/>
      <c r="AF736" s="1436"/>
      <c r="AG736" s="1436"/>
      <c r="AH736" s="1436"/>
      <c r="AI736" s="1436"/>
      <c r="AJ736" s="906"/>
      <c r="AK736" s="985"/>
      <c r="AL736" s="985"/>
      <c r="AM736" s="1005"/>
      <c r="AN736" s="1112"/>
    </row>
    <row r="737" spans="1:74" s="1113" customFormat="1" ht="12.75" customHeight="1">
      <c r="A737" s="1039"/>
      <c r="B737" s="985"/>
      <c r="C737" s="1474"/>
      <c r="D737" s="1002"/>
      <c r="E737" s="1057"/>
      <c r="F737" s="1057"/>
      <c r="G737" s="1057"/>
      <c r="H737" s="1057"/>
      <c r="I737" s="1057"/>
      <c r="J737" s="1057"/>
      <c r="K737" s="1057"/>
      <c r="L737" s="1057"/>
      <c r="M737" s="1057"/>
      <c r="N737" s="1057"/>
      <c r="O737" s="1057"/>
      <c r="P737" s="1057"/>
      <c r="Q737" s="1057"/>
      <c r="R737" s="1057"/>
      <c r="S737" s="1057"/>
      <c r="T737" s="1057"/>
      <c r="U737" s="1057"/>
      <c r="V737" s="1057"/>
      <c r="W737" s="1057"/>
      <c r="X737" s="1057"/>
      <c r="Y737" s="1057"/>
      <c r="Z737" s="1057"/>
      <c r="AA737" s="1057"/>
      <c r="AB737" s="1057"/>
      <c r="AC737" s="1436"/>
      <c r="AD737" s="1436"/>
      <c r="AE737" s="1436"/>
      <c r="AF737" s="1436"/>
      <c r="AG737" s="1436"/>
      <c r="AH737" s="1436"/>
      <c r="AI737" s="1436"/>
      <c r="AJ737" s="906"/>
      <c r="AK737" s="985"/>
      <c r="AL737" s="985"/>
      <c r="AM737" s="1005"/>
      <c r="AN737" s="90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13" customFormat="1">
      <c r="A738" s="1050"/>
      <c r="B738" s="988"/>
      <c r="C738" s="1490"/>
      <c r="D738" s="998"/>
      <c r="E738" s="1503"/>
      <c r="F738" s="1503"/>
      <c r="G738" s="1503"/>
      <c r="H738" s="1503"/>
      <c r="I738" s="1503"/>
      <c r="J738" s="1503"/>
      <c r="K738" s="1503"/>
      <c r="L738" s="1503"/>
      <c r="M738" s="1503"/>
      <c r="N738" s="1503"/>
      <c r="O738" s="1503"/>
      <c r="P738" s="1503"/>
      <c r="Q738" s="1503"/>
      <c r="R738" s="1503"/>
      <c r="S738" s="1503"/>
      <c r="T738" s="1503"/>
      <c r="U738" s="1503"/>
      <c r="V738" s="1503"/>
      <c r="W738" s="1503"/>
      <c r="X738" s="1503"/>
      <c r="Y738" s="1503"/>
      <c r="Z738" s="1503"/>
      <c r="AA738" s="1503"/>
      <c r="AB738" s="1119"/>
      <c r="AC738" s="1119"/>
      <c r="AD738" s="1119"/>
      <c r="AE738" s="1119"/>
      <c r="AF738" s="1119"/>
      <c r="AG738" s="1119"/>
      <c r="AH738" s="998"/>
      <c r="AI738" s="938" t="s">
        <v>1615</v>
      </c>
      <c r="AJ738" s="2674">
        <f>VLOOKUP($H$736,$AO$669:$AP$671,2,FALSE)</f>
        <v>3</v>
      </c>
      <c r="AK738" s="2676"/>
      <c r="AL738" s="984"/>
      <c r="AM738" s="981"/>
      <c r="AN738" s="90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13" customFormat="1" ht="12.75" customHeight="1">
      <c r="A739" s="1098"/>
      <c r="B739" s="1002"/>
      <c r="C739" s="1476"/>
      <c r="D739" s="906"/>
      <c r="E739" s="906"/>
      <c r="F739" s="906"/>
      <c r="G739" s="906"/>
      <c r="H739" s="906"/>
      <c r="I739" s="906"/>
      <c r="J739" s="1057"/>
      <c r="K739" s="1057"/>
      <c r="L739" s="1437"/>
      <c r="M739" s="1437"/>
      <c r="N739" s="1437"/>
      <c r="O739" s="1437"/>
      <c r="P739" s="1437"/>
      <c r="Q739" s="1437"/>
      <c r="R739" s="1437"/>
      <c r="S739" s="1437"/>
      <c r="T739" s="1437"/>
      <c r="U739" s="1437"/>
      <c r="V739" s="1014"/>
      <c r="W739" s="1014"/>
      <c r="X739" s="1014"/>
      <c r="Y739" s="1014"/>
      <c r="Z739" s="1480"/>
      <c r="AA739" s="1480"/>
      <c r="AB739" s="1480"/>
      <c r="AC739" s="1002"/>
      <c r="AD739" s="1002"/>
      <c r="AE739" s="1002"/>
      <c r="AF739" s="1002"/>
      <c r="AG739" s="1002"/>
      <c r="AH739" s="1002"/>
      <c r="AI739" s="906"/>
      <c r="AJ739" s="906"/>
      <c r="AK739" s="906"/>
      <c r="AL739" s="906"/>
      <c r="AM739" s="922"/>
      <c r="AN739" s="90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13" customFormat="1">
      <c r="A740" s="922"/>
      <c r="B740" s="906"/>
      <c r="C740" s="965" t="s">
        <v>1605</v>
      </c>
      <c r="D740" s="1014"/>
      <c r="E740" s="906"/>
      <c r="F740" s="906"/>
      <c r="G740" s="906"/>
      <c r="H740" s="906"/>
      <c r="I740" s="906"/>
      <c r="J740" s="906"/>
      <c r="K740" s="906"/>
      <c r="L740" s="906"/>
      <c r="M740" s="906"/>
      <c r="N740" s="906"/>
      <c r="O740" s="906"/>
      <c r="P740" s="906"/>
      <c r="Q740" s="906"/>
      <c r="R740" s="906"/>
      <c r="S740" s="906"/>
      <c r="T740" s="906"/>
      <c r="U740" s="906"/>
      <c r="V740" s="906"/>
      <c r="W740" s="906"/>
      <c r="X740" s="906"/>
      <c r="Y740" s="906"/>
      <c r="Z740" s="906"/>
      <c r="AA740" s="906"/>
      <c r="AB740" s="906"/>
      <c r="AC740" s="906"/>
      <c r="AD740" s="906"/>
      <c r="AE740" s="906"/>
      <c r="AF740" s="906"/>
      <c r="AG740" s="906"/>
      <c r="AH740" s="906"/>
      <c r="AI740" s="906"/>
      <c r="AJ740" s="906"/>
      <c r="AK740" s="906"/>
      <c r="AL740" s="906"/>
      <c r="AM740" s="922"/>
      <c r="AN740" s="90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13" customFormat="1">
      <c r="A741" s="1039"/>
      <c r="B741" s="1014"/>
      <c r="C741" s="906"/>
      <c r="D741" s="906"/>
      <c r="E741" s="1014"/>
      <c r="F741" s="1014"/>
      <c r="G741" s="1014"/>
      <c r="H741" s="1014"/>
      <c r="I741" s="1014"/>
      <c r="J741" s="1014"/>
      <c r="K741" s="1014"/>
      <c r="L741" s="1014"/>
      <c r="M741" s="1014"/>
      <c r="N741" s="1014"/>
      <c r="O741" s="1014"/>
      <c r="P741" s="1014"/>
      <c r="Q741" s="1014"/>
      <c r="R741" s="1014"/>
      <c r="S741" s="1014"/>
      <c r="T741" s="1014"/>
      <c r="U741" s="1014"/>
      <c r="V741" s="1014"/>
      <c r="W741" s="1014"/>
      <c r="X741" s="1014"/>
      <c r="Y741" s="1014"/>
      <c r="Z741" s="1014"/>
      <c r="AA741" s="1014"/>
      <c r="AB741" s="1014"/>
      <c r="AC741" s="1014"/>
      <c r="AD741" s="1014"/>
      <c r="AE741" s="1014"/>
      <c r="AF741" s="1014"/>
      <c r="AG741" s="1014"/>
      <c r="AH741" s="1014"/>
      <c r="AI741" s="985"/>
      <c r="AJ741" s="906"/>
      <c r="AK741" s="985"/>
      <c r="AL741" s="985"/>
      <c r="AM741" s="1005"/>
      <c r="AN741" s="90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13" customFormat="1">
      <c r="A742" s="1039"/>
      <c r="B742" s="906"/>
      <c r="C742" s="1474"/>
      <c r="D742" s="1085" t="s">
        <v>697</v>
      </c>
      <c r="E742" s="2693" t="s">
        <v>1616</v>
      </c>
      <c r="F742" s="2693"/>
      <c r="G742" s="2693"/>
      <c r="H742" s="2693"/>
      <c r="I742" s="2693"/>
      <c r="J742" s="2693"/>
      <c r="K742" s="2693"/>
      <c r="L742" s="2693"/>
      <c r="M742" s="2693"/>
      <c r="N742" s="2693"/>
      <c r="O742" s="2693"/>
      <c r="P742" s="2693"/>
      <c r="Q742" s="2693"/>
      <c r="R742" s="2693"/>
      <c r="S742" s="2693"/>
      <c r="T742" s="2693"/>
      <c r="U742" s="2693"/>
      <c r="V742" s="2693"/>
      <c r="W742" s="2693"/>
      <c r="X742" s="2693"/>
      <c r="Y742" s="2693"/>
      <c r="Z742" s="2693"/>
      <c r="AA742" s="2693"/>
      <c r="AB742" s="2693"/>
      <c r="AC742" s="906"/>
      <c r="AD742" s="906"/>
      <c r="AE742" s="906"/>
      <c r="AF742" s="2751" t="s">
        <v>1579</v>
      </c>
      <c r="AG742" s="2751"/>
      <c r="AH742" s="2751"/>
      <c r="AI742" s="2751"/>
      <c r="AJ742" s="2751"/>
      <c r="AK742" s="2751"/>
      <c r="AL742" s="2751"/>
      <c r="AM742" s="1005"/>
      <c r="AN742" s="90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13" customFormat="1">
      <c r="A743" s="1039"/>
      <c r="B743" s="1002"/>
      <c r="C743" s="1476"/>
      <c r="D743" s="1085"/>
      <c r="E743" s="2693"/>
      <c r="F743" s="2693"/>
      <c r="G743" s="2693"/>
      <c r="H743" s="2693"/>
      <c r="I743" s="2693"/>
      <c r="J743" s="2693"/>
      <c r="K743" s="2693"/>
      <c r="L743" s="2693"/>
      <c r="M743" s="2693"/>
      <c r="N743" s="2693"/>
      <c r="O743" s="2693"/>
      <c r="P743" s="2693"/>
      <c r="Q743" s="2693"/>
      <c r="R743" s="2693"/>
      <c r="S743" s="2693"/>
      <c r="T743" s="2693"/>
      <c r="U743" s="2693"/>
      <c r="V743" s="2693"/>
      <c r="W743" s="2693"/>
      <c r="X743" s="2693"/>
      <c r="Y743" s="2693"/>
      <c r="Z743" s="2693"/>
      <c r="AA743" s="2693"/>
      <c r="AB743" s="2693"/>
      <c r="AC743" s="906"/>
      <c r="AD743" s="906"/>
      <c r="AE743" s="906"/>
      <c r="AF743" s="906"/>
      <c r="AG743" s="906"/>
      <c r="AH743" s="906"/>
      <c r="AI743" s="906"/>
      <c r="AJ743" s="906"/>
      <c r="AK743" s="906"/>
      <c r="AL743" s="985"/>
      <c r="AM743" s="1005"/>
      <c r="AN743" s="90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13" customFormat="1">
      <c r="A744" s="1039"/>
      <c r="B744" s="1014"/>
      <c r="C744" s="1486"/>
      <c r="D744" s="1085"/>
      <c r="E744" s="1014"/>
      <c r="F744" s="1014"/>
      <c r="G744" s="1014"/>
      <c r="H744" s="1014"/>
      <c r="I744" s="1014"/>
      <c r="J744" s="1014"/>
      <c r="K744" s="1014"/>
      <c r="L744" s="1014"/>
      <c r="M744" s="1014"/>
      <c r="N744" s="1014"/>
      <c r="O744" s="1014"/>
      <c r="P744" s="1014"/>
      <c r="Q744" s="1014"/>
      <c r="R744" s="1014"/>
      <c r="S744" s="1014"/>
      <c r="T744" s="1014"/>
      <c r="U744" s="1014"/>
      <c r="V744" s="1014"/>
      <c r="W744" s="1014"/>
      <c r="X744" s="1014"/>
      <c r="Y744" s="1014"/>
      <c r="Z744" s="1014"/>
      <c r="AA744" s="1014"/>
      <c r="AB744" s="1014"/>
      <c r="AC744" s="906"/>
      <c r="AD744" s="906"/>
      <c r="AE744" s="1014"/>
      <c r="AF744" s="1014"/>
      <c r="AG744" s="1014"/>
      <c r="AH744" s="1014"/>
      <c r="AI744" s="1014"/>
      <c r="AJ744" s="1014"/>
      <c r="AK744" s="985"/>
      <c r="AL744" s="985"/>
      <c r="AM744" s="1005"/>
      <c r="AN744" s="90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13" customFormat="1">
      <c r="A745" s="1098"/>
      <c r="B745" s="985"/>
      <c r="C745" s="1474"/>
      <c r="D745" s="1085" t="s">
        <v>518</v>
      </c>
      <c r="E745" s="2693" t="s">
        <v>1617</v>
      </c>
      <c r="F745" s="2693"/>
      <c r="G745" s="2693"/>
      <c r="H745" s="2693"/>
      <c r="I745" s="2693"/>
      <c r="J745" s="2693"/>
      <c r="K745" s="2693"/>
      <c r="L745" s="2693"/>
      <c r="M745" s="2693"/>
      <c r="N745" s="2693"/>
      <c r="O745" s="2693"/>
      <c r="P745" s="2693"/>
      <c r="Q745" s="2693"/>
      <c r="R745" s="2693"/>
      <c r="S745" s="2693"/>
      <c r="T745" s="2693"/>
      <c r="U745" s="2693"/>
      <c r="V745" s="2693"/>
      <c r="W745" s="2693"/>
      <c r="X745" s="2693"/>
      <c r="Y745" s="2693"/>
      <c r="Z745" s="2693"/>
      <c r="AA745" s="2693"/>
      <c r="AB745" s="2693"/>
      <c r="AC745" s="906"/>
      <c r="AD745" s="906"/>
      <c r="AE745" s="906"/>
      <c r="AF745" s="2751" t="s">
        <v>1596</v>
      </c>
      <c r="AG745" s="2751"/>
      <c r="AH745" s="2751"/>
      <c r="AI745" s="2751"/>
      <c r="AJ745" s="2751"/>
      <c r="AK745" s="2751"/>
      <c r="AL745" s="2751"/>
      <c r="AM745" s="1005"/>
      <c r="AN745" s="90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13" customFormat="1" ht="12.75" customHeight="1">
      <c r="A746" s="1098"/>
      <c r="B746" s="985"/>
      <c r="C746" s="1474"/>
      <c r="D746" s="1085"/>
      <c r="E746" s="2693"/>
      <c r="F746" s="2693"/>
      <c r="G746" s="2693"/>
      <c r="H746" s="2693"/>
      <c r="I746" s="2693"/>
      <c r="J746" s="2693"/>
      <c r="K746" s="2693"/>
      <c r="L746" s="2693"/>
      <c r="M746" s="2693"/>
      <c r="N746" s="2693"/>
      <c r="O746" s="2693"/>
      <c r="P746" s="2693"/>
      <c r="Q746" s="2693"/>
      <c r="R746" s="2693"/>
      <c r="S746" s="2693"/>
      <c r="T746" s="2693"/>
      <c r="U746" s="2693"/>
      <c r="V746" s="2693"/>
      <c r="W746" s="2693"/>
      <c r="X746" s="2693"/>
      <c r="Y746" s="2693"/>
      <c r="Z746" s="2693"/>
      <c r="AA746" s="2693"/>
      <c r="AB746" s="2693"/>
      <c r="AC746" s="906"/>
      <c r="AD746" s="906"/>
      <c r="AE746" s="1436"/>
      <c r="AF746" s="906"/>
      <c r="AG746" s="906"/>
      <c r="AH746" s="906"/>
      <c r="AI746" s="906"/>
      <c r="AJ746" s="906"/>
      <c r="AK746" s="906"/>
      <c r="AL746" s="906"/>
      <c r="AM746" s="1005"/>
      <c r="AN746" s="90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13" customFormat="1">
      <c r="A747" s="1039"/>
      <c r="B747" s="1002"/>
      <c r="C747" s="1476"/>
      <c r="D747" s="1002"/>
      <c r="E747" s="1437"/>
      <c r="F747" s="1437"/>
      <c r="G747" s="1437"/>
      <c r="H747" s="1437"/>
      <c r="I747" s="1437"/>
      <c r="J747" s="1437"/>
      <c r="K747" s="1437"/>
      <c r="L747" s="1437"/>
      <c r="M747" s="1437"/>
      <c r="N747" s="1437"/>
      <c r="O747" s="1437"/>
      <c r="P747" s="1437"/>
      <c r="Q747" s="1437"/>
      <c r="R747" s="1437"/>
      <c r="S747" s="1437"/>
      <c r="T747" s="1437"/>
      <c r="U747" s="1437"/>
      <c r="V747" s="1437"/>
      <c r="W747" s="1437"/>
      <c r="X747" s="1437"/>
      <c r="Y747" s="1437"/>
      <c r="Z747" s="1437"/>
      <c r="AA747" s="1437"/>
      <c r="AB747" s="1437"/>
      <c r="AC747" s="1002"/>
      <c r="AD747" s="1002"/>
      <c r="AE747" s="1014"/>
      <c r="AF747" s="1014"/>
      <c r="AG747" s="1014"/>
      <c r="AH747" s="1014"/>
      <c r="AI747" s="985"/>
      <c r="AJ747" s="906"/>
      <c r="AK747" s="985"/>
      <c r="AL747" s="985"/>
      <c r="AM747" s="1005"/>
      <c r="AN747" s="90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13" customFormat="1" ht="12.75" customHeight="1">
      <c r="A748" s="1039"/>
      <c r="B748" s="1002"/>
      <c r="C748" s="906"/>
      <c r="D748" s="1002" t="s">
        <v>1571</v>
      </c>
      <c r="E748" s="1480"/>
      <c r="F748" s="1480"/>
      <c r="G748" s="1480"/>
      <c r="H748" s="2692" t="s">
        <v>697</v>
      </c>
      <c r="I748" s="2692"/>
      <c r="J748" s="1437"/>
      <c r="K748" s="1437"/>
      <c r="L748" s="1437"/>
      <c r="M748" s="1437"/>
      <c r="N748" s="1437"/>
      <c r="O748" s="1437"/>
      <c r="P748" s="1437"/>
      <c r="Q748" s="906"/>
      <c r="R748" s="906"/>
      <c r="S748" s="906"/>
      <c r="T748" s="906"/>
      <c r="U748" s="906"/>
      <c r="V748" s="906"/>
      <c r="W748" s="1437"/>
      <c r="X748" s="1437"/>
      <c r="Y748" s="1437"/>
      <c r="Z748" s="1437"/>
      <c r="AA748" s="1437"/>
      <c r="AB748" s="1437"/>
      <c r="AC748" s="1002"/>
      <c r="AD748" s="1002"/>
      <c r="AE748" s="1014"/>
      <c r="AF748" s="1014"/>
      <c r="AG748" s="1014"/>
      <c r="AH748" s="1014"/>
      <c r="AI748" s="985"/>
      <c r="AJ748" s="906"/>
      <c r="AK748" s="985"/>
      <c r="AL748" s="985"/>
      <c r="AM748" s="1005"/>
      <c r="AN748" s="90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13" customFormat="1" ht="12.75" customHeight="1">
      <c r="A749" s="1039"/>
      <c r="B749" s="1014"/>
      <c r="C749" s="1486"/>
      <c r="D749" s="1014"/>
      <c r="E749" s="1014"/>
      <c r="F749" s="1014"/>
      <c r="G749" s="1014"/>
      <c r="H749" s="1014"/>
      <c r="I749" s="1014"/>
      <c r="J749" s="1014"/>
      <c r="K749" s="1014"/>
      <c r="L749" s="1014"/>
      <c r="M749" s="1014"/>
      <c r="N749" s="1014"/>
      <c r="O749" s="1014"/>
      <c r="P749" s="1014"/>
      <c r="Q749" s="1014"/>
      <c r="R749" s="1014"/>
      <c r="S749" s="1014"/>
      <c r="T749" s="1014"/>
      <c r="U749" s="1014"/>
      <c r="V749" s="1014"/>
      <c r="W749" s="1014"/>
      <c r="X749" s="1014"/>
      <c r="Y749" s="1014"/>
      <c r="Z749" s="1014"/>
      <c r="AA749" s="1014"/>
      <c r="AB749" s="1014"/>
      <c r="AC749" s="1014"/>
      <c r="AD749" s="1014"/>
      <c r="AE749" s="1014"/>
      <c r="AF749" s="1014"/>
      <c r="AG749" s="1014"/>
      <c r="AH749" s="1014"/>
      <c r="AI749" s="985"/>
      <c r="AJ749" s="906"/>
      <c r="AK749" s="985"/>
      <c r="AL749" s="985"/>
      <c r="AM749" s="1005"/>
      <c r="AN749" s="90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13" customFormat="1" ht="13.9" customHeight="1">
      <c r="A750" s="1050"/>
      <c r="B750" s="1087"/>
      <c r="C750" s="1504"/>
      <c r="D750" s="1087"/>
      <c r="E750" s="1087"/>
      <c r="F750" s="1087"/>
      <c r="G750" s="1087"/>
      <c r="H750" s="1087"/>
      <c r="I750" s="1087"/>
      <c r="J750" s="1087"/>
      <c r="K750" s="1087"/>
      <c r="L750" s="1087"/>
      <c r="M750" s="1087"/>
      <c r="N750" s="1087"/>
      <c r="O750" s="1087"/>
      <c r="P750" s="1087"/>
      <c r="Q750" s="1087"/>
      <c r="R750" s="1087"/>
      <c r="S750" s="1087"/>
      <c r="T750" s="1087"/>
      <c r="U750" s="1087"/>
      <c r="V750" s="1087"/>
      <c r="W750" s="1087"/>
      <c r="X750" s="1087"/>
      <c r="Y750" s="1087"/>
      <c r="Z750" s="1087"/>
      <c r="AA750" s="1087"/>
      <c r="AB750" s="1087"/>
      <c r="AC750" s="1087"/>
      <c r="AD750" s="1087"/>
      <c r="AE750" s="1087"/>
      <c r="AF750" s="1087"/>
      <c r="AG750" s="1087"/>
      <c r="AH750" s="998"/>
      <c r="AI750" s="938" t="s">
        <v>1618</v>
      </c>
      <c r="AJ750" s="2674">
        <f>VLOOKUP($H$748,$AO$683:$AP$685,2,FALSE)</f>
        <v>2</v>
      </c>
      <c r="AK750" s="2676"/>
      <c r="AL750" s="984"/>
      <c r="AM750" s="981"/>
      <c r="AN750" s="90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13" customFormat="1">
      <c r="A751" s="1039"/>
      <c r="B751" s="1014"/>
      <c r="C751" s="1486"/>
      <c r="D751" s="1014"/>
      <c r="E751" s="1014"/>
      <c r="F751" s="1014"/>
      <c r="G751" s="1014"/>
      <c r="H751" s="1014"/>
      <c r="I751" s="1014"/>
      <c r="J751" s="1014"/>
      <c r="K751" s="1014"/>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02"/>
      <c r="AI751" s="1435"/>
      <c r="AJ751" s="984"/>
      <c r="AK751" s="984"/>
      <c r="AL751" s="984"/>
      <c r="AM751" s="981"/>
      <c r="AN751" s="90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13" customFormat="1">
      <c r="A752" s="1039"/>
      <c r="B752" s="1014"/>
      <c r="C752" s="965" t="s">
        <v>1607</v>
      </c>
      <c r="D752" s="1014"/>
      <c r="E752" s="1014"/>
      <c r="F752" s="1014"/>
      <c r="G752" s="1014"/>
      <c r="H752" s="1014"/>
      <c r="I752" s="1014"/>
      <c r="J752" s="1014"/>
      <c r="K752" s="1014"/>
      <c r="L752" s="1014"/>
      <c r="M752" s="1014"/>
      <c r="N752" s="1014"/>
      <c r="O752" s="1014"/>
      <c r="P752" s="1014"/>
      <c r="Q752" s="1014"/>
      <c r="R752" s="1014"/>
      <c r="S752" s="1014"/>
      <c r="T752" s="1014"/>
      <c r="U752" s="1014"/>
      <c r="V752" s="1014"/>
      <c r="W752" s="1014"/>
      <c r="X752" s="1014"/>
      <c r="Y752" s="1014"/>
      <c r="Z752" s="1014"/>
      <c r="AA752" s="1014"/>
      <c r="AB752" s="1014"/>
      <c r="AC752" s="1014"/>
      <c r="AD752" s="1014"/>
      <c r="AE752" s="1014"/>
      <c r="AF752" s="1014"/>
      <c r="AG752" s="1014"/>
      <c r="AH752" s="1002"/>
      <c r="AI752" s="1435"/>
      <c r="AJ752" s="984"/>
      <c r="AK752" s="984"/>
      <c r="AL752" s="984"/>
      <c r="AM752" s="981"/>
      <c r="AN752" s="90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13" customFormat="1">
      <c r="A753" s="1039"/>
      <c r="B753" s="1014"/>
      <c r="C753" s="1486"/>
      <c r="D753" s="1014"/>
      <c r="E753" s="1014"/>
      <c r="F753" s="1014"/>
      <c r="G753" s="1014"/>
      <c r="H753" s="1014"/>
      <c r="I753" s="1014"/>
      <c r="J753" s="1014"/>
      <c r="K753" s="1014"/>
      <c r="L753" s="1014"/>
      <c r="M753" s="1014"/>
      <c r="N753" s="1014"/>
      <c r="O753" s="1014"/>
      <c r="P753" s="1014"/>
      <c r="Q753" s="1014"/>
      <c r="R753" s="1014"/>
      <c r="S753" s="1014"/>
      <c r="T753" s="1014"/>
      <c r="U753" s="1014"/>
      <c r="V753" s="1014"/>
      <c r="W753" s="1014"/>
      <c r="X753" s="1014"/>
      <c r="Y753" s="1014"/>
      <c r="Z753" s="1014"/>
      <c r="AA753" s="1014"/>
      <c r="AB753" s="1014"/>
      <c r="AC753" s="1014"/>
      <c r="AD753" s="1014"/>
      <c r="AE753" s="1014"/>
      <c r="AF753" s="1014"/>
      <c r="AG753" s="1014"/>
      <c r="AH753" s="1002"/>
      <c r="AI753" s="1435"/>
      <c r="AJ753" s="984"/>
      <c r="AK753" s="984"/>
      <c r="AL753" s="984"/>
      <c r="AM753" s="981"/>
      <c r="AN753" s="1112"/>
    </row>
    <row r="754" spans="1:81" s="1113" customFormat="1" ht="13.7" customHeight="1">
      <c r="A754" s="1039"/>
      <c r="B754" s="1014"/>
      <c r="C754" s="1486"/>
      <c r="D754" s="1085" t="s">
        <v>697</v>
      </c>
      <c r="E754" s="2693" t="s">
        <v>1946</v>
      </c>
      <c r="F754" s="2693"/>
      <c r="G754" s="2693"/>
      <c r="H754" s="2693"/>
      <c r="I754" s="2693"/>
      <c r="J754" s="2693"/>
      <c r="K754" s="2693"/>
      <c r="L754" s="2693"/>
      <c r="M754" s="2693"/>
      <c r="N754" s="2693"/>
      <c r="O754" s="2693"/>
      <c r="P754" s="2693"/>
      <c r="Q754" s="2693"/>
      <c r="R754" s="2693"/>
      <c r="S754" s="2693"/>
      <c r="T754" s="2693"/>
      <c r="U754" s="2693"/>
      <c r="V754" s="2693"/>
      <c r="W754" s="2693"/>
      <c r="X754" s="2693"/>
      <c r="Y754" s="2693"/>
      <c r="Z754" s="2693"/>
      <c r="AA754" s="2693"/>
      <c r="AB754" s="2693"/>
      <c r="AC754" s="2693"/>
      <c r="AD754" s="2693"/>
      <c r="AE754" s="906"/>
      <c r="AF754" s="2751" t="s">
        <v>1579</v>
      </c>
      <c r="AG754" s="2751"/>
      <c r="AH754" s="2751"/>
      <c r="AI754" s="2751"/>
      <c r="AJ754" s="2751"/>
      <c r="AK754" s="2751"/>
      <c r="AL754" s="2751"/>
      <c r="AM754" s="1010"/>
      <c r="AN754" s="1112"/>
    </row>
    <row r="755" spans="1:81" s="1113" customFormat="1" ht="13.7" customHeight="1">
      <c r="A755" s="1039"/>
      <c r="B755" s="1014"/>
      <c r="C755" s="1486"/>
      <c r="D755" s="1085"/>
      <c r="E755" s="2693"/>
      <c r="F755" s="2693"/>
      <c r="G755" s="2693"/>
      <c r="H755" s="2693"/>
      <c r="I755" s="2693"/>
      <c r="J755" s="2693"/>
      <c r="K755" s="2693"/>
      <c r="L755" s="2693"/>
      <c r="M755" s="2693"/>
      <c r="N755" s="2693"/>
      <c r="O755" s="2693"/>
      <c r="P755" s="2693"/>
      <c r="Q755" s="2693"/>
      <c r="R755" s="2693"/>
      <c r="S755" s="2693"/>
      <c r="T755" s="2693"/>
      <c r="U755" s="2693"/>
      <c r="V755" s="2693"/>
      <c r="W755" s="2693"/>
      <c r="X755" s="2693"/>
      <c r="Y755" s="2693"/>
      <c r="Z755" s="2693"/>
      <c r="AA755" s="2693"/>
      <c r="AB755" s="2693"/>
      <c r="AC755" s="2693"/>
      <c r="AD755" s="2693"/>
      <c r="AE755" s="906"/>
      <c r="AF755" s="1436"/>
      <c r="AG755" s="1436"/>
      <c r="AH755" s="1436"/>
      <c r="AI755" s="1436"/>
      <c r="AJ755" s="1436"/>
      <c r="AK755" s="1436"/>
      <c r="AL755" s="1436"/>
      <c r="AM755" s="1010"/>
      <c r="AN755" s="1112"/>
    </row>
    <row r="756" spans="1:81" s="1113" customFormat="1">
      <c r="A756" s="1039"/>
      <c r="B756" s="1014"/>
      <c r="C756" s="1486"/>
      <c r="D756" s="1085"/>
      <c r="E756" s="2693"/>
      <c r="F756" s="2693"/>
      <c r="G756" s="2693"/>
      <c r="H756" s="2693"/>
      <c r="I756" s="2693"/>
      <c r="J756" s="2693"/>
      <c r="K756" s="2693"/>
      <c r="L756" s="2693"/>
      <c r="M756" s="2693"/>
      <c r="N756" s="2693"/>
      <c r="O756" s="2693"/>
      <c r="P756" s="2693"/>
      <c r="Q756" s="2693"/>
      <c r="R756" s="2693"/>
      <c r="S756" s="2693"/>
      <c r="T756" s="2693"/>
      <c r="U756" s="2693"/>
      <c r="V756" s="2693"/>
      <c r="W756" s="2693"/>
      <c r="X756" s="2693"/>
      <c r="Y756" s="2693"/>
      <c r="Z756" s="2693"/>
      <c r="AA756" s="2693"/>
      <c r="AB756" s="2693"/>
      <c r="AC756" s="2693"/>
      <c r="AD756" s="2693"/>
      <c r="AE756" s="906"/>
      <c r="AF756" s="906"/>
      <c r="AG756" s="906"/>
      <c r="AH756" s="906"/>
      <c r="AI756" s="906"/>
      <c r="AJ756" s="906"/>
      <c r="AK756" s="906"/>
      <c r="AL756" s="1436"/>
      <c r="AM756" s="1010"/>
      <c r="AN756" s="90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13" customFormat="1" ht="18.600000000000001" customHeight="1">
      <c r="A757" s="1039"/>
      <c r="B757" s="1014"/>
      <c r="C757" s="1486"/>
      <c r="D757" s="1085"/>
      <c r="E757" s="2693"/>
      <c r="F757" s="2693"/>
      <c r="G757" s="2693"/>
      <c r="H757" s="2693"/>
      <c r="I757" s="2693"/>
      <c r="J757" s="2693"/>
      <c r="K757" s="2693"/>
      <c r="L757" s="2693"/>
      <c r="M757" s="2693"/>
      <c r="N757" s="2693"/>
      <c r="O757" s="2693"/>
      <c r="P757" s="2693"/>
      <c r="Q757" s="2693"/>
      <c r="R757" s="2693"/>
      <c r="S757" s="2693"/>
      <c r="T757" s="2693"/>
      <c r="U757" s="2693"/>
      <c r="V757" s="2693"/>
      <c r="W757" s="2693"/>
      <c r="X757" s="2693"/>
      <c r="Y757" s="2693"/>
      <c r="Z757" s="2693"/>
      <c r="AA757" s="2693"/>
      <c r="AB757" s="2693"/>
      <c r="AC757" s="2693"/>
      <c r="AD757" s="2693"/>
      <c r="AE757" s="1436"/>
      <c r="AF757" s="1436"/>
      <c r="AG757" s="1436"/>
      <c r="AH757" s="1436"/>
      <c r="AI757" s="1436"/>
      <c r="AJ757" s="1436"/>
      <c r="AK757" s="1436"/>
      <c r="AL757" s="1436"/>
      <c r="AM757" s="1010"/>
      <c r="AN757" s="90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22" customFormat="1" ht="12.75" customHeight="1">
      <c r="A758" s="1039"/>
      <c r="B758" s="1014"/>
      <c r="C758" s="1486"/>
      <c r="D758" s="1085"/>
      <c r="E758" s="1433"/>
      <c r="F758" s="1433"/>
      <c r="G758" s="1433"/>
      <c r="H758" s="1433"/>
      <c r="I758" s="1433"/>
      <c r="J758" s="1433"/>
      <c r="K758" s="1433"/>
      <c r="L758" s="1433"/>
      <c r="M758" s="1433"/>
      <c r="N758" s="1433"/>
      <c r="O758" s="1433"/>
      <c r="P758" s="1433"/>
      <c r="Q758" s="1433"/>
      <c r="R758" s="1433"/>
      <c r="S758" s="1433"/>
      <c r="T758" s="1433"/>
      <c r="U758" s="1433"/>
      <c r="V758" s="1433"/>
      <c r="W758" s="1433"/>
      <c r="X758" s="1433"/>
      <c r="Y758" s="1433"/>
      <c r="Z758" s="1433"/>
      <c r="AA758" s="1433"/>
      <c r="AB758" s="1433"/>
      <c r="AC758" s="1433"/>
      <c r="AD758" s="1433"/>
      <c r="AE758" s="1436"/>
      <c r="AF758" s="906"/>
      <c r="AG758" s="906"/>
      <c r="AH758" s="906"/>
      <c r="AI758" s="906"/>
      <c r="AJ758" s="906"/>
      <c r="AK758" s="906"/>
      <c r="AL758" s="906"/>
      <c r="AM758" s="1010"/>
      <c r="AN758" s="979"/>
    </row>
    <row r="759" spans="1:81" s="922" customFormat="1" ht="12.75" customHeight="1">
      <c r="A759" s="1039"/>
      <c r="B759" s="1014"/>
      <c r="C759" s="1486"/>
      <c r="D759" s="1085" t="s">
        <v>518</v>
      </c>
      <c r="E759" s="2788" t="s">
        <v>1951</v>
      </c>
      <c r="F759" s="2788"/>
      <c r="G759" s="2788"/>
      <c r="H759" s="2788"/>
      <c r="I759" s="2788"/>
      <c r="J759" s="2788"/>
      <c r="K759" s="2788"/>
      <c r="L759" s="2788"/>
      <c r="M759" s="2788"/>
      <c r="N759" s="2788"/>
      <c r="O759" s="2788"/>
      <c r="P759" s="2788"/>
      <c r="Q759" s="2788"/>
      <c r="R759" s="2788"/>
      <c r="S759" s="2788"/>
      <c r="T759" s="2788"/>
      <c r="U759" s="2788"/>
      <c r="V759" s="2788"/>
      <c r="W759" s="2788"/>
      <c r="X759" s="2788"/>
      <c r="Y759" s="2788"/>
      <c r="Z759" s="2788"/>
      <c r="AA759" s="2788"/>
      <c r="AB759" s="2788"/>
      <c r="AC759" s="2788"/>
      <c r="AD759" s="2788"/>
      <c r="AE759" s="906"/>
      <c r="AF759" s="2751" t="s">
        <v>1523</v>
      </c>
      <c r="AG759" s="2751"/>
      <c r="AH759" s="2751"/>
      <c r="AI759" s="2751"/>
      <c r="AJ759" s="2751"/>
      <c r="AK759" s="2751"/>
      <c r="AL759" s="2751"/>
      <c r="AM759" s="1010"/>
      <c r="AN759" s="979"/>
    </row>
    <row r="760" spans="1:81" s="922" customFormat="1" ht="12.75" customHeight="1">
      <c r="A760" s="1039"/>
      <c r="B760" s="1014"/>
      <c r="C760" s="1486"/>
      <c r="D760" s="1085"/>
      <c r="E760" s="2788"/>
      <c r="F760" s="2788"/>
      <c r="G760" s="2788"/>
      <c r="H760" s="2788"/>
      <c r="I760" s="2788"/>
      <c r="J760" s="2788"/>
      <c r="K760" s="2788"/>
      <c r="L760" s="2788"/>
      <c r="M760" s="2788"/>
      <c r="N760" s="2788"/>
      <c r="O760" s="2788"/>
      <c r="P760" s="2788"/>
      <c r="Q760" s="2788"/>
      <c r="R760" s="2788"/>
      <c r="S760" s="2788"/>
      <c r="T760" s="2788"/>
      <c r="U760" s="2788"/>
      <c r="V760" s="2788"/>
      <c r="W760" s="2788"/>
      <c r="X760" s="2788"/>
      <c r="Y760" s="2788"/>
      <c r="Z760" s="2788"/>
      <c r="AA760" s="2788"/>
      <c r="AB760" s="2788"/>
      <c r="AC760" s="2788"/>
      <c r="AD760" s="2788"/>
      <c r="AE760" s="1436"/>
      <c r="AF760" s="1436"/>
      <c r="AG760" s="1436"/>
      <c r="AH760" s="1436"/>
      <c r="AI760" s="1436"/>
      <c r="AJ760" s="1436"/>
      <c r="AK760" s="1436"/>
      <c r="AL760" s="1436"/>
      <c r="AM760" s="1010"/>
      <c r="AN760" s="979"/>
    </row>
    <row r="761" spans="1:81" s="922" customFormat="1" ht="12.75" customHeight="1">
      <c r="A761" s="1039"/>
      <c r="B761" s="1014"/>
      <c r="C761" s="1486"/>
      <c r="D761" s="1085"/>
      <c r="E761" s="2788"/>
      <c r="F761" s="2788"/>
      <c r="G761" s="2788"/>
      <c r="H761" s="2788"/>
      <c r="I761" s="2788"/>
      <c r="J761" s="2788"/>
      <c r="K761" s="2788"/>
      <c r="L761" s="2788"/>
      <c r="M761" s="2788"/>
      <c r="N761" s="2788"/>
      <c r="O761" s="2788"/>
      <c r="P761" s="2788"/>
      <c r="Q761" s="2788"/>
      <c r="R761" s="2788"/>
      <c r="S761" s="2788"/>
      <c r="T761" s="2788"/>
      <c r="U761" s="2788"/>
      <c r="V761" s="2788"/>
      <c r="W761" s="2788"/>
      <c r="X761" s="2788"/>
      <c r="Y761" s="2788"/>
      <c r="Z761" s="2788"/>
      <c r="AA761" s="2788"/>
      <c r="AB761" s="2788"/>
      <c r="AC761" s="2788"/>
      <c r="AD761" s="2788"/>
      <c r="AE761" s="1436"/>
      <c r="AF761" s="1436"/>
      <c r="AG761" s="1436"/>
      <c r="AH761" s="1436"/>
      <c r="AI761" s="1436"/>
      <c r="AJ761" s="1436"/>
      <c r="AK761" s="1436"/>
      <c r="AL761" s="1436"/>
      <c r="AM761" s="1010"/>
      <c r="AN761" s="979"/>
    </row>
    <row r="762" spans="1:81" s="922" customFormat="1" ht="12.75" customHeight="1">
      <c r="A762" s="1039"/>
      <c r="B762" s="1014"/>
      <c r="C762" s="1486"/>
      <c r="D762" s="1085"/>
      <c r="E762" s="2788"/>
      <c r="F762" s="2788"/>
      <c r="G762" s="2788"/>
      <c r="H762" s="2788"/>
      <c r="I762" s="2788"/>
      <c r="J762" s="2788"/>
      <c r="K762" s="2788"/>
      <c r="L762" s="2788"/>
      <c r="M762" s="2788"/>
      <c r="N762" s="2788"/>
      <c r="O762" s="2788"/>
      <c r="P762" s="2788"/>
      <c r="Q762" s="2788"/>
      <c r="R762" s="2788"/>
      <c r="S762" s="2788"/>
      <c r="T762" s="2788"/>
      <c r="U762" s="2788"/>
      <c r="V762" s="2788"/>
      <c r="W762" s="2788"/>
      <c r="X762" s="2788"/>
      <c r="Y762" s="2788"/>
      <c r="Z762" s="2788"/>
      <c r="AA762" s="2788"/>
      <c r="AB762" s="2788"/>
      <c r="AC762" s="2788"/>
      <c r="AD762" s="2788"/>
      <c r="AE762" s="1436"/>
      <c r="AF762" s="1436"/>
      <c r="AG762" s="1436"/>
      <c r="AH762" s="1436"/>
      <c r="AI762" s="1436"/>
      <c r="AJ762" s="1436"/>
      <c r="AK762" s="1436"/>
      <c r="AL762" s="1436"/>
      <c r="AM762" s="1010"/>
      <c r="AN762" s="979"/>
    </row>
    <row r="763" spans="1:81" s="922" customFormat="1" ht="12.75" customHeight="1">
      <c r="A763" s="1113"/>
      <c r="B763" s="906"/>
      <c r="C763" s="906"/>
      <c r="D763" s="906"/>
      <c r="E763" s="906"/>
      <c r="F763" s="906"/>
      <c r="G763" s="906"/>
      <c r="H763" s="906"/>
      <c r="I763" s="906"/>
      <c r="J763" s="906"/>
      <c r="K763" s="906"/>
      <c r="L763" s="906"/>
      <c r="M763" s="906"/>
      <c r="N763" s="906"/>
      <c r="O763" s="906"/>
      <c r="P763" s="906"/>
      <c r="Q763" s="906"/>
      <c r="R763" s="906"/>
      <c r="S763" s="906"/>
      <c r="T763" s="906"/>
      <c r="U763" s="906"/>
      <c r="V763" s="906"/>
      <c r="W763" s="906"/>
      <c r="X763" s="906"/>
      <c r="Y763" s="906"/>
      <c r="Z763" s="906"/>
      <c r="AA763" s="906"/>
      <c r="AB763" s="906"/>
      <c r="AC763" s="906"/>
      <c r="AD763" s="906"/>
      <c r="AE763" s="906"/>
      <c r="AF763" s="906"/>
      <c r="AG763" s="906"/>
      <c r="AH763" s="906"/>
      <c r="AI763" s="906"/>
      <c r="AJ763" s="906"/>
      <c r="AK763" s="906"/>
      <c r="AL763" s="906"/>
      <c r="AM763" s="1113"/>
      <c r="AN763" s="979"/>
    </row>
    <row r="764" spans="1:81" s="922" customFormat="1" ht="12.75" customHeight="1">
      <c r="A764" s="1039"/>
      <c r="B764" s="1014"/>
      <c r="C764" s="1486"/>
      <c r="D764" s="1002" t="s">
        <v>1571</v>
      </c>
      <c r="E764" s="1480"/>
      <c r="F764" s="1480"/>
      <c r="G764" s="1480"/>
      <c r="H764" s="2692" t="s">
        <v>600</v>
      </c>
      <c r="I764" s="2692"/>
      <c r="J764" s="1437"/>
      <c r="K764" s="1437"/>
      <c r="L764" s="1437"/>
      <c r="M764" s="1437"/>
      <c r="N764" s="1437"/>
      <c r="O764" s="1437"/>
      <c r="P764" s="1437"/>
      <c r="Q764" s="1437"/>
      <c r="R764" s="1437"/>
      <c r="S764" s="1437"/>
      <c r="T764" s="1437"/>
      <c r="U764" s="1437"/>
      <c r="V764" s="1437"/>
      <c r="W764" s="1437"/>
      <c r="X764" s="1437"/>
      <c r="Y764" s="1437"/>
      <c r="Z764" s="1437"/>
      <c r="AA764" s="1437"/>
      <c r="AB764" s="1437"/>
      <c r="AC764" s="1437"/>
      <c r="AD764" s="1437"/>
      <c r="AE764" s="1437"/>
      <c r="AF764" s="1437"/>
      <c r="AG764" s="1014"/>
      <c r="AH764" s="1002"/>
      <c r="AI764" s="1435"/>
      <c r="AJ764" s="984"/>
      <c r="AK764" s="984"/>
      <c r="AL764" s="984"/>
      <c r="AM764" s="981"/>
      <c r="AN764" s="979"/>
    </row>
    <row r="765" spans="1:81" s="922" customFormat="1" ht="12.75" customHeight="1">
      <c r="A765" s="1039"/>
      <c r="B765" s="1014"/>
      <c r="C765" s="1486"/>
      <c r="D765" s="1014"/>
      <c r="E765" s="1014"/>
      <c r="F765" s="1014"/>
      <c r="G765" s="1014"/>
      <c r="H765" s="1014"/>
      <c r="I765" s="1014"/>
      <c r="J765" s="1014"/>
      <c r="K765" s="1014"/>
      <c r="L765" s="1014"/>
      <c r="M765" s="1014"/>
      <c r="N765" s="1014"/>
      <c r="O765" s="1014"/>
      <c r="P765" s="1014"/>
      <c r="Q765" s="1014"/>
      <c r="R765" s="1014"/>
      <c r="S765" s="1014"/>
      <c r="T765" s="1014"/>
      <c r="U765" s="1014"/>
      <c r="V765" s="1014"/>
      <c r="W765" s="1014"/>
      <c r="X765" s="1014"/>
      <c r="Y765" s="1014"/>
      <c r="Z765" s="1014"/>
      <c r="AA765" s="1014"/>
      <c r="AB765" s="1014"/>
      <c r="AC765" s="1014"/>
      <c r="AD765" s="1014"/>
      <c r="AE765" s="1014"/>
      <c r="AF765" s="1014"/>
      <c r="AG765" s="1014"/>
      <c r="AH765" s="1002"/>
      <c r="AI765" s="1435"/>
      <c r="AJ765" s="984"/>
      <c r="AK765" s="984"/>
      <c r="AL765" s="984"/>
      <c r="AM765" s="981"/>
      <c r="AN765" s="979"/>
    </row>
    <row r="766" spans="1:81" s="922" customFormat="1" ht="12.75" customHeight="1">
      <c r="A766" s="1050"/>
      <c r="B766" s="1087"/>
      <c r="C766" s="1504"/>
      <c r="D766" s="1087"/>
      <c r="E766" s="1087"/>
      <c r="F766" s="1087"/>
      <c r="G766" s="1087"/>
      <c r="H766" s="1087"/>
      <c r="I766" s="1087"/>
      <c r="J766" s="1087"/>
      <c r="K766" s="1087"/>
      <c r="L766" s="1087"/>
      <c r="M766" s="1087"/>
      <c r="N766" s="1087"/>
      <c r="O766" s="1087"/>
      <c r="P766" s="1087"/>
      <c r="Q766" s="1087"/>
      <c r="R766" s="1087"/>
      <c r="S766" s="1087"/>
      <c r="T766" s="1087"/>
      <c r="U766" s="1087"/>
      <c r="V766" s="1087"/>
      <c r="W766" s="1087"/>
      <c r="X766" s="1087"/>
      <c r="Y766" s="1087"/>
      <c r="Z766" s="1087"/>
      <c r="AA766" s="1087"/>
      <c r="AB766" s="1087"/>
      <c r="AC766" s="1087"/>
      <c r="AD766" s="1087"/>
      <c r="AE766" s="1087"/>
      <c r="AF766" s="1087"/>
      <c r="AG766" s="1087"/>
      <c r="AH766" s="998"/>
      <c r="AI766" s="938" t="s">
        <v>1619</v>
      </c>
      <c r="AJ766" s="2674">
        <f>VLOOKUP($H$764,$AP$705:$AQ$707,2,FALSE)</f>
        <v>0</v>
      </c>
      <c r="AK766" s="2676"/>
      <c r="AL766" s="984"/>
      <c r="AM766" s="981"/>
      <c r="AN766" s="979"/>
    </row>
    <row r="767" spans="1:81" s="1113" customFormat="1">
      <c r="A767" s="1039"/>
      <c r="B767" s="1014"/>
      <c r="C767" s="1486"/>
      <c r="D767" s="1014"/>
      <c r="E767" s="1014"/>
      <c r="F767" s="1014"/>
      <c r="G767" s="1014"/>
      <c r="H767" s="1014"/>
      <c r="I767" s="1014"/>
      <c r="J767" s="1014"/>
      <c r="K767" s="1014"/>
      <c r="L767" s="1014"/>
      <c r="M767" s="1014"/>
      <c r="N767" s="1014"/>
      <c r="O767" s="1014"/>
      <c r="P767" s="1014"/>
      <c r="Q767" s="1014"/>
      <c r="R767" s="1014"/>
      <c r="S767" s="1014"/>
      <c r="T767" s="1014"/>
      <c r="U767" s="1014"/>
      <c r="V767" s="1014"/>
      <c r="W767" s="1014"/>
      <c r="X767" s="1014"/>
      <c r="Y767" s="1014"/>
      <c r="Z767" s="1014"/>
      <c r="AA767" s="1014"/>
      <c r="AB767" s="1014"/>
      <c r="AC767" s="1014"/>
      <c r="AD767" s="1014"/>
      <c r="AE767" s="1014"/>
      <c r="AF767" s="1014"/>
      <c r="AG767" s="1014"/>
      <c r="AH767" s="1002"/>
      <c r="AI767" s="1435"/>
      <c r="AJ767" s="984"/>
      <c r="AK767" s="984"/>
      <c r="AL767" s="984"/>
      <c r="AM767" s="981"/>
      <c r="AN767" s="1112"/>
      <c r="AS767" s="1122"/>
      <c r="AT767" s="1122"/>
      <c r="AU767" s="1122"/>
      <c r="AV767" s="1122"/>
      <c r="AW767" s="1122"/>
      <c r="AX767" s="1122"/>
      <c r="AY767" s="1122"/>
      <c r="AZ767" s="1122"/>
      <c r="BA767" s="1122"/>
      <c r="BB767" s="1122"/>
      <c r="BC767" s="1122"/>
      <c r="BD767" s="1123"/>
      <c r="BE767" s="1123"/>
      <c r="BF767" s="1123"/>
      <c r="BG767" s="1123"/>
      <c r="BH767" s="1123"/>
      <c r="BI767" s="1122"/>
      <c r="BJ767" s="1122"/>
      <c r="BK767" s="1122"/>
      <c r="BL767" s="1122"/>
      <c r="BM767" s="1122"/>
      <c r="BN767" s="1122"/>
      <c r="BO767" s="1122"/>
      <c r="BP767" s="1122"/>
      <c r="BQ767" s="1122"/>
      <c r="BR767" s="1122"/>
      <c r="BS767" s="1122"/>
      <c r="BT767" s="1122"/>
      <c r="BU767" s="1122"/>
      <c r="BV767" s="1122"/>
      <c r="BW767" s="1122"/>
      <c r="BX767" s="1122"/>
      <c r="BY767" s="1122"/>
      <c r="BZ767" s="1122"/>
      <c r="CA767" s="1122"/>
      <c r="CB767" s="1122"/>
      <c r="CC767" s="1122"/>
    </row>
    <row r="768" spans="1:81" s="1113" customFormat="1">
      <c r="A768" s="1039"/>
      <c r="B768" s="1014"/>
      <c r="C768" s="965" t="s">
        <v>1620</v>
      </c>
      <c r="D768" s="1014"/>
      <c r="E768" s="1014"/>
      <c r="F768" s="1014"/>
      <c r="G768" s="1014"/>
      <c r="H768" s="1014"/>
      <c r="I768" s="1014"/>
      <c r="J768" s="1014"/>
      <c r="K768" s="1014"/>
      <c r="L768" s="1014"/>
      <c r="M768" s="1014"/>
      <c r="N768" s="1014"/>
      <c r="O768" s="1014"/>
      <c r="P768" s="1014"/>
      <c r="Q768" s="1014"/>
      <c r="R768" s="1014"/>
      <c r="S768" s="1014"/>
      <c r="T768" s="1014"/>
      <c r="U768" s="1014"/>
      <c r="V768" s="1014"/>
      <c r="W768" s="1014"/>
      <c r="X768" s="1014"/>
      <c r="Y768" s="1014"/>
      <c r="Z768" s="1014"/>
      <c r="AA768" s="1014"/>
      <c r="AB768" s="1014"/>
      <c r="AC768" s="1014"/>
      <c r="AD768" s="1014"/>
      <c r="AE768" s="1014"/>
      <c r="AF768" s="1014"/>
      <c r="AG768" s="1014"/>
      <c r="AH768" s="1002"/>
      <c r="AI768" s="1435"/>
      <c r="AJ768" s="984"/>
      <c r="AK768" s="984"/>
      <c r="AL768" s="984"/>
      <c r="AM768" s="981"/>
      <c r="AN768" s="1112"/>
      <c r="AO768" s="1114"/>
      <c r="AT768" s="1122"/>
      <c r="AU768" s="1122"/>
      <c r="AV768" s="1122"/>
      <c r="AW768" s="1122"/>
      <c r="AX768" s="1122"/>
      <c r="AY768" s="1122"/>
      <c r="AZ768" s="1122"/>
    </row>
    <row r="769" spans="1:81" s="1113" customFormat="1">
      <c r="A769" s="1039"/>
      <c r="B769" s="1014"/>
      <c r="C769" s="1486"/>
      <c r="D769" s="1014"/>
      <c r="E769" s="1014"/>
      <c r="F769" s="1014"/>
      <c r="G769" s="1014"/>
      <c r="H769" s="1014"/>
      <c r="I769" s="1014"/>
      <c r="J769" s="1014"/>
      <c r="K769" s="1014"/>
      <c r="L769" s="1014"/>
      <c r="M769" s="1014"/>
      <c r="N769" s="1014"/>
      <c r="O769" s="1014"/>
      <c r="P769" s="1014"/>
      <c r="Q769" s="1014"/>
      <c r="R769" s="1014"/>
      <c r="S769" s="1014"/>
      <c r="T769" s="1014"/>
      <c r="U769" s="1014"/>
      <c r="V769" s="1014"/>
      <c r="W769" s="1014"/>
      <c r="X769" s="1014"/>
      <c r="Y769" s="1014"/>
      <c r="Z769" s="1014"/>
      <c r="AA769" s="1014"/>
      <c r="AB769" s="1014"/>
      <c r="AC769" s="1014"/>
      <c r="AD769" s="1014"/>
      <c r="AE769" s="906"/>
      <c r="AF769" s="906"/>
      <c r="AG769" s="906"/>
      <c r="AH769" s="906"/>
      <c r="AI769" s="906"/>
      <c r="AJ769" s="906"/>
      <c r="AK769" s="906"/>
      <c r="AL769" s="984"/>
      <c r="AM769" s="981"/>
      <c r="AN769" s="1112"/>
      <c r="AO769" s="922" t="s">
        <v>600</v>
      </c>
      <c r="AP769" s="1124">
        <v>0</v>
      </c>
      <c r="AS769" s="1122"/>
      <c r="AT769" s="1122"/>
      <c r="AU769" s="1122"/>
      <c r="AV769" s="1122"/>
      <c r="AW769" s="1122"/>
      <c r="AX769" s="1122"/>
      <c r="AY769" s="1122"/>
      <c r="AZ769" s="1122"/>
      <c r="BA769" s="1122"/>
      <c r="BB769" s="1122"/>
      <c r="BC769" s="1122"/>
      <c r="BD769" s="1123"/>
      <c r="BE769" s="1123"/>
      <c r="BF769" s="1123"/>
      <c r="BG769" s="1123"/>
      <c r="BH769" s="1123"/>
      <c r="BI769" s="1122"/>
      <c r="BJ769" s="1122"/>
      <c r="BK769" s="1122"/>
      <c r="BL769" s="1122"/>
      <c r="BM769" s="1122"/>
      <c r="BN769" s="1122"/>
      <c r="BO769" s="1122"/>
      <c r="BP769" s="1122"/>
      <c r="BQ769" s="1122"/>
      <c r="BR769" s="1122"/>
      <c r="BS769" s="1122"/>
      <c r="BT769" s="1122"/>
      <c r="BU769" s="1122"/>
      <c r="BV769" s="1122"/>
      <c r="BW769" s="1122"/>
      <c r="BX769" s="1122"/>
      <c r="BY769" s="1122"/>
      <c r="BZ769" s="1122"/>
      <c r="CA769" s="1122"/>
      <c r="CB769" s="1122"/>
      <c r="CC769" s="1122"/>
    </row>
    <row r="770" spans="1:81" s="1113" customFormat="1" ht="13.7" customHeight="1">
      <c r="A770" s="1039"/>
      <c r="B770" s="1014"/>
      <c r="C770" s="1486"/>
      <c r="D770" s="1085" t="s">
        <v>697</v>
      </c>
      <c r="E770" s="2693" t="s">
        <v>2420</v>
      </c>
      <c r="F770" s="2693"/>
      <c r="G770" s="2693"/>
      <c r="H770" s="2693"/>
      <c r="I770" s="2693"/>
      <c r="J770" s="2693"/>
      <c r="K770" s="2693"/>
      <c r="L770" s="2693"/>
      <c r="M770" s="2693"/>
      <c r="N770" s="2693"/>
      <c r="O770" s="2693"/>
      <c r="P770" s="2693"/>
      <c r="Q770" s="2693"/>
      <c r="R770" s="2693"/>
      <c r="S770" s="2693"/>
      <c r="T770" s="2693"/>
      <c r="U770" s="2693"/>
      <c r="V770" s="2693"/>
      <c r="W770" s="2693"/>
      <c r="X770" s="2693"/>
      <c r="Y770" s="2693"/>
      <c r="Z770" s="2693"/>
      <c r="AA770" s="2693"/>
      <c r="AB770" s="2693"/>
      <c r="AC770" s="2693"/>
      <c r="AD770" s="2693"/>
      <c r="AE770" s="906"/>
      <c r="AF770" s="2751" t="s">
        <v>1523</v>
      </c>
      <c r="AG770" s="2751"/>
      <c r="AH770" s="2751"/>
      <c r="AI770" s="2751"/>
      <c r="AJ770" s="2751"/>
      <c r="AK770" s="2751"/>
      <c r="AL770" s="2751"/>
      <c r="AM770" s="1010"/>
      <c r="AN770" s="1112"/>
      <c r="AO770" s="1097" t="s">
        <v>554</v>
      </c>
      <c r="AP770" s="922">
        <v>3</v>
      </c>
      <c r="AT770" s="1122"/>
      <c r="AU770" s="1122"/>
      <c r="AV770" s="1122"/>
      <c r="AW770" s="1122"/>
      <c r="AX770" s="1122"/>
      <c r="AY770" s="1122"/>
      <c r="AZ770" s="1122"/>
    </row>
    <row r="771" spans="1:81" s="1113" customFormat="1" ht="13.7" customHeight="1">
      <c r="A771" s="1039"/>
      <c r="B771" s="1014"/>
      <c r="C771" s="1486"/>
      <c r="D771" s="1085"/>
      <c r="E771" s="2693"/>
      <c r="F771" s="2693"/>
      <c r="G771" s="2693"/>
      <c r="H771" s="2693"/>
      <c r="I771" s="2693"/>
      <c r="J771" s="2693"/>
      <c r="K771" s="2693"/>
      <c r="L771" s="2693"/>
      <c r="M771" s="2693"/>
      <c r="N771" s="2693"/>
      <c r="O771" s="2693"/>
      <c r="P771" s="2693"/>
      <c r="Q771" s="2693"/>
      <c r="R771" s="2693"/>
      <c r="S771" s="2693"/>
      <c r="T771" s="2693"/>
      <c r="U771" s="2693"/>
      <c r="V771" s="2693"/>
      <c r="W771" s="2693"/>
      <c r="X771" s="2693"/>
      <c r="Y771" s="2693"/>
      <c r="Z771" s="2693"/>
      <c r="AA771" s="2693"/>
      <c r="AB771" s="2693"/>
      <c r="AC771" s="2693"/>
      <c r="AD771" s="2693"/>
      <c r="AE771" s="906"/>
      <c r="AF771" s="1436"/>
      <c r="AG771" s="1436"/>
      <c r="AH771" s="1436"/>
      <c r="AI771" s="1436"/>
      <c r="AJ771" s="1436"/>
      <c r="AK771" s="1436"/>
      <c r="AL771" s="1436"/>
      <c r="AM771" s="1010"/>
      <c r="AN771" s="1112"/>
      <c r="AO771" s="1097"/>
      <c r="AP771" s="922"/>
      <c r="AT771" s="1122"/>
      <c r="AU771" s="1122"/>
      <c r="AV771" s="1122"/>
      <c r="AW771" s="1122"/>
      <c r="AX771" s="1122"/>
      <c r="AY771" s="1122"/>
      <c r="AZ771" s="1122"/>
    </row>
    <row r="772" spans="1:81" s="1113" customFormat="1">
      <c r="A772" s="1039"/>
      <c r="B772" s="1014"/>
      <c r="C772" s="1486"/>
      <c r="D772" s="1085"/>
      <c r="E772" s="2693"/>
      <c r="F772" s="2693"/>
      <c r="G772" s="2693"/>
      <c r="H772" s="2693"/>
      <c r="I772" s="2693"/>
      <c r="J772" s="2693"/>
      <c r="K772" s="2693"/>
      <c r="L772" s="2693"/>
      <c r="M772" s="2693"/>
      <c r="N772" s="2693"/>
      <c r="O772" s="2693"/>
      <c r="P772" s="2693"/>
      <c r="Q772" s="2693"/>
      <c r="R772" s="2693"/>
      <c r="S772" s="2693"/>
      <c r="T772" s="2693"/>
      <c r="U772" s="2693"/>
      <c r="V772" s="2693"/>
      <c r="W772" s="2693"/>
      <c r="X772" s="2693"/>
      <c r="Y772" s="2693"/>
      <c r="Z772" s="2693"/>
      <c r="AA772" s="2693"/>
      <c r="AB772" s="2693"/>
      <c r="AC772" s="2693"/>
      <c r="AD772" s="2693"/>
      <c r="AE772" s="1436"/>
      <c r="AF772" s="1436"/>
      <c r="AG772" s="1436"/>
      <c r="AH772" s="1436"/>
      <c r="AI772" s="1436"/>
      <c r="AJ772" s="1436"/>
      <c r="AK772" s="1436"/>
      <c r="AL772" s="1436"/>
      <c r="AM772" s="1010"/>
      <c r="AN772" s="1112"/>
      <c r="AO772" s="1097"/>
      <c r="AP772" s="922"/>
      <c r="AT772" s="1122"/>
      <c r="AU772" s="1122"/>
      <c r="AV772" s="1122"/>
      <c r="AW772" s="1122"/>
      <c r="AX772" s="1122"/>
      <c r="AY772" s="1122"/>
      <c r="AZ772" s="1122"/>
    </row>
    <row r="773" spans="1:81" s="1113" customFormat="1">
      <c r="A773" s="1039"/>
      <c r="B773" s="1014"/>
      <c r="C773" s="1486"/>
      <c r="D773" s="1085"/>
      <c r="E773" s="2693"/>
      <c r="F773" s="2693"/>
      <c r="G773" s="2693"/>
      <c r="H773" s="2693"/>
      <c r="I773" s="2693"/>
      <c r="J773" s="2693"/>
      <c r="K773" s="2693"/>
      <c r="L773" s="2693"/>
      <c r="M773" s="2693"/>
      <c r="N773" s="2693"/>
      <c r="O773" s="2693"/>
      <c r="P773" s="2693"/>
      <c r="Q773" s="2693"/>
      <c r="R773" s="2693"/>
      <c r="S773" s="2693"/>
      <c r="T773" s="2693"/>
      <c r="U773" s="2693"/>
      <c r="V773" s="2693"/>
      <c r="W773" s="2693"/>
      <c r="X773" s="2693"/>
      <c r="Y773" s="2693"/>
      <c r="Z773" s="2693"/>
      <c r="AA773" s="2693"/>
      <c r="AB773" s="2693"/>
      <c r="AC773" s="2693"/>
      <c r="AD773" s="2693"/>
      <c r="AE773" s="1436"/>
      <c r="AF773" s="1436"/>
      <c r="AG773" s="1436"/>
      <c r="AH773" s="1436"/>
      <c r="AI773" s="1436"/>
      <c r="AJ773" s="1436"/>
      <c r="AK773" s="1436"/>
      <c r="AL773" s="1436"/>
      <c r="AM773" s="1010"/>
      <c r="AN773" s="1112"/>
      <c r="AO773" s="1125"/>
      <c r="AT773" s="1122"/>
      <c r="AU773" s="1122"/>
      <c r="AV773" s="1122"/>
      <c r="AW773" s="1122"/>
      <c r="AX773" s="1122"/>
      <c r="AY773" s="1122"/>
      <c r="AZ773" s="1122"/>
    </row>
    <row r="774" spans="1:81" s="1113" customFormat="1">
      <c r="A774" s="1039"/>
      <c r="B774" s="1014"/>
      <c r="C774" s="1486"/>
      <c r="D774" s="1085"/>
      <c r="E774" s="1437"/>
      <c r="F774" s="1437"/>
      <c r="G774" s="1437"/>
      <c r="H774" s="1437"/>
      <c r="I774" s="1437"/>
      <c r="J774" s="1437"/>
      <c r="K774" s="1437"/>
      <c r="L774" s="1437"/>
      <c r="M774" s="1437"/>
      <c r="N774" s="1437"/>
      <c r="O774" s="1437"/>
      <c r="P774" s="1437"/>
      <c r="Q774" s="1437"/>
      <c r="R774" s="1437"/>
      <c r="S774" s="1437"/>
      <c r="T774" s="1437"/>
      <c r="U774" s="1437"/>
      <c r="V774" s="1437"/>
      <c r="W774" s="1437"/>
      <c r="X774" s="1437"/>
      <c r="Y774" s="1437"/>
      <c r="Z774" s="1437"/>
      <c r="AA774" s="1437"/>
      <c r="AB774" s="1437"/>
      <c r="AC774" s="1437"/>
      <c r="AD774" s="1437"/>
      <c r="AE774" s="1436"/>
      <c r="AF774" s="1436"/>
      <c r="AG774" s="1436"/>
      <c r="AH774" s="1436"/>
      <c r="AI774" s="1436"/>
      <c r="AJ774" s="1436"/>
      <c r="AK774" s="1436"/>
      <c r="AL774" s="1436"/>
      <c r="AM774" s="1010"/>
      <c r="AN774" s="1112"/>
      <c r="AO774" s="1125"/>
      <c r="AT774" s="1122"/>
      <c r="AU774" s="1122"/>
      <c r="AV774" s="1122"/>
      <c r="AW774" s="1122"/>
      <c r="AX774" s="1122"/>
      <c r="AY774" s="1122"/>
      <c r="AZ774" s="1122"/>
    </row>
    <row r="775" spans="1:81" s="1113" customFormat="1">
      <c r="A775" s="1039"/>
      <c r="B775" s="1014"/>
      <c r="C775" s="1486"/>
      <c r="D775" s="1002" t="s">
        <v>1571</v>
      </c>
      <c r="E775" s="1480"/>
      <c r="F775" s="1480"/>
      <c r="G775" s="1480"/>
      <c r="H775" s="2692" t="s">
        <v>600</v>
      </c>
      <c r="I775" s="2692"/>
      <c r="J775" s="1014"/>
      <c r="K775" s="1014"/>
      <c r="L775" s="1014"/>
      <c r="M775" s="1014"/>
      <c r="N775" s="1014"/>
      <c r="O775" s="1014"/>
      <c r="P775" s="1014"/>
      <c r="Q775" s="1014"/>
      <c r="R775" s="1014"/>
      <c r="S775" s="1014"/>
      <c r="T775" s="1014"/>
      <c r="U775" s="1014"/>
      <c r="V775" s="1014"/>
      <c r="W775" s="1014"/>
      <c r="X775" s="1014"/>
      <c r="Y775" s="1014"/>
      <c r="Z775" s="1014"/>
      <c r="AA775" s="1014"/>
      <c r="AB775" s="1014"/>
      <c r="AC775" s="1014"/>
      <c r="AD775" s="1014"/>
      <c r="AE775" s="1014"/>
      <c r="AF775" s="1014"/>
      <c r="AG775" s="1014"/>
      <c r="AH775" s="1002"/>
      <c r="AI775" s="1435"/>
      <c r="AJ775" s="984"/>
      <c r="AK775" s="984"/>
      <c r="AL775" s="984"/>
      <c r="AM775" s="981"/>
      <c r="AN775" s="1112"/>
      <c r="AS775" s="1122"/>
      <c r="AT775" s="1122"/>
      <c r="AU775" s="1122"/>
      <c r="AV775" s="1122"/>
      <c r="AW775" s="1122"/>
      <c r="AX775" s="1122"/>
      <c r="AY775" s="1122"/>
      <c r="AZ775" s="1122"/>
      <c r="BA775" s="1122"/>
      <c r="BB775" s="1122"/>
      <c r="BC775" s="1122"/>
      <c r="BD775" s="1123"/>
      <c r="BE775" s="1123"/>
      <c r="BF775" s="1123"/>
      <c r="BG775" s="1123"/>
      <c r="BH775" s="1123"/>
      <c r="BI775" s="1122"/>
      <c r="BJ775" s="1122"/>
      <c r="BK775" s="1122"/>
      <c r="BL775" s="1122"/>
      <c r="BM775" s="1122"/>
      <c r="BN775" s="1122"/>
      <c r="BO775" s="1122"/>
      <c r="BP775" s="1122"/>
      <c r="BQ775" s="1122"/>
      <c r="BR775" s="1122"/>
      <c r="BS775" s="1122"/>
      <c r="BT775" s="1122"/>
      <c r="BU775" s="1122"/>
      <c r="BV775" s="1122"/>
      <c r="BW775" s="1122"/>
      <c r="BX775" s="1122"/>
      <c r="BY775" s="1122"/>
      <c r="BZ775" s="1122"/>
      <c r="CA775" s="1122"/>
      <c r="CB775" s="1122"/>
      <c r="CC775" s="1122"/>
    </row>
    <row r="776" spans="1:81" s="1113" customFormat="1">
      <c r="A776" s="1039"/>
      <c r="B776" s="1014"/>
      <c r="C776" s="1120"/>
      <c r="D776" s="923"/>
      <c r="E776" s="923"/>
      <c r="F776" s="923"/>
      <c r="G776" s="923"/>
      <c r="H776" s="923"/>
      <c r="I776" s="923"/>
      <c r="J776" s="923"/>
      <c r="K776" s="923"/>
      <c r="L776" s="923"/>
      <c r="M776" s="923"/>
      <c r="N776" s="923"/>
      <c r="O776" s="923"/>
      <c r="P776" s="923"/>
      <c r="Q776" s="923"/>
      <c r="R776" s="923"/>
      <c r="S776" s="923"/>
      <c r="T776" s="923"/>
      <c r="U776" s="923"/>
      <c r="V776" s="923"/>
      <c r="W776" s="923"/>
      <c r="X776" s="923"/>
      <c r="Y776" s="923"/>
      <c r="Z776" s="923"/>
      <c r="AA776" s="923"/>
      <c r="AB776" s="923"/>
      <c r="AC776" s="923"/>
      <c r="AD776" s="1014"/>
      <c r="AE776" s="923"/>
      <c r="AF776" s="923"/>
      <c r="AG776" s="923"/>
      <c r="AH776" s="923"/>
      <c r="AI776" s="1005"/>
      <c r="AJ776" s="981"/>
      <c r="AK776" s="1005"/>
      <c r="AL776" s="1005"/>
      <c r="AM776" s="1005"/>
      <c r="AN776" s="1112"/>
      <c r="AT776" s="1122"/>
      <c r="AU776" s="1122"/>
      <c r="AV776" s="1122"/>
      <c r="AW776" s="1122"/>
      <c r="AX776" s="1122"/>
      <c r="AY776" s="1122"/>
      <c r="AZ776" s="1122"/>
    </row>
    <row r="777" spans="1:81" s="1113" customFormat="1">
      <c r="A777" s="1050"/>
      <c r="B777" s="1087"/>
      <c r="C777" s="1121"/>
      <c r="D777" s="1086"/>
      <c r="E777" s="1086"/>
      <c r="F777" s="1086"/>
      <c r="G777" s="1086"/>
      <c r="H777" s="1086"/>
      <c r="I777" s="1086"/>
      <c r="J777" s="1086"/>
      <c r="K777" s="1086"/>
      <c r="L777" s="1086"/>
      <c r="M777" s="1086"/>
      <c r="N777" s="1086"/>
      <c r="O777" s="1086"/>
      <c r="P777" s="1086"/>
      <c r="Q777" s="1086"/>
      <c r="R777" s="1086"/>
      <c r="S777" s="1086"/>
      <c r="T777" s="1086"/>
      <c r="U777" s="1086"/>
      <c r="V777" s="1086"/>
      <c r="W777" s="1086"/>
      <c r="X777" s="1086"/>
      <c r="Y777" s="1086"/>
      <c r="Z777" s="1086"/>
      <c r="AA777" s="1086"/>
      <c r="AB777" s="1086"/>
      <c r="AC777" s="1087"/>
      <c r="AD777" s="1086"/>
      <c r="AE777" s="1086"/>
      <c r="AF777" s="1086"/>
      <c r="AG777" s="1086"/>
      <c r="AH777" s="937"/>
      <c r="AI777" s="938" t="s">
        <v>1621</v>
      </c>
      <c r="AJ777" s="2674">
        <f>VLOOKUP($H$775,$AO$769:$AP$770,2,FALSE)</f>
        <v>0</v>
      </c>
      <c r="AK777" s="2676"/>
      <c r="AL777" s="984"/>
      <c r="AM777" s="981"/>
      <c r="AN777" s="1112"/>
      <c r="AS777" s="1122"/>
      <c r="AT777" s="1122"/>
      <c r="AU777" s="1122"/>
      <c r="AV777" s="1122"/>
      <c r="AW777" s="1122"/>
      <c r="AX777" s="1122"/>
      <c r="AY777" s="1122"/>
      <c r="AZ777" s="1122"/>
      <c r="BA777" s="1122"/>
      <c r="BB777" s="1122"/>
      <c r="BC777" s="1122"/>
      <c r="BD777" s="1123"/>
      <c r="BE777" s="1123"/>
      <c r="BF777" s="1123"/>
      <c r="BG777" s="1123"/>
      <c r="BH777" s="1123"/>
      <c r="BI777" s="1122"/>
      <c r="BJ777" s="1122"/>
      <c r="BK777" s="1122"/>
      <c r="BL777" s="1122"/>
      <c r="BM777" s="1122"/>
      <c r="BN777" s="1122"/>
      <c r="BO777" s="1122"/>
      <c r="BP777" s="1122"/>
      <c r="BQ777" s="1122"/>
      <c r="BR777" s="1122"/>
      <c r="BS777" s="1122"/>
      <c r="BT777" s="1122"/>
      <c r="BU777" s="1122"/>
      <c r="BV777" s="1122"/>
      <c r="BW777" s="1122"/>
      <c r="BX777" s="1122"/>
      <c r="BY777" s="1122"/>
      <c r="BZ777" s="1122"/>
      <c r="CA777" s="1122"/>
      <c r="CB777" s="1122"/>
      <c r="CC777" s="1122"/>
    </row>
    <row r="778" spans="1:81" s="922" customFormat="1" ht="12.75" customHeight="1">
      <c r="A778" s="1039"/>
      <c r="B778" s="1014"/>
      <c r="C778" s="1120"/>
      <c r="D778" s="923"/>
      <c r="E778" s="923"/>
      <c r="F778" s="923"/>
      <c r="G778" s="923"/>
      <c r="H778" s="923"/>
      <c r="I778" s="923"/>
      <c r="J778" s="923"/>
      <c r="K778" s="923"/>
      <c r="L778" s="923"/>
      <c r="M778" s="923"/>
      <c r="N778" s="923"/>
      <c r="O778" s="923"/>
      <c r="P778" s="923"/>
      <c r="Q778" s="923"/>
      <c r="R778" s="923"/>
      <c r="S778" s="923"/>
      <c r="T778" s="923"/>
      <c r="U778" s="923"/>
      <c r="V778" s="923"/>
      <c r="W778" s="923"/>
      <c r="X778" s="923"/>
      <c r="Y778" s="923"/>
      <c r="Z778" s="923"/>
      <c r="AA778" s="923"/>
      <c r="AB778" s="923"/>
      <c r="AC778" s="923"/>
      <c r="AD778" s="1014"/>
      <c r="AE778" s="923"/>
      <c r="AF778" s="923"/>
      <c r="AG778" s="923"/>
      <c r="AH778" s="923"/>
      <c r="AI778" s="1005"/>
      <c r="AJ778" s="981"/>
      <c r="AK778" s="1005"/>
      <c r="AL778" s="1005"/>
      <c r="AM778" s="1005"/>
      <c r="AN778" s="979"/>
    </row>
    <row r="779" spans="1:81" s="922" customFormat="1" ht="12.75" customHeight="1">
      <c r="A779" s="996"/>
      <c r="B779" s="1086"/>
      <c r="C779" s="1086"/>
      <c r="D779" s="1086"/>
      <c r="E779" s="1086"/>
      <c r="F779" s="1086"/>
      <c r="G779" s="1086"/>
      <c r="H779" s="1086"/>
      <c r="I779" s="1086"/>
      <c r="J779" s="1086"/>
      <c r="K779" s="1086"/>
      <c r="L779" s="1086"/>
      <c r="M779" s="1086"/>
      <c r="N779" s="1086"/>
      <c r="O779" s="1086"/>
      <c r="P779" s="1086"/>
      <c r="Q779" s="1086"/>
      <c r="R779" s="1086"/>
      <c r="S779" s="1086"/>
      <c r="T779" s="1086"/>
      <c r="U779" s="1086"/>
      <c r="V779" s="1086"/>
      <c r="W779" s="1086"/>
      <c r="X779" s="1086"/>
      <c r="Y779" s="1086"/>
      <c r="Z779" s="1086"/>
      <c r="AA779" s="1086"/>
      <c r="AB779" s="1086"/>
      <c r="AC779" s="1087"/>
      <c r="AD779" s="1086"/>
      <c r="AE779" s="997"/>
      <c r="AF779" s="997"/>
      <c r="AG779" s="997"/>
      <c r="AH779" s="997"/>
      <c r="AI779" s="938"/>
      <c r="AJ779" s="938" t="s">
        <v>1622</v>
      </c>
      <c r="AK779" s="2674">
        <f>IF(($AJ$610+$AJ$629+$AJ$641+$AJ$676+$AJ$696+$AJ$710+$AJ$722+$AJ$738+$AJ$750+$AJ$766+AJ777)&gt;10,10,($AJ$610+$AJ$629+$AJ$641+$AJ$676+$AJ$696+$AJ$710+$AJ$722+$AJ$738+$AJ$750+$AJ$766+AJ777))</f>
        <v>10</v>
      </c>
      <c r="AL779" s="2675"/>
      <c r="AM779" s="2676"/>
      <c r="AN779" s="979"/>
    </row>
    <row r="780" spans="1:81" s="922" customFormat="1" ht="12.75" customHeight="1">
      <c r="A780" s="1005"/>
      <c r="B780" s="923"/>
      <c r="C780" s="923"/>
      <c r="D780" s="923"/>
      <c r="E780" s="923"/>
      <c r="F780" s="923"/>
      <c r="G780" s="923"/>
      <c r="H780" s="923"/>
      <c r="I780" s="923"/>
      <c r="J780" s="923"/>
      <c r="K780" s="923"/>
      <c r="L780" s="923"/>
      <c r="M780" s="923"/>
      <c r="N780" s="923"/>
      <c r="O780" s="923"/>
      <c r="P780" s="923"/>
      <c r="Q780" s="923"/>
      <c r="R780" s="923"/>
      <c r="S780" s="923"/>
      <c r="T780" s="923"/>
      <c r="U780" s="923"/>
      <c r="V780" s="923"/>
      <c r="W780" s="923"/>
      <c r="X780" s="923"/>
      <c r="Y780" s="923"/>
      <c r="Z780" s="923"/>
      <c r="AA780" s="923"/>
      <c r="AB780" s="923"/>
      <c r="AC780" s="1014"/>
      <c r="AD780" s="923"/>
      <c r="AE780" s="1005"/>
      <c r="AF780" s="1005"/>
      <c r="AG780" s="1005"/>
      <c r="AH780" s="1005"/>
      <c r="AI780" s="1016"/>
      <c r="AJ780" s="1016"/>
      <c r="AK780" s="984"/>
      <c r="AL780" s="984"/>
      <c r="AM780" s="984"/>
      <c r="AN780" s="979"/>
    </row>
    <row r="781" spans="1:81">
      <c r="A781" s="1041"/>
      <c r="B781" s="922"/>
      <c r="C781" s="922"/>
      <c r="D781" s="922"/>
      <c r="E781" s="922"/>
      <c r="F781" s="922"/>
      <c r="G781" s="922"/>
      <c r="H781" s="922"/>
      <c r="I781" s="922"/>
      <c r="J781" s="922"/>
      <c r="K781" s="922"/>
      <c r="L781" s="922"/>
      <c r="M781" s="922"/>
      <c r="N781" s="922"/>
      <c r="O781" s="922"/>
      <c r="P781" s="922"/>
      <c r="Q781" s="922"/>
      <c r="R781" s="922"/>
      <c r="S781" s="922"/>
      <c r="T781" s="922"/>
      <c r="U781" s="922"/>
      <c r="V781" s="922"/>
      <c r="W781" s="922"/>
      <c r="X781" s="922"/>
      <c r="Y781" s="922"/>
      <c r="Z781" s="922"/>
      <c r="AA781" s="922"/>
      <c r="AB781" s="922"/>
      <c r="AC781" s="922"/>
      <c r="AD781" s="922"/>
      <c r="AE781" s="922"/>
      <c r="AF781" s="922"/>
      <c r="AG781" s="922"/>
      <c r="AH781" s="922"/>
      <c r="AI781" s="922"/>
      <c r="AJ781" s="922"/>
      <c r="AK781" s="1005"/>
      <c r="AL781" s="1005"/>
      <c r="AM781" s="1005"/>
    </row>
    <row r="782" spans="1:81">
      <c r="A782" s="2742" t="s">
        <v>1744</v>
      </c>
      <c r="B782" s="2743"/>
      <c r="C782" s="2743"/>
      <c r="D782" s="2743"/>
      <c r="E782" s="2743"/>
      <c r="F782" s="2743"/>
      <c r="G782" s="2743"/>
      <c r="H782" s="2743"/>
      <c r="I782" s="2743"/>
      <c r="J782" s="2743"/>
      <c r="K782" s="2743"/>
      <c r="L782" s="2743"/>
      <c r="M782" s="2743"/>
      <c r="N782" s="2743"/>
      <c r="O782" s="2743"/>
      <c r="P782" s="2743"/>
      <c r="Q782" s="2743"/>
      <c r="R782" s="2743"/>
      <c r="S782" s="2743"/>
      <c r="T782" s="2743"/>
      <c r="U782" s="2743"/>
      <c r="V782" s="2743"/>
      <c r="W782" s="2743"/>
      <c r="X782" s="2743"/>
      <c r="Y782" s="2743"/>
      <c r="Z782" s="2743"/>
      <c r="AA782" s="2743"/>
      <c r="AB782" s="2743"/>
      <c r="AC782" s="2743"/>
      <c r="AD782" s="2743"/>
      <c r="AE782" s="2743"/>
      <c r="AF782" s="2743"/>
      <c r="AG782" s="2743"/>
      <c r="AH782" s="2743"/>
      <c r="AI782" s="2743"/>
      <c r="AJ782" s="2743"/>
      <c r="AK782" s="2743"/>
      <c r="AL782" s="2743"/>
      <c r="AM782" s="2743"/>
    </row>
    <row r="783" spans="1:81">
      <c r="A783" s="2744"/>
      <c r="B783" s="2744"/>
      <c r="C783" s="2744"/>
      <c r="D783" s="2744"/>
      <c r="E783" s="2744"/>
      <c r="F783" s="2744"/>
      <c r="G783" s="2744"/>
      <c r="H783" s="2744"/>
      <c r="I783" s="2744"/>
      <c r="J783" s="2744"/>
      <c r="K783" s="2744"/>
      <c r="L783" s="2744"/>
      <c r="M783" s="2744"/>
      <c r="N783" s="2744"/>
      <c r="O783" s="2744"/>
      <c r="P783" s="2744"/>
      <c r="Q783" s="2744"/>
      <c r="R783" s="2744"/>
      <c r="S783" s="2744"/>
      <c r="T783" s="2744"/>
      <c r="U783" s="2744"/>
      <c r="V783" s="2744"/>
      <c r="W783" s="2744"/>
      <c r="X783" s="2744"/>
      <c r="Y783" s="2744"/>
      <c r="Z783" s="2744"/>
      <c r="AA783" s="2744"/>
      <c r="AB783" s="2744"/>
      <c r="AC783" s="2744"/>
      <c r="AD783" s="2744"/>
      <c r="AE783" s="2744"/>
      <c r="AF783" s="2744"/>
      <c r="AG783" s="2744"/>
      <c r="AH783" s="2744"/>
      <c r="AI783" s="2744"/>
      <c r="AJ783" s="2744"/>
      <c r="AK783" s="2744"/>
      <c r="AL783" s="2744"/>
      <c r="AM783" s="2744"/>
      <c r="AO783" s="1298"/>
      <c r="AP783" s="1298"/>
      <c r="AQ783" s="1298"/>
    </row>
    <row r="784" spans="1:81">
      <c r="A784" s="1004"/>
      <c r="B784" s="944"/>
      <c r="C784" s="945"/>
      <c r="D784" s="945"/>
      <c r="E784" s="945"/>
      <c r="F784" s="945"/>
      <c r="G784" s="945"/>
      <c r="H784" s="945"/>
      <c r="I784" s="946"/>
      <c r="J784" s="946"/>
      <c r="K784" s="946"/>
      <c r="L784" s="946"/>
      <c r="M784" s="946"/>
      <c r="N784" s="946"/>
      <c r="O784" s="946"/>
      <c r="P784" s="946"/>
      <c r="Q784" s="946"/>
      <c r="R784" s="112"/>
      <c r="S784" s="1192"/>
      <c r="T784" s="1192"/>
      <c r="U784" s="1192"/>
      <c r="V784" s="1192"/>
      <c r="W784" s="1192"/>
      <c r="X784" s="1192"/>
      <c r="Y784" s="1192"/>
      <c r="Z784" s="1192"/>
      <c r="AA784" s="1192"/>
      <c r="AB784" s="1192"/>
      <c r="AC784" s="1192"/>
      <c r="AD784" s="1192"/>
      <c r="AE784" s="1192"/>
      <c r="AF784" s="112"/>
      <c r="AG784" s="1192"/>
      <c r="AH784" s="1192"/>
      <c r="AI784" s="1192"/>
      <c r="AJ784" s="1192"/>
      <c r="AK784" s="1004"/>
      <c r="AL784" s="1004"/>
      <c r="AM784" s="907"/>
      <c r="AO784" s="1298"/>
      <c r="AP784" s="1298"/>
      <c r="AQ784" s="1298"/>
    </row>
    <row r="785" spans="1:81">
      <c r="A785" s="2677"/>
      <c r="B785" s="2677"/>
      <c r="C785" s="2677"/>
      <c r="D785" s="2677"/>
      <c r="E785" s="2677"/>
      <c r="F785" s="2677"/>
      <c r="G785" s="2677"/>
      <c r="H785" s="2677"/>
      <c r="I785" s="2677"/>
      <c r="J785" s="2677"/>
      <c r="K785" s="2677"/>
      <c r="L785" s="2677"/>
      <c r="M785" s="2677"/>
      <c r="N785" s="2677"/>
      <c r="O785" s="2677"/>
      <c r="P785" s="2677"/>
      <c r="Q785" s="2677"/>
      <c r="R785" s="2677"/>
      <c r="S785" s="2677"/>
      <c r="T785" s="2677"/>
      <c r="U785" s="2677"/>
      <c r="V785" s="2677"/>
      <c r="W785" s="2677"/>
      <c r="X785" s="2677"/>
      <c r="Y785" s="2677"/>
      <c r="Z785" s="2677"/>
      <c r="AA785" s="2677"/>
      <c r="AB785" s="2677"/>
      <c r="AC785" s="2677"/>
      <c r="AD785" s="2677"/>
      <c r="AE785" s="2677"/>
      <c r="AF785" s="2677"/>
      <c r="AG785" s="2677"/>
      <c r="AH785" s="2677"/>
      <c r="AI785" s="2677"/>
      <c r="AJ785" s="2677"/>
      <c r="AK785" s="2677"/>
      <c r="AL785" s="2677"/>
      <c r="AM785" s="2677"/>
      <c r="AO785" s="1206"/>
      <c r="AP785" s="1299"/>
      <c r="AQ785" s="1298"/>
    </row>
    <row r="786" spans="1:81">
      <c r="A786" s="2677"/>
      <c r="B786" s="2677"/>
      <c r="C786" s="2677"/>
      <c r="D786" s="2677"/>
      <c r="E786" s="2677"/>
      <c r="F786" s="2677"/>
      <c r="G786" s="2677"/>
      <c r="H786" s="2677"/>
      <c r="I786" s="2677"/>
      <c r="J786" s="2677"/>
      <c r="K786" s="2677"/>
      <c r="L786" s="2677"/>
      <c r="M786" s="2677"/>
      <c r="N786" s="2677"/>
      <c r="O786" s="2677"/>
      <c r="P786" s="2677"/>
      <c r="Q786" s="2677"/>
      <c r="R786" s="2677"/>
      <c r="S786" s="2677"/>
      <c r="T786" s="2677"/>
      <c r="U786" s="2677"/>
      <c r="V786" s="2677"/>
      <c r="W786" s="2677"/>
      <c r="X786" s="2677"/>
      <c r="Y786" s="2677"/>
      <c r="Z786" s="2677"/>
      <c r="AA786" s="2677"/>
      <c r="AB786" s="2677"/>
      <c r="AC786" s="2677"/>
      <c r="AD786" s="2677"/>
      <c r="AE786" s="2677"/>
      <c r="AF786" s="2677"/>
      <c r="AG786" s="2677"/>
      <c r="AH786" s="2677"/>
      <c r="AI786" s="2677"/>
      <c r="AJ786" s="2677"/>
      <c r="AK786" s="2677"/>
      <c r="AL786" s="2677"/>
      <c r="AM786" s="2677"/>
      <c r="AO786" s="1299"/>
      <c r="AQ786" s="1298"/>
    </row>
    <row r="787" spans="1:81">
      <c r="A787" s="1300"/>
      <c r="B787" s="1089"/>
      <c r="C787" s="1089"/>
      <c r="D787" s="1089"/>
      <c r="E787" s="1089"/>
      <c r="F787" s="1089"/>
      <c r="G787" s="1089"/>
      <c r="H787" s="1089"/>
      <c r="I787" s="1089"/>
      <c r="J787" s="1089"/>
      <c r="K787" s="1089"/>
      <c r="L787" s="1089"/>
      <c r="M787" s="1089"/>
      <c r="N787" s="1089"/>
      <c r="O787" s="1089"/>
      <c r="P787" s="1089"/>
      <c r="Q787" s="1089"/>
      <c r="R787" s="1089"/>
      <c r="S787" s="1093"/>
      <c r="T787" s="2745" t="s">
        <v>1745</v>
      </c>
      <c r="U787" s="2746"/>
      <c r="V787" s="2746"/>
      <c r="W787" s="2746"/>
      <c r="X787" s="2746"/>
      <c r="Y787" s="2747"/>
      <c r="Z787" s="2745" t="s">
        <v>1746</v>
      </c>
      <c r="AA787" s="2746"/>
      <c r="AB787" s="2746"/>
      <c r="AC787" s="2746"/>
      <c r="AD787" s="2746"/>
      <c r="AE787" s="2747"/>
      <c r="AF787" s="2745" t="s">
        <v>1747</v>
      </c>
      <c r="AG787" s="2746"/>
      <c r="AH787" s="2746"/>
      <c r="AI787" s="2746"/>
      <c r="AJ787" s="2746"/>
      <c r="AK787" s="2747"/>
      <c r="AL787" s="1301"/>
      <c r="AM787" s="1195"/>
      <c r="AO787" s="1299"/>
      <c r="AP787" s="1298"/>
      <c r="AQ787" s="1298"/>
    </row>
    <row r="788" spans="1:81">
      <c r="A788" s="1302"/>
      <c r="B788" s="1129"/>
      <c r="C788" s="1129"/>
      <c r="D788" s="1129"/>
      <c r="E788" s="1129"/>
      <c r="F788" s="1129"/>
      <c r="G788" s="1129"/>
      <c r="H788" s="1129"/>
      <c r="I788" s="1129"/>
      <c r="J788" s="1129"/>
      <c r="K788" s="1129"/>
      <c r="L788" s="1129"/>
      <c r="M788" s="1129"/>
      <c r="N788" s="1129"/>
      <c r="O788" s="1129"/>
      <c r="P788" s="1129"/>
      <c r="Q788" s="1129"/>
      <c r="R788" s="1129"/>
      <c r="S788" s="1303"/>
      <c r="T788" s="2748"/>
      <c r="U788" s="2749"/>
      <c r="V788" s="2749"/>
      <c r="W788" s="2749"/>
      <c r="X788" s="2749"/>
      <c r="Y788" s="2750"/>
      <c r="Z788" s="2748"/>
      <c r="AA788" s="2749"/>
      <c r="AB788" s="2749"/>
      <c r="AC788" s="2749"/>
      <c r="AD788" s="2749"/>
      <c r="AE788" s="2750"/>
      <c r="AF788" s="2748"/>
      <c r="AG788" s="2749"/>
      <c r="AH788" s="2749"/>
      <c r="AI788" s="2749"/>
      <c r="AJ788" s="2749"/>
      <c r="AK788" s="2750"/>
      <c r="AL788" s="1301"/>
      <c r="AM788" s="1195"/>
      <c r="AO788" s="1299"/>
      <c r="AP788" s="1298"/>
      <c r="AQ788" s="1298"/>
    </row>
    <row r="789" spans="1:81">
      <c r="A789" s="1302" t="s">
        <v>769</v>
      </c>
      <c r="B789" s="2701" t="s">
        <v>1475</v>
      </c>
      <c r="C789" s="2701"/>
      <c r="D789" s="2701"/>
      <c r="E789" s="2701"/>
      <c r="F789" s="2701"/>
      <c r="G789" s="2701"/>
      <c r="H789" s="2701"/>
      <c r="I789" s="2701"/>
      <c r="J789" s="2701"/>
      <c r="K789" s="2701"/>
      <c r="L789" s="2701"/>
      <c r="M789" s="2701"/>
      <c r="N789" s="2701"/>
      <c r="O789" s="2701"/>
      <c r="P789" s="2701"/>
      <c r="Q789" s="2701"/>
      <c r="R789" s="2701"/>
      <c r="S789" s="2702"/>
      <c r="T789" s="2730">
        <f>AK56</f>
        <v>0</v>
      </c>
      <c r="U789" s="2705"/>
      <c r="V789" s="2705"/>
      <c r="W789" s="2705"/>
      <c r="X789" s="2705"/>
      <c r="Y789" s="2706"/>
      <c r="Z789" s="2704">
        <v>20</v>
      </c>
      <c r="AA789" s="2705"/>
      <c r="AB789" s="2705"/>
      <c r="AC789" s="2705"/>
      <c r="AD789" s="2705"/>
      <c r="AE789" s="2706"/>
      <c r="AF789" s="2707">
        <f>IF(T789&gt;Z789,Z789,T789)</f>
        <v>0</v>
      </c>
      <c r="AG789" s="2707"/>
      <c r="AH789" s="2707"/>
      <c r="AI789" s="2707"/>
      <c r="AJ789" s="2707"/>
      <c r="AK789" s="2707"/>
      <c r="AL789" s="1301"/>
      <c r="AM789" s="1195"/>
      <c r="AO789" s="1298"/>
      <c r="AP789" s="1298"/>
      <c r="AQ789" s="1298"/>
    </row>
    <row r="790" spans="1:81">
      <c r="A790" s="1302" t="s">
        <v>1717</v>
      </c>
      <c r="B790" s="2701" t="s">
        <v>1484</v>
      </c>
      <c r="C790" s="2701"/>
      <c r="D790" s="2701"/>
      <c r="E790" s="2701"/>
      <c r="F790" s="2701"/>
      <c r="G790" s="2701"/>
      <c r="H790" s="2701"/>
      <c r="I790" s="2701"/>
      <c r="J790" s="2701"/>
      <c r="K790" s="2701"/>
      <c r="L790" s="2701"/>
      <c r="M790" s="2701"/>
      <c r="N790" s="2701"/>
      <c r="O790" s="2701"/>
      <c r="P790" s="2701"/>
      <c r="Q790" s="2701"/>
      <c r="R790" s="2701"/>
      <c r="S790" s="2702"/>
      <c r="T790" s="2730">
        <f>AK78</f>
        <v>10</v>
      </c>
      <c r="U790" s="2705"/>
      <c r="V790" s="2705"/>
      <c r="W790" s="2705"/>
      <c r="X790" s="2705"/>
      <c r="Y790" s="2706"/>
      <c r="Z790" s="2704">
        <v>10</v>
      </c>
      <c r="AA790" s="2705"/>
      <c r="AB790" s="2705"/>
      <c r="AC790" s="2705"/>
      <c r="AD790" s="2705"/>
      <c r="AE790" s="2706"/>
      <c r="AF790" s="2707">
        <f>IF(T790&gt;Z790,Z790,T790)</f>
        <v>10</v>
      </c>
      <c r="AG790" s="2707"/>
      <c r="AH790" s="2707"/>
      <c r="AI790" s="2707"/>
      <c r="AJ790" s="2707"/>
      <c r="AK790" s="2707"/>
      <c r="AL790" s="1301"/>
      <c r="AM790" s="1195"/>
      <c r="AO790" s="1298"/>
      <c r="AP790" s="1298"/>
      <c r="AQ790" s="1298"/>
    </row>
    <row r="791" spans="1:81">
      <c r="A791" s="1302" t="s">
        <v>1726</v>
      </c>
      <c r="B791" s="2701" t="s">
        <v>1494</v>
      </c>
      <c r="C791" s="2701"/>
      <c r="D791" s="2701"/>
      <c r="E791" s="2701"/>
      <c r="F791" s="2701"/>
      <c r="G791" s="2701"/>
      <c r="H791" s="2701"/>
      <c r="I791" s="2701"/>
      <c r="J791" s="2701"/>
      <c r="K791" s="2701"/>
      <c r="L791" s="2701"/>
      <c r="M791" s="2701"/>
      <c r="N791" s="2701"/>
      <c r="O791" s="2701"/>
      <c r="P791" s="2701"/>
      <c r="Q791" s="2701"/>
      <c r="R791" s="2701"/>
      <c r="S791" s="2702"/>
      <c r="T791" s="2730">
        <f ca="1">AK103</f>
        <v>20</v>
      </c>
      <c r="U791" s="2705"/>
      <c r="V791" s="2705"/>
      <c r="W791" s="2705"/>
      <c r="X791" s="2705"/>
      <c r="Y791" s="2706"/>
      <c r="Z791" s="2704">
        <v>20</v>
      </c>
      <c r="AA791" s="2705"/>
      <c r="AB791" s="2705"/>
      <c r="AC791" s="2705"/>
      <c r="AD791" s="2705"/>
      <c r="AE791" s="2706"/>
      <c r="AF791" s="2707">
        <f ca="1">IF(T791&gt;Z791,Z791,T791)</f>
        <v>20</v>
      </c>
      <c r="AG791" s="2707"/>
      <c r="AH791" s="2707"/>
      <c r="AI791" s="2707"/>
      <c r="AJ791" s="2707"/>
      <c r="AK791" s="2707"/>
      <c r="AL791" s="1301"/>
      <c r="AM791" s="1195"/>
      <c r="AO791" s="1298"/>
      <c r="AP791" s="1298"/>
      <c r="AQ791" s="1298"/>
    </row>
    <row r="792" spans="1:81">
      <c r="A792" s="1302" t="s">
        <v>1748</v>
      </c>
      <c r="B792" s="2701" t="s">
        <v>1504</v>
      </c>
      <c r="C792" s="2701"/>
      <c r="D792" s="2701"/>
      <c r="E792" s="2701"/>
      <c r="F792" s="2701"/>
      <c r="G792" s="2701"/>
      <c r="H792" s="2701"/>
      <c r="I792" s="2701"/>
      <c r="J792" s="2701"/>
      <c r="K792" s="2701"/>
      <c r="L792" s="2701"/>
      <c r="M792" s="2701"/>
      <c r="N792" s="2701"/>
      <c r="O792" s="2701"/>
      <c r="P792" s="2701"/>
      <c r="Q792" s="2701"/>
      <c r="R792" s="2701"/>
      <c r="S792" s="2702"/>
      <c r="T792" s="2730">
        <f>AK137</f>
        <v>10</v>
      </c>
      <c r="U792" s="2705"/>
      <c r="V792" s="2705"/>
      <c r="W792" s="2705"/>
      <c r="X792" s="2705"/>
      <c r="Y792" s="2706"/>
      <c r="Z792" s="2704">
        <v>10</v>
      </c>
      <c r="AA792" s="2705"/>
      <c r="AB792" s="2705"/>
      <c r="AC792" s="2705"/>
      <c r="AD792" s="2705"/>
      <c r="AE792" s="2706"/>
      <c r="AF792" s="2707">
        <f>IF(T792&gt;Z792,Z792,T792)</f>
        <v>10</v>
      </c>
      <c r="AG792" s="2707"/>
      <c r="AH792" s="2707"/>
      <c r="AI792" s="2707"/>
      <c r="AJ792" s="2707"/>
      <c r="AK792" s="2707"/>
      <c r="AL792" s="1301"/>
      <c r="AM792" s="1195"/>
      <c r="AO792" s="1298"/>
      <c r="AP792" s="1298"/>
      <c r="AQ792" s="1298"/>
    </row>
    <row r="793" spans="1:81">
      <c r="A793" s="1304" t="s">
        <v>1749</v>
      </c>
      <c r="B793" s="2701" t="s">
        <v>1750</v>
      </c>
      <c r="C793" s="2701"/>
      <c r="D793" s="2701"/>
      <c r="E793" s="2701"/>
      <c r="F793" s="2701"/>
      <c r="G793" s="2701"/>
      <c r="H793" s="2701"/>
      <c r="I793" s="2701"/>
      <c r="J793" s="2701"/>
      <c r="K793" s="2701"/>
      <c r="L793" s="2701"/>
      <c r="M793" s="2701"/>
      <c r="N793" s="2701"/>
      <c r="O793" s="2701"/>
      <c r="P793" s="2701"/>
      <c r="Q793" s="2701"/>
      <c r="R793" s="2701"/>
      <c r="S793" s="2702"/>
      <c r="T793" s="2703">
        <f>SUM(T794:Y795)</f>
        <v>10</v>
      </c>
      <c r="U793" s="2703"/>
      <c r="V793" s="2703"/>
      <c r="W793" s="2703"/>
      <c r="X793" s="2703"/>
      <c r="Y793" s="2703"/>
      <c r="Z793" s="2707">
        <v>10</v>
      </c>
      <c r="AA793" s="2707"/>
      <c r="AB793" s="2707"/>
      <c r="AC793" s="2707"/>
      <c r="AD793" s="2707"/>
      <c r="AE793" s="2707"/>
      <c r="AF793" s="2707">
        <f>IF(T793&gt;Z793,Z793,T793)</f>
        <v>10</v>
      </c>
      <c r="AG793" s="2707"/>
      <c r="AH793" s="2707"/>
      <c r="AI793" s="2707"/>
      <c r="AJ793" s="2707"/>
      <c r="AK793" s="2707"/>
      <c r="AL793" s="1301"/>
      <c r="AM793" s="1195"/>
    </row>
    <row r="794" spans="1:81">
      <c r="A794" s="905"/>
      <c r="B794" s="988"/>
      <c r="C794" s="2708" t="s">
        <v>1751</v>
      </c>
      <c r="D794" s="2708"/>
      <c r="E794" s="2708"/>
      <c r="F794" s="2708"/>
      <c r="G794" s="2708"/>
      <c r="H794" s="2708"/>
      <c r="I794" s="2708"/>
      <c r="J794" s="2708"/>
      <c r="K794" s="2708"/>
      <c r="L794" s="2708"/>
      <c r="M794" s="2708"/>
      <c r="N794" s="2708"/>
      <c r="O794" s="2708"/>
      <c r="P794" s="2708"/>
      <c r="Q794" s="2708"/>
      <c r="R794" s="2708"/>
      <c r="S794" s="2709"/>
      <c r="T794" s="2710">
        <f>AJ155</f>
        <v>7</v>
      </c>
      <c r="U794" s="2710"/>
      <c r="V794" s="2710"/>
      <c r="W794" s="2710"/>
      <c r="X794" s="2710"/>
      <c r="Y794" s="2710"/>
      <c r="Z794" s="2711">
        <v>7</v>
      </c>
      <c r="AA794" s="2711"/>
      <c r="AB794" s="2711"/>
      <c r="AC794" s="2711"/>
      <c r="AD794" s="2711"/>
      <c r="AE794" s="2711"/>
      <c r="AF794" s="2712"/>
      <c r="AG794" s="2712"/>
      <c r="AH794" s="2712"/>
      <c r="AI794" s="2712"/>
      <c r="AJ794" s="2712"/>
      <c r="AK794" s="2712"/>
      <c r="AL794" s="1301"/>
      <c r="AM794" s="1195"/>
    </row>
    <row r="795" spans="1:81">
      <c r="A795" s="1305"/>
      <c r="B795" s="988"/>
      <c r="C795" s="2708" t="s">
        <v>1752</v>
      </c>
      <c r="D795" s="2708"/>
      <c r="E795" s="2708"/>
      <c r="F795" s="2708"/>
      <c r="G795" s="2708"/>
      <c r="H795" s="2708"/>
      <c r="I795" s="2708"/>
      <c r="J795" s="2708"/>
      <c r="K795" s="2708"/>
      <c r="L795" s="2708"/>
      <c r="M795" s="2708"/>
      <c r="N795" s="2708"/>
      <c r="O795" s="2708"/>
      <c r="P795" s="2708"/>
      <c r="Q795" s="2708"/>
      <c r="R795" s="2708"/>
      <c r="S795" s="2709"/>
      <c r="T795" s="2710">
        <f>AJ169</f>
        <v>3</v>
      </c>
      <c r="U795" s="2710"/>
      <c r="V795" s="2710"/>
      <c r="W795" s="2710"/>
      <c r="X795" s="2710"/>
      <c r="Y795" s="2710"/>
      <c r="Z795" s="2711">
        <v>3</v>
      </c>
      <c r="AA795" s="2711"/>
      <c r="AB795" s="2711"/>
      <c r="AC795" s="2711"/>
      <c r="AD795" s="2711"/>
      <c r="AE795" s="2711"/>
      <c r="AF795" s="2712"/>
      <c r="AG795" s="2712"/>
      <c r="AH795" s="2712"/>
      <c r="AI795" s="2712"/>
      <c r="AJ795" s="2712"/>
      <c r="AK795" s="2712"/>
      <c r="AL795" s="1301"/>
      <c r="AM795" s="1195"/>
      <c r="AO795" s="922"/>
    </row>
    <row r="796" spans="1:81">
      <c r="A796" s="1304" t="s">
        <v>1532</v>
      </c>
      <c r="B796" s="2701" t="s">
        <v>1753</v>
      </c>
      <c r="C796" s="2701"/>
      <c r="D796" s="2701"/>
      <c r="E796" s="2701"/>
      <c r="F796" s="2701"/>
      <c r="G796" s="2701"/>
      <c r="H796" s="2701"/>
      <c r="I796" s="2701"/>
      <c r="J796" s="2701"/>
      <c r="K796" s="2701"/>
      <c r="L796" s="2701"/>
      <c r="M796" s="2701"/>
      <c r="N796" s="2701"/>
      <c r="O796" s="2701"/>
      <c r="P796" s="2701"/>
      <c r="Q796" s="2701"/>
      <c r="R796" s="2701"/>
      <c r="S796" s="2702"/>
      <c r="T796" s="2703">
        <f>AK180</f>
        <v>10</v>
      </c>
      <c r="U796" s="2703"/>
      <c r="V796" s="2703"/>
      <c r="W796" s="2703"/>
      <c r="X796" s="2703"/>
      <c r="Y796" s="2703"/>
      <c r="Z796" s="2707">
        <v>10</v>
      </c>
      <c r="AA796" s="2707"/>
      <c r="AB796" s="2707"/>
      <c r="AC796" s="2707"/>
      <c r="AD796" s="2707"/>
      <c r="AE796" s="2707"/>
      <c r="AF796" s="2707">
        <f>IF(T796&gt;Z796,Z796,T796)</f>
        <v>10</v>
      </c>
      <c r="AG796" s="2707"/>
      <c r="AH796" s="2707"/>
      <c r="AI796" s="2707"/>
      <c r="AJ796" s="2707"/>
      <c r="AK796" s="2707"/>
      <c r="AL796" s="1301"/>
      <c r="AM796" s="1195"/>
    </row>
    <row r="797" spans="1:81">
      <c r="A797" s="1302" t="s">
        <v>1541</v>
      </c>
      <c r="B797" s="2701" t="s">
        <v>1542</v>
      </c>
      <c r="C797" s="2701"/>
      <c r="D797" s="2701"/>
      <c r="E797" s="2701"/>
      <c r="F797" s="2701"/>
      <c r="G797" s="2701"/>
      <c r="H797" s="2701"/>
      <c r="I797" s="2701"/>
      <c r="J797" s="2701"/>
      <c r="K797" s="2701"/>
      <c r="L797" s="2701"/>
      <c r="M797" s="2701"/>
      <c r="N797" s="2701"/>
      <c r="O797" s="2701"/>
      <c r="P797" s="2701"/>
      <c r="Q797" s="2701"/>
      <c r="R797" s="2701"/>
      <c r="S797" s="2702"/>
      <c r="T797" s="2703">
        <f>AK262</f>
        <v>8</v>
      </c>
      <c r="U797" s="2703"/>
      <c r="V797" s="2703"/>
      <c r="W797" s="2703"/>
      <c r="X797" s="2703"/>
      <c r="Y797" s="2703"/>
      <c r="Z797" s="2704">
        <v>8</v>
      </c>
      <c r="AA797" s="2705"/>
      <c r="AB797" s="2705"/>
      <c r="AC797" s="2705"/>
      <c r="AD797" s="2705"/>
      <c r="AE797" s="2706"/>
      <c r="AF797" s="2707">
        <f>IF(T797&gt;Z797,Z797,T797)</f>
        <v>8</v>
      </c>
      <c r="AG797" s="2707"/>
      <c r="AH797" s="2707"/>
      <c r="AI797" s="2707"/>
      <c r="AJ797" s="2707"/>
      <c r="AK797" s="2707"/>
      <c r="AL797" s="1301"/>
      <c r="AM797" s="1195"/>
    </row>
    <row r="798" spans="1:81" s="904" customFormat="1" hidden="1">
      <c r="A798" s="1304" t="s">
        <v>598</v>
      </c>
      <c r="B798" s="2701" t="s">
        <v>1754</v>
      </c>
      <c r="C798" s="2701"/>
      <c r="D798" s="2701"/>
      <c r="E798" s="2701"/>
      <c r="F798" s="2701"/>
      <c r="G798" s="2701"/>
      <c r="H798" s="2701"/>
      <c r="I798" s="2701"/>
      <c r="J798" s="2701"/>
      <c r="K798" s="2701"/>
      <c r="L798" s="2701"/>
      <c r="M798" s="2701"/>
      <c r="N798" s="2701"/>
      <c r="O798" s="2701"/>
      <c r="P798" s="2701"/>
      <c r="Q798" s="2701"/>
      <c r="R798" s="2701"/>
      <c r="S798" s="2702"/>
      <c r="T798" s="2703">
        <f>IF(AK524&gt;5,5,AK524)</f>
        <v>0</v>
      </c>
      <c r="U798" s="2703"/>
      <c r="V798" s="2703"/>
      <c r="W798" s="2703"/>
      <c r="X798" s="2703"/>
      <c r="Y798" s="2703"/>
      <c r="Z798" s="2707">
        <v>5</v>
      </c>
      <c r="AA798" s="2707"/>
      <c r="AB798" s="2707"/>
      <c r="AC798" s="2707"/>
      <c r="AD798" s="2707"/>
      <c r="AE798" s="2707"/>
      <c r="AF798" s="2707">
        <f>IF(T798&gt;Z798,5,T798)</f>
        <v>0</v>
      </c>
      <c r="AG798" s="2707"/>
      <c r="AH798" s="2707"/>
      <c r="AI798" s="2707"/>
      <c r="AJ798" s="2707"/>
      <c r="AK798" s="2707"/>
      <c r="AL798" s="1301"/>
      <c r="AM798" s="11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4" customFormat="1">
      <c r="A799" s="1302" t="s">
        <v>1547</v>
      </c>
      <c r="B799" s="2701" t="s">
        <v>1755</v>
      </c>
      <c r="C799" s="2701"/>
      <c r="D799" s="2701"/>
      <c r="E799" s="2701"/>
      <c r="F799" s="2701"/>
      <c r="G799" s="2701"/>
      <c r="H799" s="2701"/>
      <c r="I799" s="2701"/>
      <c r="J799" s="2701"/>
      <c r="K799" s="2701"/>
      <c r="L799" s="2701"/>
      <c r="M799" s="2701"/>
      <c r="N799" s="2701"/>
      <c r="O799" s="2701"/>
      <c r="P799" s="2701"/>
      <c r="Q799" s="2701"/>
      <c r="R799" s="2701"/>
      <c r="S799" s="2702"/>
      <c r="T799" s="2703">
        <f>AK274</f>
        <v>10</v>
      </c>
      <c r="U799" s="2703"/>
      <c r="V799" s="2703"/>
      <c r="W799" s="2703"/>
      <c r="X799" s="2703"/>
      <c r="Y799" s="2703"/>
      <c r="Z799" s="2707">
        <v>10</v>
      </c>
      <c r="AA799" s="2707"/>
      <c r="AB799" s="2707"/>
      <c r="AC799" s="2707"/>
      <c r="AD799" s="2707"/>
      <c r="AE799" s="2707"/>
      <c r="AF799" s="2713">
        <f>IF(T799&gt;Z799,Z799,T799)</f>
        <v>10</v>
      </c>
      <c r="AG799" s="2714"/>
      <c r="AH799" s="2714"/>
      <c r="AI799" s="2714"/>
      <c r="AJ799" s="2714"/>
      <c r="AK799" s="2715"/>
      <c r="AL799" s="1301"/>
      <c r="AM799" s="97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4" customFormat="1">
      <c r="A800" s="1304" t="s">
        <v>1551</v>
      </c>
      <c r="B800" s="2701" t="s">
        <v>1552</v>
      </c>
      <c r="C800" s="2701"/>
      <c r="D800" s="2701"/>
      <c r="E800" s="2701"/>
      <c r="F800" s="2701"/>
      <c r="G800" s="2701"/>
      <c r="H800" s="2701"/>
      <c r="I800" s="2701"/>
      <c r="J800" s="2701"/>
      <c r="K800" s="2701"/>
      <c r="L800" s="2701"/>
      <c r="M800" s="2701"/>
      <c r="N800" s="2701"/>
      <c r="O800" s="2701"/>
      <c r="P800" s="2701"/>
      <c r="Q800" s="2701"/>
      <c r="R800" s="2701"/>
      <c r="S800" s="2702"/>
      <c r="T800" s="2703">
        <f>AK327</f>
        <v>9</v>
      </c>
      <c r="U800" s="2703"/>
      <c r="V800" s="2703"/>
      <c r="W800" s="2703"/>
      <c r="X800" s="2703"/>
      <c r="Y800" s="2703"/>
      <c r="Z800" s="2713">
        <v>10</v>
      </c>
      <c r="AA800" s="2714"/>
      <c r="AB800" s="2714"/>
      <c r="AC800" s="2714"/>
      <c r="AD800" s="2714"/>
      <c r="AE800" s="2715"/>
      <c r="AF800" s="2713">
        <f>IF(T800&gt;Z800,Z800,T800)</f>
        <v>9</v>
      </c>
      <c r="AG800" s="2714"/>
      <c r="AH800" s="2714"/>
      <c r="AI800" s="2714"/>
      <c r="AJ800" s="2714"/>
      <c r="AK800" s="2715"/>
      <c r="AL800" s="1306"/>
      <c r="AM800" s="97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4" customFormat="1" hidden="1">
      <c r="A801" s="1304"/>
      <c r="B801" s="1307"/>
      <c r="C801" s="1308" t="s">
        <v>1756</v>
      </c>
      <c r="D801" s="1309"/>
      <c r="E801" s="1309"/>
      <c r="F801" s="1309"/>
      <c r="G801" s="1309"/>
      <c r="H801" s="1309"/>
      <c r="I801" s="1309"/>
      <c r="J801" s="1309"/>
      <c r="K801" s="1309"/>
      <c r="L801" s="1309"/>
      <c r="M801" s="1309"/>
      <c r="N801" s="1309"/>
      <c r="O801" s="1309"/>
      <c r="P801" s="1309"/>
      <c r="Q801" s="1309"/>
      <c r="R801" s="1307"/>
      <c r="S801" s="1310"/>
      <c r="T801" s="2710">
        <f>AK327</f>
        <v>9</v>
      </c>
      <c r="U801" s="2710"/>
      <c r="V801" s="2710"/>
      <c r="W801" s="2710"/>
      <c r="X801" s="2710"/>
      <c r="Y801" s="2710"/>
      <c r="Z801" s="2674">
        <v>20</v>
      </c>
      <c r="AA801" s="2675"/>
      <c r="AB801" s="2675"/>
      <c r="AC801" s="2675"/>
      <c r="AD801" s="2675"/>
      <c r="AE801" s="2676"/>
      <c r="AF801" s="2712"/>
      <c r="AG801" s="2712"/>
      <c r="AH801" s="2712"/>
      <c r="AI801" s="2712"/>
      <c r="AJ801" s="2712"/>
      <c r="AK801" s="2712"/>
      <c r="AL801" s="1306"/>
      <c r="AM801" s="97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4" customFormat="1">
      <c r="A802" s="1304" t="s">
        <v>1624</v>
      </c>
      <c r="B802" s="2701" t="s">
        <v>873</v>
      </c>
      <c r="C802" s="2701"/>
      <c r="D802" s="2701"/>
      <c r="E802" s="2701"/>
      <c r="F802" s="2701"/>
      <c r="G802" s="2701"/>
      <c r="H802" s="2701"/>
      <c r="I802" s="2701"/>
      <c r="J802" s="2701"/>
      <c r="K802" s="2701"/>
      <c r="L802" s="2701"/>
      <c r="M802" s="2701"/>
      <c r="N802" s="2701"/>
      <c r="O802" s="2701"/>
      <c r="P802" s="2701"/>
      <c r="Q802" s="2701"/>
      <c r="R802" s="2701"/>
      <c r="S802" s="2702"/>
      <c r="T802" s="2703">
        <f>AK458</f>
        <v>17</v>
      </c>
      <c r="U802" s="2703"/>
      <c r="V802" s="2703"/>
      <c r="W802" s="2703"/>
      <c r="X802" s="2703"/>
      <c r="Y802" s="2703"/>
      <c r="Z802" s="2713">
        <v>10</v>
      </c>
      <c r="AA802" s="2714"/>
      <c r="AB802" s="2714"/>
      <c r="AC802" s="2714"/>
      <c r="AD802" s="2714"/>
      <c r="AE802" s="2715"/>
      <c r="AF802" s="2707">
        <f>IF(T802&gt;Z802,Z802,T802)</f>
        <v>10</v>
      </c>
      <c r="AG802" s="2707"/>
      <c r="AH802" s="2707"/>
      <c r="AI802" s="2707"/>
      <c r="AJ802" s="2707"/>
      <c r="AK802" s="2707"/>
      <c r="AL802" s="1306"/>
      <c r="AM802" s="97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4" customFormat="1">
      <c r="A803" s="1304" t="s">
        <v>1734</v>
      </c>
      <c r="B803" s="2701" t="s">
        <v>1735</v>
      </c>
      <c r="C803" s="2701"/>
      <c r="D803" s="2701"/>
      <c r="E803" s="2701"/>
      <c r="F803" s="2701"/>
      <c r="G803" s="2701"/>
      <c r="H803" s="2701"/>
      <c r="I803" s="2701"/>
      <c r="J803" s="2701"/>
      <c r="K803" s="2701"/>
      <c r="L803" s="2701"/>
      <c r="M803" s="2701"/>
      <c r="N803" s="2701"/>
      <c r="O803" s="2701"/>
      <c r="P803" s="2701"/>
      <c r="Q803" s="2701"/>
      <c r="R803" s="2701"/>
      <c r="S803" s="2702"/>
      <c r="T803" s="2703">
        <f>AK548</f>
        <v>12</v>
      </c>
      <c r="U803" s="2703"/>
      <c r="V803" s="2703"/>
      <c r="W803" s="2703"/>
      <c r="X803" s="2703"/>
      <c r="Y803" s="2703"/>
      <c r="Z803" s="2713">
        <v>12</v>
      </c>
      <c r="AA803" s="2714"/>
      <c r="AB803" s="2714"/>
      <c r="AC803" s="2714"/>
      <c r="AD803" s="2714"/>
      <c r="AE803" s="2715"/>
      <c r="AF803" s="2707">
        <f>IF(T803&gt;Z803,Z803,T803)</f>
        <v>12</v>
      </c>
      <c r="AG803" s="2707"/>
      <c r="AH803" s="2707"/>
      <c r="AI803" s="2707"/>
      <c r="AJ803" s="2707"/>
      <c r="AK803" s="2707"/>
      <c r="AL803" s="1306"/>
      <c r="AM803" s="97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04" customFormat="1">
      <c r="A804" s="1835" t="s">
        <v>2408</v>
      </c>
      <c r="B804" s="2701" t="s">
        <v>1757</v>
      </c>
      <c r="C804" s="2701"/>
      <c r="D804" s="2701"/>
      <c r="E804" s="2701"/>
      <c r="F804" s="2701"/>
      <c r="G804" s="2701"/>
      <c r="H804" s="2701"/>
      <c r="I804" s="2701"/>
      <c r="J804" s="2701"/>
      <c r="K804" s="2701"/>
      <c r="L804" s="2701"/>
      <c r="M804" s="2701"/>
      <c r="N804" s="2701"/>
      <c r="O804" s="2701"/>
      <c r="P804" s="2701"/>
      <c r="Q804" s="2701"/>
      <c r="R804" s="2701"/>
      <c r="S804" s="2702"/>
      <c r="T804" s="2703">
        <f>AK779</f>
        <v>10</v>
      </c>
      <c r="U804" s="2703"/>
      <c r="V804" s="2703"/>
      <c r="W804" s="2703"/>
      <c r="X804" s="2703"/>
      <c r="Y804" s="2703"/>
      <c r="Z804" s="2713">
        <v>10</v>
      </c>
      <c r="AA804" s="2714"/>
      <c r="AB804" s="2714"/>
      <c r="AC804" s="2714"/>
      <c r="AD804" s="2714"/>
      <c r="AE804" s="2715"/>
      <c r="AF804" s="2707">
        <f>IF(T804&gt;Z804,Z804,T804)</f>
        <v>10</v>
      </c>
      <c r="AG804" s="2707"/>
      <c r="AH804" s="2707"/>
      <c r="AI804" s="2707"/>
      <c r="AJ804" s="2707"/>
      <c r="AK804" s="2707"/>
      <c r="AL804" s="1306"/>
      <c r="AM804" s="97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04" customFormat="1">
      <c r="A805" s="2716" t="s">
        <v>1758</v>
      </c>
      <c r="B805" s="2701"/>
      <c r="C805" s="2701"/>
      <c r="D805" s="2701"/>
      <c r="E805" s="2701"/>
      <c r="F805" s="2701"/>
      <c r="G805" s="2701"/>
      <c r="H805" s="2701"/>
      <c r="I805" s="2701"/>
      <c r="J805" s="2701"/>
      <c r="K805" s="2701"/>
      <c r="L805" s="2701"/>
      <c r="M805" s="2701"/>
      <c r="N805" s="2701"/>
      <c r="O805" s="2701"/>
      <c r="P805" s="2701"/>
      <c r="Q805" s="2701"/>
      <c r="R805" s="2701"/>
      <c r="S805" s="2702"/>
      <c r="T805" s="2717"/>
      <c r="U805" s="2717"/>
      <c r="V805" s="2717"/>
      <c r="W805" s="2717"/>
      <c r="X805" s="2717"/>
      <c r="Y805" s="2717"/>
      <c r="Z805" s="2711" t="s">
        <v>1759</v>
      </c>
      <c r="AA805" s="2711"/>
      <c r="AB805" s="2711"/>
      <c r="AC805" s="2711"/>
      <c r="AD805" s="2711"/>
      <c r="AE805" s="2711"/>
      <c r="AF805" s="2713">
        <f>IF(T805&gt;0,T805,0)</f>
        <v>0</v>
      </c>
      <c r="AG805" s="2714"/>
      <c r="AH805" s="2714"/>
      <c r="AI805" s="2714"/>
      <c r="AJ805" s="2714"/>
      <c r="AK805" s="2715"/>
      <c r="AL805" s="1013"/>
      <c r="AM805" s="97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04" customFormat="1" ht="15.75">
      <c r="A806" s="2718" t="s">
        <v>1760</v>
      </c>
      <c r="B806" s="2719"/>
      <c r="C806" s="2719"/>
      <c r="D806" s="2719"/>
      <c r="E806" s="2719"/>
      <c r="F806" s="2719"/>
      <c r="G806" s="2719"/>
      <c r="H806" s="2719"/>
      <c r="I806" s="2719"/>
      <c r="J806" s="2719"/>
      <c r="K806" s="2719"/>
      <c r="L806" s="2719"/>
      <c r="M806" s="2719"/>
      <c r="N806" s="2719"/>
      <c r="O806" s="2719"/>
      <c r="P806" s="2719"/>
      <c r="Q806" s="2719"/>
      <c r="R806" s="2719"/>
      <c r="S806" s="2719"/>
      <c r="T806" s="2719"/>
      <c r="U806" s="2719"/>
      <c r="V806" s="2719"/>
      <c r="W806" s="2719"/>
      <c r="X806" s="2719"/>
      <c r="Y806" s="2719"/>
      <c r="Z806" s="2719"/>
      <c r="AA806" s="2719"/>
      <c r="AB806" s="2719"/>
      <c r="AC806" s="2719"/>
      <c r="AD806" s="2719"/>
      <c r="AE806" s="2720"/>
      <c r="AF806" s="2724">
        <f ca="1">SUM(AF789:AK804)-AF805</f>
        <v>119</v>
      </c>
      <c r="AG806" s="2725"/>
      <c r="AH806" s="2725"/>
      <c r="AI806" s="2725"/>
      <c r="AJ806" s="2725"/>
      <c r="AK806" s="2726"/>
      <c r="AL806" s="1311"/>
      <c r="AM806" s="92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04" customFormat="1" ht="15.75">
      <c r="A807" s="2721"/>
      <c r="B807" s="2722"/>
      <c r="C807" s="2722"/>
      <c r="D807" s="2722"/>
      <c r="E807" s="2722"/>
      <c r="F807" s="2722"/>
      <c r="G807" s="2722"/>
      <c r="H807" s="2722"/>
      <c r="I807" s="2722"/>
      <c r="J807" s="2722"/>
      <c r="K807" s="2722"/>
      <c r="L807" s="2722"/>
      <c r="M807" s="2722"/>
      <c r="N807" s="2722"/>
      <c r="O807" s="2722"/>
      <c r="P807" s="2722"/>
      <c r="Q807" s="2722"/>
      <c r="R807" s="2722"/>
      <c r="S807" s="2722"/>
      <c r="T807" s="2722"/>
      <c r="U807" s="2722"/>
      <c r="V807" s="2722"/>
      <c r="W807" s="2722"/>
      <c r="X807" s="2722"/>
      <c r="Y807" s="2722"/>
      <c r="Z807" s="2722"/>
      <c r="AA807" s="2722"/>
      <c r="AB807" s="2722"/>
      <c r="AC807" s="2722"/>
      <c r="AD807" s="2722"/>
      <c r="AE807" s="2723"/>
      <c r="AF807" s="2727"/>
      <c r="AG807" s="2728"/>
      <c r="AH807" s="2728"/>
      <c r="AI807" s="2728"/>
      <c r="AJ807" s="2728"/>
      <c r="AK807" s="2729"/>
      <c r="AL807" s="1311"/>
      <c r="AM807" s="92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04" customFormat="1">
      <c r="A808" s="1085"/>
      <c r="B808" s="1085"/>
      <c r="C808" s="1085"/>
      <c r="D808" s="1085"/>
      <c r="E808" s="1085"/>
      <c r="F808" s="1085"/>
      <c r="G808" s="1085"/>
      <c r="H808" s="1085"/>
      <c r="I808" s="1085"/>
      <c r="J808" s="1085"/>
      <c r="K808" s="1085"/>
      <c r="L808" s="1085"/>
      <c r="M808" s="1085"/>
      <c r="N808" s="1085"/>
      <c r="O808" s="1085"/>
      <c r="P808" s="1085"/>
      <c r="Q808" s="1085"/>
      <c r="R808" s="1085"/>
      <c r="S808" s="1085"/>
      <c r="T808" s="1085"/>
      <c r="U808" s="1085"/>
      <c r="V808" s="1085"/>
      <c r="W808" s="1085"/>
      <c r="X808" s="1085"/>
      <c r="Y808" s="1085"/>
      <c r="Z808" s="1085"/>
      <c r="AA808" s="1085"/>
      <c r="AB808" s="1085"/>
      <c r="AC808" s="1085"/>
      <c r="AD808" s="1085"/>
      <c r="AE808" s="1085"/>
      <c r="AF808" s="1085"/>
      <c r="AG808" s="1085"/>
      <c r="AH808" s="1085"/>
      <c r="AI808" s="1085"/>
      <c r="AJ808" s="1085"/>
      <c r="AK808" s="1085"/>
      <c r="AL808" s="1085"/>
      <c r="AM808" s="131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wm3NSvqzTZzv3gROT/QIzugkq9LhUs1mYmSS7E9YKBFBNKZTCBkqVYuJ4B2tlwWei+bbxUpUu+vg3hwFU3lSAQ==" saltValue="ALKuIL2pcnoPnmpF2hY9PQ==" spinCount="100000" sheet="1" objects="1" scenarios="1"/>
  <mergeCells count="492">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I213:K213"/>
    <mergeCell ref="B192:AB192"/>
    <mergeCell ref="B193:AB193"/>
    <mergeCell ref="B218:G218"/>
    <mergeCell ref="AB214:AG214"/>
    <mergeCell ref="I220:K220"/>
    <mergeCell ref="I221:K221"/>
    <mergeCell ref="I222:K222"/>
    <mergeCell ref="N212:R212"/>
    <mergeCell ref="N213:R213"/>
    <mergeCell ref="B190:AB190"/>
    <mergeCell ref="B191:AB191"/>
    <mergeCell ref="AD196:AJ196"/>
    <mergeCell ref="AD195:AJ195"/>
    <mergeCell ref="AD194:AJ194"/>
    <mergeCell ref="AD193:AJ193"/>
    <mergeCell ref="AD192:AJ192"/>
    <mergeCell ref="AD191:AJ191"/>
    <mergeCell ref="B212:G212"/>
    <mergeCell ref="I212:K212"/>
    <mergeCell ref="I211:K211"/>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94:AB194"/>
    <mergeCell ref="B195:AB195"/>
    <mergeCell ref="B196:AB196"/>
    <mergeCell ref="AB243:AG243"/>
    <mergeCell ref="AB245:AG245"/>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700-000000000000}">
      <formula1>$AO$444:$AO$446</formula1>
    </dataValidation>
    <dataValidation type="list" allowBlank="1" showInputMessage="1" showErrorMessage="1" sqref="V485:X485" xr:uid="{00000000-0002-0000-0700-000001000000}">
      <formula1>$AW$444:$AW$447</formula1>
    </dataValidation>
    <dataValidation type="list" allowBlank="1" showInputMessage="1" showErrorMessage="1" sqref="V487:X487" xr:uid="{00000000-0002-0000-0700-000002000000}">
      <formula1>$BA$444:$BA$446</formula1>
    </dataValidation>
    <dataValidation type="list" allowBlank="1" showInputMessage="1" showErrorMessage="1" sqref="F469:Z469" xr:uid="{00000000-0002-0000-0700-000003000000}">
      <formula1>$AO$434:$AO$442</formula1>
    </dataValidation>
    <dataValidation type="list" allowBlank="1" showInputMessage="1" showErrorMessage="1" sqref="V481:X481" xr:uid="{00000000-0002-0000-0700-000004000000}">
      <formula1>$AO$448:$AO$450</formula1>
    </dataValidation>
    <dataValidation type="list" allowBlank="1" showInputMessage="1" showErrorMessage="1" sqref="V474:X474" xr:uid="{00000000-0002-0000-0700-000005000000}">
      <formula1>$AR$444:$AR$446</formula1>
    </dataValidation>
    <dataValidation type="list" showInputMessage="1" showErrorMessage="1" sqref="T178:AC178" xr:uid="{00000000-0002-0000-0700-000006000000}">
      <formula1>$AS$178:$AS$180</formula1>
    </dataValidation>
    <dataValidation type="list" allowBlank="1" showInputMessage="1" showErrorMessage="1" sqref="B147:AI147" xr:uid="{00000000-0002-0000-07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8000000}">
      <formula1>"N/A, Yes"</formula1>
    </dataValidation>
    <dataValidation type="list" allowBlank="1" showInputMessage="1" showErrorMessage="1" sqref="G502:AF502" xr:uid="{00000000-0002-0000-0700-000009000000}">
      <formula1>$AO$477:$AO$480</formula1>
    </dataValidation>
    <dataValidation type="list" allowBlank="1" showInputMessage="1" showErrorMessage="1" sqref="H748:I748 H736:I736 H720:I720 H708:I708 H694:I694 H639:I639 H627:I627" xr:uid="{00000000-0002-0000-0700-00000A000000}">
      <formula1>$AO$575:$AO$577</formula1>
    </dataValidation>
    <dataValidation type="list" allowBlank="1" showInputMessage="1" showErrorMessage="1" sqref="H639:I639" xr:uid="{00000000-0002-0000-0700-00000B000000}">
      <formula1>$AO$575:$AO$576</formula1>
    </dataValidation>
    <dataValidation type="list" showInputMessage="1" showErrorMessage="1" sqref="B605:C605" xr:uid="{00000000-0002-0000-0700-00000C000000}">
      <formula1>$AP$563:$AP$564</formula1>
    </dataValidation>
    <dataValidation type="list" allowBlank="1" showInputMessage="1" showErrorMessage="1" sqref="AB149:AC149 AC161:AD161" xr:uid="{00000000-0002-0000-0700-00000D000000}">
      <formula1>"N/A,Yes,"</formula1>
    </dataValidation>
    <dataValidation type="list" allowBlank="1" showInputMessage="1" showErrorMessage="1" sqref="B152" xr:uid="{00000000-0002-0000-0700-00000E000000}">
      <formula1>$AO$150:$AO$152</formula1>
    </dataValidation>
    <dataValidation type="list" allowBlank="1" showInputMessage="1" showErrorMessage="1" sqref="F492:Z492" xr:uid="{00000000-0002-0000-0700-00000F000000}">
      <formula1>$AO$460:$AO$468</formula1>
    </dataValidation>
    <dataValidation type="list" allowBlank="1" showInputMessage="1" showErrorMessage="1" sqref="F497:H497" xr:uid="{00000000-0002-0000-0700-000010000000}">
      <formula1>$AO$470:$AO$472</formula1>
    </dataValidation>
    <dataValidation type="list" allowBlank="1" showInputMessage="1" showErrorMessage="1" sqref="F513" xr:uid="{00000000-0002-0000-0700-000011000000}">
      <formula1>$AO$483:$AO$486</formula1>
    </dataValidation>
    <dataValidation type="list" allowBlank="1" showInputMessage="1" showErrorMessage="1" sqref="H775:I775" xr:uid="{00000000-0002-0000-0700-000012000000}">
      <formula1>$AO$769:$AO$770</formula1>
    </dataValidation>
    <dataValidation type="list" allowBlank="1" showInputMessage="1" showErrorMessage="1" sqref="B213:G222" xr:uid="{00000000-0002-0000-0700-000013000000}">
      <formula1>"(select),SRO/Studio,1 bedroom,2 bedroom,3 bedroom,4 bedroom,5 bedroom"</formula1>
    </dataValidation>
    <dataValidation type="list" allowBlank="1" showInputMessage="1" showErrorMessage="1" sqref="I318:AD320" xr:uid="{00000000-0002-0000-0700-000014000000}">
      <formula1>$AP$319:$AP$321</formula1>
    </dataValidation>
    <dataValidation type="list" allowBlank="1" showInputMessage="1" showErrorMessage="1" sqref="I313" xr:uid="{00000000-0002-0000-0700-000015000000}">
      <formula1>$AP$312:$AP$316</formula1>
    </dataValidation>
    <dataValidation type="list" allowBlank="1" showInputMessage="1" showErrorMessage="1" sqref="O590" xr:uid="{00000000-0002-0000-0700-000016000000}">
      <formula1>"(select),Dial-a-ride service,Project-operated van service"</formula1>
    </dataValidation>
    <dataValidation type="list" allowBlank="1" showInputMessage="1" showErrorMessage="1" sqref="C163:AD163" xr:uid="{00000000-0002-0000-0700-000017000000}">
      <formula1>$AO$166:$AO$168</formula1>
    </dataValidation>
    <dataValidation type="list" allowBlank="1" showInputMessage="1" showErrorMessage="1" sqref="C159:AI159" xr:uid="{00000000-0002-0000-0700-000018000000}">
      <formula1>$AO$159:$AO$162</formula1>
    </dataValidation>
    <dataValidation type="list" allowBlank="1" showInputMessage="1" showErrorMessage="1" sqref="C160:AD160" xr:uid="{00000000-0002-0000-0700-000019000000}">
      <formula1>$AO$159:$AO$164</formula1>
    </dataValidation>
    <dataValidation type="list" allowBlank="1" showInputMessage="1" showErrorMessage="1" sqref="H764:I764" xr:uid="{00000000-0002-0000-0700-00001A000000}">
      <formula1>$AP$705:$AP$707</formula1>
    </dataValidation>
    <dataValidation type="list" allowBlank="1" showInputMessage="1" showErrorMessage="1" sqref="H595:I595 H597:I601" xr:uid="{00000000-0002-0000-0700-00001B000000}">
      <formula1>$AO$575:$AO$580</formula1>
    </dataValidation>
    <dataValidation type="list" allowBlank="1" showInputMessage="1" showErrorMessage="1" sqref="I603" xr:uid="{00000000-0002-0000-0700-00001C000000}">
      <formula1>$AO$602:$AO$604</formula1>
    </dataValidation>
    <dataValidation type="list" allowBlank="1" showInputMessage="1" showErrorMessage="1" sqref="F305:AD309" xr:uid="{00000000-0002-0000-0700-00001D000000}">
      <formula1>$AP$300:$AP$303</formula1>
    </dataValidation>
    <dataValidation type="list" allowBlank="1" showInputMessage="1" showErrorMessage="1" sqref="H674:I674" xr:uid="{00000000-0002-0000-0700-00001E000000}">
      <formula1>$AO$622:$AO$629</formula1>
    </dataValidation>
    <dataValidation type="list" allowBlank="1" showInputMessage="1" showErrorMessage="1" sqref="C281:D281" xr:uid="{00000000-0002-0000-0700-00001F000000}">
      <formula1>"N/A, Yes, 50% Met"</formula1>
    </dataValidation>
    <dataValidation type="list" showInputMessage="1" showErrorMessage="1" sqref="B177:AC177" xr:uid="{00000000-0002-0000-07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zoomScaleNormal="100" workbookViewId="0">
      <selection activeCell="H5" sqref="H5"/>
    </sheetView>
  </sheetViews>
  <sheetFormatPr defaultColWidth="9.140625" defaultRowHeight="14.25"/>
  <cols>
    <col min="1" max="1" width="2.42578125" style="1709" customWidth="1"/>
    <col min="2" max="5" width="14.7109375" style="1709" customWidth="1"/>
    <col min="6" max="6" width="14.7109375" style="1713" customWidth="1"/>
    <col min="7" max="7" width="14.7109375" style="1709" customWidth="1"/>
    <col min="8" max="8" width="14.7109375" style="1713" customWidth="1"/>
    <col min="9" max="9" width="14.7109375" style="1709" customWidth="1"/>
    <col min="10" max="10" width="2.28515625" style="1709" customWidth="1"/>
    <col min="11" max="11" width="11.85546875" style="1710" customWidth="1"/>
    <col min="12" max="12" width="10.7109375" style="1709" customWidth="1"/>
    <col min="13" max="13" width="10.42578125" style="1709" customWidth="1"/>
    <col min="14" max="14" width="10.85546875" style="1709" customWidth="1"/>
    <col min="15" max="16384" width="9.140625" style="1709"/>
  </cols>
  <sheetData>
    <row r="1" spans="1:13" ht="30" customHeight="1">
      <c r="A1" s="2921" t="s">
        <v>1761</v>
      </c>
      <c r="B1" s="2921"/>
      <c r="C1" s="2921"/>
      <c r="D1" s="2921"/>
      <c r="E1" s="2921"/>
      <c r="F1" s="2921"/>
      <c r="G1" s="2921"/>
      <c r="H1" s="2921"/>
      <c r="I1" s="2921"/>
      <c r="J1" s="2921"/>
    </row>
    <row r="2" spans="1:13" ht="15" customHeight="1" thickBot="1">
      <c r="A2" s="1711"/>
      <c r="B2" s="1711"/>
      <c r="C2" s="1712"/>
      <c r="D2" s="1712"/>
      <c r="E2" s="1712"/>
      <c r="G2" s="1712"/>
      <c r="I2" s="1714"/>
      <c r="K2" s="1715"/>
    </row>
    <row r="3" spans="1:13" s="1721" customFormat="1" ht="20.100000000000001" customHeight="1">
      <c r="A3" s="1785"/>
      <c r="B3" s="1786"/>
      <c r="C3" s="1787"/>
      <c r="D3" s="1793"/>
      <c r="E3" s="1787"/>
      <c r="F3" s="1788" t="s">
        <v>2373</v>
      </c>
      <c r="G3" s="1789"/>
      <c r="H3" s="1790">
        <f>E16</f>
        <v>15284820</v>
      </c>
      <c r="I3" s="1791"/>
      <c r="K3" s="1726"/>
    </row>
    <row r="4" spans="1:13" s="1721" customFormat="1" ht="20.100000000000001" customHeight="1">
      <c r="A4" s="1718"/>
      <c r="B4" s="1779"/>
      <c r="C4" s="1718"/>
      <c r="D4" s="1794"/>
      <c r="E4" s="1718"/>
      <c r="F4" s="1777" t="s">
        <v>2375</v>
      </c>
      <c r="G4" s="1776" t="s">
        <v>2374</v>
      </c>
      <c r="H4" s="1778">
        <f>I16</f>
        <v>30186483.282352939</v>
      </c>
      <c r="I4" s="1780"/>
      <c r="K4" s="1724"/>
    </row>
    <row r="5" spans="1:13" s="1721" customFormat="1" ht="20.100000000000001" customHeight="1" thickBot="1">
      <c r="A5" s="1718"/>
      <c r="B5" s="1781"/>
      <c r="C5" s="1782"/>
      <c r="D5" s="1795"/>
      <c r="E5" s="1783"/>
      <c r="F5" s="1795" t="s">
        <v>2315</v>
      </c>
      <c r="G5" s="1796"/>
      <c r="H5" s="1792">
        <f>H3/H4</f>
        <v>0.50634649478813343</v>
      </c>
      <c r="I5" s="1784"/>
      <c r="K5" s="1724"/>
    </row>
    <row r="6" spans="1:13" s="1721" customFormat="1" ht="15" customHeight="1">
      <c r="A6" s="1718"/>
      <c r="B6" s="1719"/>
      <c r="C6" s="1720"/>
      <c r="D6" s="1718"/>
      <c r="F6" s="1722"/>
      <c r="G6" s="1718"/>
      <c r="H6" s="1723"/>
      <c r="I6" s="1718"/>
      <c r="K6" s="1724"/>
    </row>
    <row r="7" spans="1:13" s="1726" customFormat="1" ht="15" customHeight="1">
      <c r="A7" s="1723"/>
      <c r="B7" s="1723"/>
      <c r="C7" s="1723"/>
      <c r="D7" s="1723"/>
      <c r="E7" s="1725"/>
      <c r="F7" s="1722"/>
      <c r="G7" s="1723"/>
      <c r="H7" s="1723"/>
      <c r="I7" s="1723"/>
      <c r="K7" s="1727"/>
    </row>
    <row r="8" spans="1:13" s="1726" customFormat="1" ht="15" customHeight="1">
      <c r="A8" s="1728"/>
      <c r="B8" s="2922" t="s">
        <v>2313</v>
      </c>
      <c r="C8" s="2923"/>
      <c r="D8" s="2923"/>
      <c r="E8" s="2924"/>
      <c r="G8" s="2925" t="s">
        <v>2314</v>
      </c>
      <c r="H8" s="2926"/>
      <c r="I8" s="2927"/>
      <c r="K8" s="1727"/>
    </row>
    <row r="9" spans="1:13" ht="15" customHeight="1">
      <c r="A9" s="1711"/>
      <c r="B9" s="2916" t="s">
        <v>2352</v>
      </c>
      <c r="C9" s="2916"/>
      <c r="D9" s="2916"/>
      <c r="E9" s="1729">
        <f>G31</f>
        <v>3450000</v>
      </c>
      <c r="G9" s="2919" t="s">
        <v>2350</v>
      </c>
      <c r="H9" s="2919"/>
      <c r="I9" s="1730">
        <f>Application!AM550</f>
        <v>22287091</v>
      </c>
      <c r="K9" s="1731"/>
      <c r="M9" s="1732"/>
    </row>
    <row r="10" spans="1:13" ht="15" customHeight="1" thickBot="1">
      <c r="A10" s="1711"/>
      <c r="B10" s="2916" t="s">
        <v>2353</v>
      </c>
      <c r="C10" s="2916"/>
      <c r="D10" s="2916"/>
      <c r="E10" s="1730">
        <f>G40</f>
        <v>4733820</v>
      </c>
      <c r="G10" s="2919" t="s">
        <v>2316</v>
      </c>
      <c r="H10" s="2919"/>
      <c r="I10" s="1832">
        <f>'Basis &amp; Credits'!AB77</f>
        <v>12150653</v>
      </c>
      <c r="M10" s="1732"/>
    </row>
    <row r="11" spans="1:13" s="1735" customFormat="1" ht="15" customHeight="1">
      <c r="A11" s="1733"/>
      <c r="B11" s="2916" t="s">
        <v>2354</v>
      </c>
      <c r="C11" s="2916"/>
      <c r="D11" s="2916"/>
      <c r="E11" s="1734">
        <f>G49</f>
        <v>320000</v>
      </c>
      <c r="G11" s="2919" t="s">
        <v>2365</v>
      </c>
      <c r="H11" s="2919"/>
      <c r="I11" s="1831">
        <f>I9+I10</f>
        <v>34437744</v>
      </c>
      <c r="K11" s="1736"/>
      <c r="M11" s="1732"/>
    </row>
    <row r="12" spans="1:13" ht="15" customHeight="1">
      <c r="A12" s="1716"/>
      <c r="B12" s="2916" t="s">
        <v>2355</v>
      </c>
      <c r="C12" s="2916"/>
      <c r="D12" s="2916"/>
      <c r="E12" s="1734">
        <f>G58</f>
        <v>640000</v>
      </c>
      <c r="G12" s="1833" t="s">
        <v>2390</v>
      </c>
      <c r="H12" s="1834"/>
      <c r="M12" s="1732"/>
    </row>
    <row r="13" spans="1:13" ht="15" customHeight="1">
      <c r="A13" s="1711"/>
      <c r="B13" s="2916" t="s">
        <v>2356</v>
      </c>
      <c r="C13" s="2916"/>
      <c r="D13" s="2916"/>
      <c r="E13" s="1738">
        <f>G83</f>
        <v>4761000</v>
      </c>
      <c r="G13" s="2920" t="s">
        <v>140</v>
      </c>
      <c r="H13" s="2920"/>
      <c r="I13" s="1737">
        <f>15%*(Application!AJ963&gt;0)</f>
        <v>0.15</v>
      </c>
      <c r="J13" s="1735"/>
      <c r="K13" s="1736"/>
      <c r="M13" s="1732"/>
    </row>
    <row r="14" spans="1:13" ht="15" customHeight="1">
      <c r="A14" s="1711"/>
      <c r="B14" s="2916" t="s">
        <v>2357</v>
      </c>
      <c r="C14" s="2916"/>
      <c r="D14" s="2916"/>
      <c r="E14" s="1734">
        <f>IF(G96&gt;G106,G96,0)</f>
        <v>1380000</v>
      </c>
      <c r="G14" s="1829" t="s">
        <v>2366</v>
      </c>
      <c r="H14" s="1829"/>
      <c r="I14" s="1737">
        <f>IF(Application!AJ997&gt;0,10%,IF(Application!AJ1001&gt;0,5%,0))</f>
        <v>0</v>
      </c>
      <c r="J14" s="1735"/>
      <c r="M14" s="1732"/>
    </row>
    <row r="15" spans="1:13" ht="15" customHeight="1" thickBot="1">
      <c r="A15" s="1711"/>
      <c r="B15" s="2917" t="s">
        <v>2376</v>
      </c>
      <c r="C15" s="2917"/>
      <c r="D15" s="2917"/>
      <c r="E15" s="1797">
        <f>IF(E14&gt;0,0,G106)</f>
        <v>0</v>
      </c>
      <c r="G15" s="2914" t="s">
        <v>2367</v>
      </c>
      <c r="H15" s="2915"/>
      <c r="I15" s="1799">
        <f>G114</f>
        <v>-2.6552287581699346E-2</v>
      </c>
      <c r="J15" s="1735"/>
      <c r="M15" s="1732"/>
    </row>
    <row r="16" spans="1:13" ht="15" customHeight="1">
      <c r="A16" s="1711"/>
      <c r="B16" s="2918" t="s">
        <v>2312</v>
      </c>
      <c r="C16" s="2918"/>
      <c r="D16" s="2918"/>
      <c r="E16" s="1798">
        <f>SUM(E9:E15)</f>
        <v>15284820</v>
      </c>
      <c r="G16" s="1830" t="s">
        <v>2351</v>
      </c>
      <c r="H16" s="1830"/>
      <c r="I16" s="1800">
        <f>I11-((I11*I13)+(I11*I14)+(I11*I15))</f>
        <v>30186483.282352939</v>
      </c>
      <c r="J16" s="1735"/>
    </row>
    <row r="17" spans="1:20" ht="15" customHeight="1">
      <c r="A17" s="1711"/>
      <c r="B17" s="1711"/>
      <c r="C17" s="1713"/>
      <c r="D17" s="1713"/>
      <c r="E17" s="1739"/>
      <c r="G17" s="1712"/>
      <c r="H17" s="1740"/>
      <c r="I17" s="1741"/>
      <c r="J17" s="1735"/>
    </row>
    <row r="18" spans="1:20" ht="15" customHeight="1">
      <c r="A18" s="1712"/>
      <c r="B18" s="1742" t="str">
        <f>B9</f>
        <v>A. Unit Production Benefit</v>
      </c>
      <c r="C18" s="1743"/>
      <c r="D18" s="1743"/>
      <c r="E18" s="1743"/>
      <c r="F18" s="1743"/>
      <c r="G18" s="1743"/>
      <c r="H18" s="1743"/>
      <c r="I18" s="1744"/>
      <c r="M18" s="1745">
        <f>SUM(Cdlac[Quantity])</f>
        <v>69</v>
      </c>
      <c r="O18" s="1767" t="s">
        <v>591</v>
      </c>
      <c r="P18" s="1709">
        <f>MATCH(Application!T189,Application!BP656:BP713,0)</f>
        <v>33</v>
      </c>
      <c r="S18" s="1745">
        <f>SUM(Cdlac[Population])</f>
        <v>32</v>
      </c>
    </row>
    <row r="19" spans="1:20" ht="15" customHeight="1">
      <c r="A19" s="1711"/>
      <c r="B19" s="1711"/>
      <c r="C19" s="1712"/>
      <c r="D19" s="1712"/>
      <c r="E19" s="1712"/>
      <c r="G19" s="1712"/>
      <c r="I19" s="1746"/>
      <c r="L19" s="1709" t="s">
        <v>2308</v>
      </c>
      <c r="M19" s="1709" t="s">
        <v>2307</v>
      </c>
      <c r="N19" s="1735" t="s">
        <v>2321</v>
      </c>
      <c r="O19" s="1735" t="s">
        <v>2322</v>
      </c>
      <c r="P19" s="1735" t="s">
        <v>2309</v>
      </c>
      <c r="Q19" s="1735" t="s">
        <v>2310</v>
      </c>
      <c r="R19" s="1735" t="s">
        <v>2323</v>
      </c>
      <c r="S19" s="1735" t="s">
        <v>2329</v>
      </c>
      <c r="T19" s="1735" t="s">
        <v>386</v>
      </c>
    </row>
    <row r="20" spans="1:20" ht="15" customHeight="1">
      <c r="A20" s="1716"/>
      <c r="C20" s="2912" t="s">
        <v>2369</v>
      </c>
      <c r="D20" s="2912" t="s">
        <v>2370</v>
      </c>
      <c r="E20" s="2912" t="s">
        <v>2371</v>
      </c>
      <c r="F20" s="2912" t="s">
        <v>2372</v>
      </c>
      <c r="G20" s="2912" t="s">
        <v>2368</v>
      </c>
      <c r="H20" s="1747"/>
      <c r="I20" s="1746"/>
      <c r="L20" s="1709">
        <f>IFERROR(MIN(4,MATCH(Application!B714,UnitSizes,0)-1),"")</f>
        <v>1</v>
      </c>
      <c r="M20" s="1745">
        <f>Application!G714</f>
        <v>25</v>
      </c>
      <c r="N20" s="1748">
        <f>Application!AC714</f>
        <v>0.2</v>
      </c>
      <c r="O20" s="1748">
        <f>IF(Cdlac[[#This Row],[Quantity]]&gt;0,IF(Cdlac[[#This Row],[Federal]],30%,IF($G$36,40%,Cdlac[[#This Row],[iAMI]])),"")</f>
        <v>0.3</v>
      </c>
      <c r="P20" s="1749" cm="1">
        <f t="array" ref="P20">IF(Cdlac[[#This Row],[Quantity]]&gt;0,INDEX(TcacRents,$P$18,Cdlac[[#This Row],[Bedrooms]]+1)*Cdlac[[#This Row],[AMI]],"")</f>
        <v>495</v>
      </c>
      <c r="Q20" s="1749" cm="1">
        <f t="array" ref="Q20">IF(Cdlac[[#This Row],[Quantity]]&gt;0,INDEX(HudFmrs,$P$18,Cdlac[[#This Row],[Bedrooms]]+1),"")</f>
        <v>1202</v>
      </c>
      <c r="R20" s="1749">
        <f>IF(Cdlac[[#This Row],[Quantity]]&gt;0,MAX(0,Cdlac[[#This Row],[Fair Market Rent]]-Cdlac[[#This Row],[Restricted Rent]]),"")</f>
        <v>707</v>
      </c>
      <c r="S20" s="1735">
        <f>IF(Cdlac[[#This Row],[Quantity]]&gt;0,AND(Application!AK714&lt;&gt;"N/A",Application!AK714&lt;&gt;"")*Cdlac[[#This Row],[Quantity]],"")</f>
        <v>25</v>
      </c>
      <c r="T20" s="1735" t="b">
        <f>AND('Subsidy Contract Calculation'!F4&gt;0,'Subsidy Contract Calculation'!C4="Federal",Cdlac[[#This Row],[Quantity]]&gt;0)</f>
        <v>1</v>
      </c>
    </row>
    <row r="21" spans="1:20" ht="15" customHeight="1">
      <c r="A21" s="1716"/>
      <c r="C21" s="2913"/>
      <c r="D21" s="2913"/>
      <c r="E21" s="2913"/>
      <c r="F21" s="2913"/>
      <c r="G21" s="2913"/>
      <c r="H21" s="1747"/>
      <c r="I21" s="1746"/>
      <c r="L21" s="1709">
        <f>IFERROR(MIN(4,MATCH(Application!B715,UnitSizes,0)-1),"")</f>
        <v>1</v>
      </c>
      <c r="M21" s="1745">
        <f>Application!G715</f>
        <v>7</v>
      </c>
      <c r="N21" s="1748">
        <f>Application!AC715</f>
        <v>0.3</v>
      </c>
      <c r="O21" s="1748">
        <f>IF(Cdlac[[#This Row],[Quantity]]&gt;0,IF(Cdlac[[#This Row],[Federal]],30%,IF($G$36,40%,Cdlac[[#This Row],[iAMI]])),"")</f>
        <v>0.3</v>
      </c>
      <c r="P21" s="1749" cm="1">
        <f t="array" ref="P21">IF(Cdlac[[#This Row],[Quantity]]&gt;0,INDEX(TcacRents,$P$18,Cdlac[[#This Row],[Bedrooms]]+1)*Cdlac[[#This Row],[AMI]],"")</f>
        <v>495</v>
      </c>
      <c r="Q21" s="1749" cm="1">
        <f t="array" ref="Q21">IF(Cdlac[[#This Row],[Quantity]]&gt;0,INDEX(HudFmrs,$P$18,Cdlac[[#This Row],[Bedrooms]]+1),"")</f>
        <v>1202</v>
      </c>
      <c r="R21" s="1749">
        <f>IF(Cdlac[[#This Row],[Quantity]]&gt;0,MAX(0,Cdlac[[#This Row],[Fair Market Rent]]-Cdlac[[#This Row],[Restricted Rent]]),"")</f>
        <v>707</v>
      </c>
      <c r="S21" s="1735">
        <f>IF(Cdlac[[#This Row],[Quantity]]&gt;0,AND(Application!AK715&lt;&gt;"N/A",Application!AK715&lt;&gt;"")*Cdlac[[#This Row],[Quantity]],"")</f>
        <v>7</v>
      </c>
      <c r="T21" s="1735" t="b">
        <f>AND('Subsidy Contract Calculation'!F5&gt;0,'Subsidy Contract Calculation'!C5="Federal",Cdlac[[#This Row],[Quantity]]&gt;0)</f>
        <v>1</v>
      </c>
    </row>
    <row r="22" spans="1:20" ht="15" customHeight="1">
      <c r="A22" s="1712"/>
      <c r="C22" s="1750">
        <v>0</v>
      </c>
      <c r="D22" s="1751">
        <v>0.9</v>
      </c>
      <c r="E22" s="1750">
        <f>SUMIFS(Cdlac[Quantity],Cdlac[Bedrooms],C22)</f>
        <v>0</v>
      </c>
      <c r="F22" s="1750">
        <f>E22</f>
        <v>0</v>
      </c>
      <c r="G22" s="1769">
        <f>D22*F22</f>
        <v>0</v>
      </c>
      <c r="I22" s="1712"/>
      <c r="L22" s="1709">
        <f>IFERROR(MIN(4,MATCH(Application!B716,UnitSizes,0)-1),"")</f>
        <v>1</v>
      </c>
      <c r="M22" s="1745">
        <f>Application!G716</f>
        <v>3</v>
      </c>
      <c r="N22" s="1748">
        <f>Application!AC716</f>
        <v>0.5</v>
      </c>
      <c r="O22" s="1748">
        <f>IF(Cdlac[[#This Row],[Quantity]]&gt;0,IF(Cdlac[[#This Row],[Federal]],30%,IF($G$36,40%,Cdlac[[#This Row],[iAMI]])),"")</f>
        <v>0.5</v>
      </c>
      <c r="P22" s="1749" cm="1">
        <f t="array" ref="P22">IF(Cdlac[[#This Row],[Quantity]]&gt;0,INDEX(TcacRents,$P$18,Cdlac[[#This Row],[Bedrooms]]+1)*Cdlac[[#This Row],[AMI]],"")</f>
        <v>825</v>
      </c>
      <c r="Q22" s="1749" cm="1">
        <f t="array" ref="Q22">IF(Cdlac[[#This Row],[Quantity]]&gt;0,INDEX(HudFmrs,$P$18,Cdlac[[#This Row],[Bedrooms]]+1),"")</f>
        <v>1202</v>
      </c>
      <c r="R22" s="1749">
        <f>IF(Cdlac[[#This Row],[Quantity]]&gt;0,MAX(0,Cdlac[[#This Row],[Fair Market Rent]]-Cdlac[[#This Row],[Restricted Rent]]),"")</f>
        <v>377</v>
      </c>
      <c r="S22" s="1735">
        <f>IF(Cdlac[[#This Row],[Quantity]]&gt;0,AND(Application!AK716&lt;&gt;"N/A",Application!AK716&lt;&gt;"")*Cdlac[[#This Row],[Quantity]],"")</f>
        <v>0</v>
      </c>
      <c r="T22" s="1735" t="b">
        <f>AND('Subsidy Contract Calculation'!F6&gt;0,'Subsidy Contract Calculation'!C6="Federal",Cdlac[[#This Row],[Quantity]]&gt;0)</f>
        <v>0</v>
      </c>
    </row>
    <row r="23" spans="1:20" ht="15" customHeight="1">
      <c r="A23" s="1712"/>
      <c r="C23" s="1750">
        <v>1</v>
      </c>
      <c r="D23" s="1751">
        <v>1</v>
      </c>
      <c r="E23" s="1750">
        <f>SUMIFS(Cdlac[Quantity],Cdlac[Bedrooms],C23)</f>
        <v>69</v>
      </c>
      <c r="F23" s="1750">
        <f>E23</f>
        <v>69</v>
      </c>
      <c r="G23" s="1769">
        <f>D23*F23</f>
        <v>69</v>
      </c>
      <c r="I23" s="1712"/>
      <c r="L23" s="1709">
        <f>IFERROR(MIN(4,MATCH(Application!B717,UnitSizes,0)-1),"")</f>
        <v>1</v>
      </c>
      <c r="M23" s="1745">
        <f>Application!G717</f>
        <v>12</v>
      </c>
      <c r="N23" s="1748">
        <f>Application!AC717</f>
        <v>0.6</v>
      </c>
      <c r="O23" s="1748">
        <f>IF(Cdlac[[#This Row],[Quantity]]&gt;0,IF(Cdlac[[#This Row],[Federal]],30%,IF($G$36,40%,Cdlac[[#This Row],[iAMI]])),"")</f>
        <v>0.6</v>
      </c>
      <c r="P23" s="1749" cm="1">
        <f t="array" ref="P23">IF(Cdlac[[#This Row],[Quantity]]&gt;0,INDEX(TcacRents,$P$18,Cdlac[[#This Row],[Bedrooms]]+1)*Cdlac[[#This Row],[AMI]],"")</f>
        <v>990</v>
      </c>
      <c r="Q23" s="1749" cm="1">
        <f t="array" ref="Q23">IF(Cdlac[[#This Row],[Quantity]]&gt;0,INDEX(HudFmrs,$P$18,Cdlac[[#This Row],[Bedrooms]]+1),"")</f>
        <v>1202</v>
      </c>
      <c r="R23" s="1749">
        <f>IF(Cdlac[[#This Row],[Quantity]]&gt;0,MAX(0,Cdlac[[#This Row],[Fair Market Rent]]-Cdlac[[#This Row],[Restricted Rent]]),"")</f>
        <v>212</v>
      </c>
      <c r="S23" s="1735">
        <f>IF(Cdlac[[#This Row],[Quantity]]&gt;0,AND(Application!AK717&lt;&gt;"N/A",Application!AK717&lt;&gt;"")*Cdlac[[#This Row],[Quantity]],"")</f>
        <v>0</v>
      </c>
      <c r="T23" s="1735" t="b">
        <f>AND('Subsidy Contract Calculation'!F7&gt;0,'Subsidy Contract Calculation'!C7="Federal",Cdlac[[#This Row],[Quantity]]&gt;0)</f>
        <v>0</v>
      </c>
    </row>
    <row r="24" spans="1:20" ht="15" customHeight="1">
      <c r="A24" s="1752"/>
      <c r="C24" s="1753">
        <v>2</v>
      </c>
      <c r="D24" s="1751">
        <v>1.25</v>
      </c>
      <c r="E24" s="1750">
        <f>SUMIFS(Cdlac[Quantity],Cdlac[Bedrooms],C24)</f>
        <v>0</v>
      </c>
      <c r="F24" s="1753">
        <f>SUM(E24:E26)-SUM(F25:F26)</f>
        <v>0</v>
      </c>
      <c r="G24" s="1769">
        <f>D24*F24</f>
        <v>0</v>
      </c>
      <c r="H24" s="1752"/>
      <c r="I24" s="1752"/>
      <c r="L24" s="1709">
        <f>IFERROR(MIN(4,MATCH(Application!B718,UnitSizes,0)-1),"")</f>
        <v>1</v>
      </c>
      <c r="M24" s="1745">
        <f>Application!G718</f>
        <v>22</v>
      </c>
      <c r="N24" s="1748">
        <f>Application!AC718</f>
        <v>0.8</v>
      </c>
      <c r="O24" s="1748">
        <f>IF(Cdlac[[#This Row],[Quantity]]&gt;0,IF(Cdlac[[#This Row],[Federal]],30%,IF($G$36,40%,Cdlac[[#This Row],[iAMI]])),"")</f>
        <v>0.8</v>
      </c>
      <c r="P24" s="1749" cm="1">
        <f t="array" ref="P24">IF(Cdlac[[#This Row],[Quantity]]&gt;0,INDEX(TcacRents,$P$18,Cdlac[[#This Row],[Bedrooms]]+1)*Cdlac[[#This Row],[AMI]],"")</f>
        <v>1320</v>
      </c>
      <c r="Q24" s="1749" cm="1">
        <f t="array" ref="Q24">IF(Cdlac[[#This Row],[Quantity]]&gt;0,INDEX(HudFmrs,$P$18,Cdlac[[#This Row],[Bedrooms]]+1),"")</f>
        <v>1202</v>
      </c>
      <c r="R24" s="1749">
        <f>IF(Cdlac[[#This Row],[Quantity]]&gt;0,MAX(0,Cdlac[[#This Row],[Fair Market Rent]]-Cdlac[[#This Row],[Restricted Rent]]),"")</f>
        <v>0</v>
      </c>
      <c r="S24" s="1735">
        <f>IF(Cdlac[[#This Row],[Quantity]]&gt;0,AND(Application!AK718&lt;&gt;"N/A",Application!AK718&lt;&gt;"")*Cdlac[[#This Row],[Quantity]],"")</f>
        <v>0</v>
      </c>
      <c r="T24" s="1735" t="b">
        <f>AND('Subsidy Contract Calculation'!F8&gt;0,'Subsidy Contract Calculation'!C8="Federal",Cdlac[[#This Row],[Quantity]]&gt;0)</f>
        <v>0</v>
      </c>
    </row>
    <row r="25" spans="1:20" ht="15" customHeight="1">
      <c r="A25" s="1752"/>
      <c r="C25" s="1753">
        <v>3</v>
      </c>
      <c r="D25" s="1751">
        <f>1.5+0.25*0</f>
        <v>1.5</v>
      </c>
      <c r="E25" s="1750">
        <f>SUMIFS(Cdlac[Quantity],Cdlac[Bedrooms],C25)</f>
        <v>0</v>
      </c>
      <c r="F25" s="1753">
        <f>MIN(E25,ROUNDDOWN(E27*30%,0))</f>
        <v>0</v>
      </c>
      <c r="G25" s="1769">
        <f>D25*F25</f>
        <v>0</v>
      </c>
      <c r="H25" s="1752"/>
      <c r="I25" s="1752"/>
      <c r="L25" s="1709" t="str">
        <f>IFERROR(MIN(4,MATCH(Application!B719,UnitSizes,0)-1),"")</f>
        <v/>
      </c>
      <c r="M25" s="1745">
        <f>Application!G719</f>
        <v>0</v>
      </c>
      <c r="N25" s="1748">
        <f>Application!AC719</f>
        <v>0</v>
      </c>
      <c r="O25" s="1748" t="str">
        <f>IF(Cdlac[[#This Row],[Quantity]]&gt;0,IF(Cdlac[[#This Row],[Federal]],30%,IF($G$36,40%,Cdlac[[#This Row],[iAMI]])),"")</f>
        <v/>
      </c>
      <c r="P25" s="1749" t="str" cm="1">
        <f t="array" ref="P25">IF(Cdlac[[#This Row],[Quantity]]&gt;0,INDEX(TcacRents,$P$18,Cdlac[[#This Row],[Bedrooms]]+1)*Cdlac[[#This Row],[AMI]],"")</f>
        <v/>
      </c>
      <c r="Q25" s="1749" t="str" cm="1">
        <f t="array" ref="Q25">IF(Cdlac[[#This Row],[Quantity]]&gt;0,INDEX(HudFmrs,$P$18,Cdlac[[#This Row],[Bedrooms]]+1),"")</f>
        <v/>
      </c>
      <c r="R25" s="1749" t="str">
        <f>IF(Cdlac[[#This Row],[Quantity]]&gt;0,MAX(0,Cdlac[[#This Row],[Fair Market Rent]]-Cdlac[[#This Row],[Restricted Rent]]),"")</f>
        <v/>
      </c>
      <c r="S25" s="1735" t="str">
        <f>IF(Cdlac[[#This Row],[Quantity]]&gt;0,AND(Application!AK719&lt;&gt;"N/A",Application!AK719&lt;&gt;"")*Cdlac[[#This Row],[Quantity]],"")</f>
        <v/>
      </c>
      <c r="T25" s="1735" t="b">
        <f>AND('Subsidy Contract Calculation'!F9&gt;0,'Subsidy Contract Calculation'!C9="Federal",Cdlac[[#This Row],[Quantity]]&gt;0)</f>
        <v>0</v>
      </c>
    </row>
    <row r="26" spans="1:20" ht="15" customHeight="1" thickBot="1">
      <c r="A26" s="1752"/>
      <c r="C26" s="1770">
        <v>4</v>
      </c>
      <c r="D26" s="1771">
        <f>1.75+0.25*0</f>
        <v>1.75</v>
      </c>
      <c r="E26" s="1772">
        <f>SUMIFS(Cdlac[Quantity],Cdlac[Bedrooms],C26)</f>
        <v>0</v>
      </c>
      <c r="F26" s="1770">
        <f>MIN(E26,ROUNDDOWN(E27*10%,0))</f>
        <v>0</v>
      </c>
      <c r="G26" s="1773">
        <f>D26*F26</f>
        <v>0</v>
      </c>
      <c r="H26" s="1752"/>
      <c r="I26" s="1752"/>
      <c r="L26" s="1709" t="str">
        <f>IFERROR(MIN(4,MATCH(Application!B720,UnitSizes,0)-1),"")</f>
        <v/>
      </c>
      <c r="M26" s="1745">
        <f>Application!G720</f>
        <v>0</v>
      </c>
      <c r="N26" s="1748">
        <f>Application!AC720</f>
        <v>0</v>
      </c>
      <c r="O26" s="1748" t="str">
        <f>IF(Cdlac[[#This Row],[Quantity]]&gt;0,IF(Cdlac[[#This Row],[Federal]],30%,IF($G$36,40%,Cdlac[[#This Row],[iAMI]])),"")</f>
        <v/>
      </c>
      <c r="P26" s="1749" t="str" cm="1">
        <f t="array" ref="P26">IF(Cdlac[[#This Row],[Quantity]]&gt;0,INDEX(TcacRents,$P$18,Cdlac[[#This Row],[Bedrooms]]+1)*Cdlac[[#This Row],[AMI]],"")</f>
        <v/>
      </c>
      <c r="Q26" s="1749" t="str" cm="1">
        <f t="array" ref="Q26">IF(Cdlac[[#This Row],[Quantity]]&gt;0,INDEX(HudFmrs,$P$18,Cdlac[[#This Row],[Bedrooms]]+1),"")</f>
        <v/>
      </c>
      <c r="R26" s="1749" t="str">
        <f>IF(Cdlac[[#This Row],[Quantity]]&gt;0,MAX(0,Cdlac[[#This Row],[Fair Market Rent]]-Cdlac[[#This Row],[Restricted Rent]]),"")</f>
        <v/>
      </c>
      <c r="S26" s="1735" t="str">
        <f>IF(Cdlac[[#This Row],[Quantity]]&gt;0,AND(Application!AK720&lt;&gt;"N/A",Application!AK720&lt;&gt;"")*Cdlac[[#This Row],[Quantity]],"")</f>
        <v/>
      </c>
      <c r="T26" s="1735" t="b">
        <f>AND('Subsidy Contract Calculation'!F10&gt;0,'Subsidy Contract Calculation'!C10="Federal",Cdlac[[#This Row],[Quantity]]&gt;0)</f>
        <v>0</v>
      </c>
    </row>
    <row r="27" spans="1:20" ht="15" customHeight="1">
      <c r="A27" s="1752"/>
      <c r="C27" s="2928" t="s">
        <v>1762</v>
      </c>
      <c r="D27" s="2929"/>
      <c r="E27" s="1774">
        <f>SUM(E22:E26)</f>
        <v>69</v>
      </c>
      <c r="F27" s="1774">
        <f>SUM(F22:F26)</f>
        <v>69</v>
      </c>
      <c r="G27" s="1775">
        <f>SUMPRODUCT(D22:D26,F22:F26)</f>
        <v>69</v>
      </c>
      <c r="H27" s="1752"/>
      <c r="I27" s="1752"/>
      <c r="L27" s="1709" t="str">
        <f>IFERROR(MIN(4,MATCH(Application!B721,UnitSizes,0)-1),"")</f>
        <v/>
      </c>
      <c r="M27" s="1745">
        <f>Application!G721</f>
        <v>0</v>
      </c>
      <c r="N27" s="1748">
        <f>Application!AC721</f>
        <v>0</v>
      </c>
      <c r="O27" s="1748" t="str">
        <f>IF(Cdlac[[#This Row],[Quantity]]&gt;0,IF(Cdlac[[#This Row],[Federal]],30%,IF($G$36,40%,Cdlac[[#This Row],[iAMI]])),"")</f>
        <v/>
      </c>
      <c r="P27" s="1749" t="str" cm="1">
        <f t="array" ref="P27">IF(Cdlac[[#This Row],[Quantity]]&gt;0,INDEX(TcacRents,$P$18,Cdlac[[#This Row],[Bedrooms]]+1)*Cdlac[[#This Row],[AMI]],"")</f>
        <v/>
      </c>
      <c r="Q27" s="1749" t="str" cm="1">
        <f t="array" ref="Q27">IF(Cdlac[[#This Row],[Quantity]]&gt;0,INDEX(HudFmrs,$P$18,Cdlac[[#This Row],[Bedrooms]]+1),"")</f>
        <v/>
      </c>
      <c r="R27" s="1749" t="str">
        <f>IF(Cdlac[[#This Row],[Quantity]]&gt;0,MAX(0,Cdlac[[#This Row],[Fair Market Rent]]-Cdlac[[#This Row],[Restricted Rent]]),"")</f>
        <v/>
      </c>
      <c r="S27" s="1735" t="str">
        <f>IF(Cdlac[[#This Row],[Quantity]]&gt;0,AND(Application!AK721&lt;&gt;"N/A",Application!AK721&lt;&gt;"")*Cdlac[[#This Row],[Quantity]],"")</f>
        <v/>
      </c>
      <c r="T27" s="1735" t="b">
        <f>AND('Subsidy Contract Calculation'!F11&gt;0,'Subsidy Contract Calculation'!C11="Federal",Cdlac[[#This Row],[Quantity]]&gt;0)</f>
        <v>0</v>
      </c>
    </row>
    <row r="28" spans="1:20" ht="15" customHeight="1">
      <c r="A28" s="1752"/>
      <c r="C28" s="1752"/>
      <c r="D28" s="1752"/>
      <c r="E28" s="1752"/>
      <c r="F28" s="1752"/>
      <c r="G28" s="1752"/>
      <c r="H28" s="1752"/>
      <c r="I28" s="1752"/>
      <c r="L28" s="1709" t="str">
        <f>IFERROR(MIN(4,MATCH(Application!B722,UnitSizes,0)-1),"")</f>
        <v/>
      </c>
      <c r="M28" s="1745">
        <f>Application!G722</f>
        <v>0</v>
      </c>
      <c r="N28" s="1748">
        <f>Application!AC722</f>
        <v>0</v>
      </c>
      <c r="O28" s="1748" t="str">
        <f>IF(Cdlac[[#This Row],[Quantity]]&gt;0,IF(Cdlac[[#This Row],[Federal]],30%,IF($G$36,40%,Cdlac[[#This Row],[iAMI]])),"")</f>
        <v/>
      </c>
      <c r="P28" s="1749" t="str" cm="1">
        <f t="array" ref="P28">IF(Cdlac[[#This Row],[Quantity]]&gt;0,INDEX(TcacRents,$P$18,Cdlac[[#This Row],[Bedrooms]]+1)*Cdlac[[#This Row],[AMI]],"")</f>
        <v/>
      </c>
      <c r="Q28" s="1749" t="str" cm="1">
        <f t="array" ref="Q28">IF(Cdlac[[#This Row],[Quantity]]&gt;0,INDEX(HudFmrs,$P$18,Cdlac[[#This Row],[Bedrooms]]+1),"")</f>
        <v/>
      </c>
      <c r="R28" s="1749" t="str">
        <f>IF(Cdlac[[#This Row],[Quantity]]&gt;0,MAX(0,Cdlac[[#This Row],[Fair Market Rent]]-Cdlac[[#This Row],[Restricted Rent]]),"")</f>
        <v/>
      </c>
      <c r="S28" s="1735" t="str">
        <f>IF(Cdlac[[#This Row],[Quantity]]&gt;0,AND(Application!AK722&lt;&gt;"N/A",Application!AK722&lt;&gt;"")*Cdlac[[#This Row],[Quantity]],"")</f>
        <v/>
      </c>
      <c r="T28" s="1735" t="b">
        <f>AND('Subsidy Contract Calculation'!F12&gt;0,'Subsidy Contract Calculation'!C12="Federal",Cdlac[[#This Row],[Quantity]]&gt;0)</f>
        <v>0</v>
      </c>
    </row>
    <row r="29" spans="1:20" ht="15" customHeight="1">
      <c r="A29" s="1752"/>
      <c r="E29" s="1805" t="s">
        <v>2368</v>
      </c>
      <c r="F29" s="1709"/>
      <c r="G29" s="1802">
        <f>G27</f>
        <v>69</v>
      </c>
      <c r="H29" s="1752"/>
      <c r="I29" s="1752"/>
      <c r="L29" s="1709" t="str">
        <f>IFERROR(MIN(4,MATCH(Application!B723,UnitSizes,0)-1),"")</f>
        <v/>
      </c>
      <c r="M29" s="1745">
        <f>Application!G723</f>
        <v>0</v>
      </c>
      <c r="N29" s="1748">
        <f>Application!AC723</f>
        <v>0</v>
      </c>
      <c r="O29" s="1748" t="str">
        <f>IF(Cdlac[[#This Row],[Quantity]]&gt;0,IF(Cdlac[[#This Row],[Federal]],30%,IF($G$36,40%,Cdlac[[#This Row],[iAMI]])),"")</f>
        <v/>
      </c>
      <c r="P29" s="1749" t="str" cm="1">
        <f t="array" ref="P29">IF(Cdlac[[#This Row],[Quantity]]&gt;0,INDEX(TcacRents,$P$18,Cdlac[[#This Row],[Bedrooms]]+1)*Cdlac[[#This Row],[AMI]],"")</f>
        <v/>
      </c>
      <c r="Q29" s="1749" t="str" cm="1">
        <f t="array" ref="Q29">IF(Cdlac[[#This Row],[Quantity]]&gt;0,INDEX(HudFmrs,$P$18,Cdlac[[#This Row],[Bedrooms]]+1),"")</f>
        <v/>
      </c>
      <c r="R29" s="1749" t="str">
        <f>IF(Cdlac[[#This Row],[Quantity]]&gt;0,MAX(0,Cdlac[[#This Row],[Fair Market Rent]]-Cdlac[[#This Row],[Restricted Rent]]),"")</f>
        <v/>
      </c>
      <c r="S29" s="1735" t="str">
        <f>IF(Cdlac[[#This Row],[Quantity]]&gt;0,AND(Application!AK723&lt;&gt;"N/A",Application!AK723&lt;&gt;"")*Cdlac[[#This Row],[Quantity]],"")</f>
        <v/>
      </c>
      <c r="T29" s="1735" t="b">
        <f>AND('Subsidy Contract Calculation'!F13&gt;0,'Subsidy Contract Calculation'!C13="Federal",Cdlac[[#This Row],[Quantity]]&gt;0)</f>
        <v>0</v>
      </c>
    </row>
    <row r="30" spans="1:20" ht="15" customHeight="1">
      <c r="A30" s="1752"/>
      <c r="E30" s="1805" t="s">
        <v>2320</v>
      </c>
      <c r="F30" s="1801" t="s">
        <v>2377</v>
      </c>
      <c r="G30" s="1803">
        <v>50000</v>
      </c>
      <c r="H30" s="1752"/>
      <c r="I30" s="1752"/>
      <c r="L30" s="1709" t="str">
        <f>IFERROR(MIN(4,MATCH(Application!B724,UnitSizes,0)-1),"")</f>
        <v/>
      </c>
      <c r="M30" s="1745">
        <f>Application!G724</f>
        <v>0</v>
      </c>
      <c r="N30" s="1748">
        <f>Application!AC724</f>
        <v>0</v>
      </c>
      <c r="O30" s="1748" t="str">
        <f>IF(Cdlac[[#This Row],[Quantity]]&gt;0,IF(Cdlac[[#This Row],[Federal]],30%,IF($G$36,40%,Cdlac[[#This Row],[iAMI]])),"")</f>
        <v/>
      </c>
      <c r="P30" s="1749" t="str" cm="1">
        <f t="array" ref="P30">IF(Cdlac[[#This Row],[Quantity]]&gt;0,INDEX(TcacRents,$P$18,Cdlac[[#This Row],[Bedrooms]]+1)*Cdlac[[#This Row],[AMI]],"")</f>
        <v/>
      </c>
      <c r="Q30" s="1749" t="str" cm="1">
        <f t="array" ref="Q30">IF(Cdlac[[#This Row],[Quantity]]&gt;0,INDEX(HudFmrs,$P$18,Cdlac[[#This Row],[Bedrooms]]+1),"")</f>
        <v/>
      </c>
      <c r="R30" s="1749" t="str">
        <f>IF(Cdlac[[#This Row],[Quantity]]&gt;0,MAX(0,Cdlac[[#This Row],[Fair Market Rent]]-Cdlac[[#This Row],[Restricted Rent]]),"")</f>
        <v/>
      </c>
      <c r="S30" s="1735" t="str">
        <f>IF(Cdlac[[#This Row],[Quantity]]&gt;0,AND(Application!AK724&lt;&gt;"N/A",Application!AK724&lt;&gt;"")*Cdlac[[#This Row],[Quantity]],"")</f>
        <v/>
      </c>
      <c r="T30" s="1735" t="b">
        <f>AND('Subsidy Contract Calculation'!F14&gt;0,'Subsidy Contract Calculation'!C14="Federal",Cdlac[[#This Row],[Quantity]]&gt;0)</f>
        <v>0</v>
      </c>
    </row>
    <row r="31" spans="1:20" ht="15" customHeight="1">
      <c r="A31" s="1752"/>
      <c r="E31" s="1806" t="s">
        <v>2361</v>
      </c>
      <c r="F31" s="1807"/>
      <c r="G31" s="1808">
        <f>G30*G29</f>
        <v>3450000</v>
      </c>
      <c r="H31" s="1752"/>
      <c r="I31" s="1752"/>
      <c r="L31" s="1709" t="str">
        <f>IFERROR(MIN(4,MATCH(Application!B725,UnitSizes,0)-1),"")</f>
        <v/>
      </c>
      <c r="M31" s="1745">
        <f>Application!G725</f>
        <v>0</v>
      </c>
      <c r="N31" s="1748">
        <f>Application!AC725</f>
        <v>0</v>
      </c>
      <c r="O31" s="1748" t="str">
        <f>IF(Cdlac[[#This Row],[Quantity]]&gt;0,IF(Cdlac[[#This Row],[Federal]],30%,IF($G$36,40%,Cdlac[[#This Row],[iAMI]])),"")</f>
        <v/>
      </c>
      <c r="P31" s="1749" t="str" cm="1">
        <f t="array" ref="P31">IF(Cdlac[[#This Row],[Quantity]]&gt;0,INDEX(TcacRents,$P$18,Cdlac[[#This Row],[Bedrooms]]+1)*Cdlac[[#This Row],[AMI]],"")</f>
        <v/>
      </c>
      <c r="Q31" s="1749" t="str" cm="1">
        <f t="array" ref="Q31">IF(Cdlac[[#This Row],[Quantity]]&gt;0,INDEX(HudFmrs,$P$18,Cdlac[[#This Row],[Bedrooms]]+1),"")</f>
        <v/>
      </c>
      <c r="R31" s="1749" t="str">
        <f>IF(Cdlac[[#This Row],[Quantity]]&gt;0,MAX(0,Cdlac[[#This Row],[Fair Market Rent]]-Cdlac[[#This Row],[Restricted Rent]]),"")</f>
        <v/>
      </c>
      <c r="S31" s="1735" t="str">
        <f>IF(Cdlac[[#This Row],[Quantity]]&gt;0,AND(Application!AK725&lt;&gt;"N/A",Application!AK725&lt;&gt;"")*Cdlac[[#This Row],[Quantity]],"")</f>
        <v/>
      </c>
      <c r="T31" s="1735" t="b">
        <f>AND('Subsidy Contract Calculation'!F15&gt;0,'Subsidy Contract Calculation'!C15="Federal",Cdlac[[#This Row],[Quantity]]&gt;0)</f>
        <v>0</v>
      </c>
    </row>
    <row r="32" spans="1:20" ht="15" customHeight="1">
      <c r="A32" s="1752"/>
      <c r="B32" s="1752"/>
      <c r="C32" s="1752"/>
      <c r="D32" s="1752"/>
      <c r="E32" s="1752"/>
      <c r="F32" s="1752"/>
      <c r="G32" s="1752"/>
      <c r="H32" s="1752"/>
      <c r="I32" s="1752"/>
      <c r="L32" s="1709" t="str">
        <f>IFERROR(MIN(4,MATCH(Application!B726,UnitSizes,0)-1),"")</f>
        <v/>
      </c>
      <c r="M32" s="1745">
        <f>Application!G726</f>
        <v>0</v>
      </c>
      <c r="N32" s="1748">
        <f>Application!AC726</f>
        <v>0</v>
      </c>
      <c r="O32" s="1748" t="str">
        <f>IF(Cdlac[[#This Row],[Quantity]]&gt;0,IF(Cdlac[[#This Row],[Federal]],30%,IF($G$36,40%,Cdlac[[#This Row],[iAMI]])),"")</f>
        <v/>
      </c>
      <c r="P32" s="1749" t="str" cm="1">
        <f t="array" ref="P32">IF(Cdlac[[#This Row],[Quantity]]&gt;0,INDEX(TcacRents,$P$18,Cdlac[[#This Row],[Bedrooms]]+1)*Cdlac[[#This Row],[AMI]],"")</f>
        <v/>
      </c>
      <c r="Q32" s="1749" t="str" cm="1">
        <f t="array" ref="Q32">IF(Cdlac[[#This Row],[Quantity]]&gt;0,INDEX(HudFmrs,$P$18,Cdlac[[#This Row],[Bedrooms]]+1),"")</f>
        <v/>
      </c>
      <c r="R32" s="1749" t="str">
        <f>IF(Cdlac[[#This Row],[Quantity]]&gt;0,MAX(0,Cdlac[[#This Row],[Fair Market Rent]]-Cdlac[[#This Row],[Restricted Rent]]),"")</f>
        <v/>
      </c>
      <c r="S32" s="1735" t="str">
        <f>IF(Cdlac[[#This Row],[Quantity]]&gt;0,AND(Application!AK726&lt;&gt;"N/A",Application!AK726&lt;&gt;"")*Cdlac[[#This Row],[Quantity]],"")</f>
        <v/>
      </c>
      <c r="T32" s="1735" t="b">
        <f>AND('Subsidy Contract Calculation'!F16&gt;0,'Subsidy Contract Calculation'!C16="Federal",Cdlac[[#This Row],[Quantity]]&gt;0)</f>
        <v>0</v>
      </c>
    </row>
    <row r="33" spans="1:20" ht="15" customHeight="1">
      <c r="A33" s="1712"/>
      <c r="B33" s="1742" t="str">
        <f>B10</f>
        <v>B. Rent Savings Benefit</v>
      </c>
      <c r="C33" s="1743"/>
      <c r="D33" s="1743"/>
      <c r="E33" s="1743"/>
      <c r="F33" s="1743"/>
      <c r="G33" s="1743"/>
      <c r="H33" s="1743"/>
      <c r="I33" s="1744"/>
      <c r="L33" s="1709" t="str">
        <f>IFERROR(MIN(4,MATCH(Application!B727,UnitSizes,0)-1),"")</f>
        <v/>
      </c>
      <c r="M33" s="1745">
        <f>Application!G727</f>
        <v>0</v>
      </c>
      <c r="N33" s="1748">
        <f>Application!AC727</f>
        <v>0</v>
      </c>
      <c r="O33" s="1748" t="str">
        <f>IF(Cdlac[[#This Row],[Quantity]]&gt;0,IF(Cdlac[[#This Row],[Federal]],30%,IF($G$36,40%,Cdlac[[#This Row],[iAMI]])),"")</f>
        <v/>
      </c>
      <c r="P33" s="1749" t="str" cm="1">
        <f t="array" ref="P33">IF(Cdlac[[#This Row],[Quantity]]&gt;0,INDEX(TcacRents,$P$18,Cdlac[[#This Row],[Bedrooms]]+1)*Cdlac[[#This Row],[AMI]],"")</f>
        <v/>
      </c>
      <c r="Q33" s="1749" t="str" cm="1">
        <f t="array" ref="Q33">IF(Cdlac[[#This Row],[Quantity]]&gt;0,INDEX(HudFmrs,$P$18,Cdlac[[#This Row],[Bedrooms]]+1),"")</f>
        <v/>
      </c>
      <c r="R33" s="1749" t="str">
        <f>IF(Cdlac[[#This Row],[Quantity]]&gt;0,MAX(0,Cdlac[[#This Row],[Fair Market Rent]]-Cdlac[[#This Row],[Restricted Rent]]),"")</f>
        <v/>
      </c>
      <c r="S33" s="1735" t="str">
        <f>IF(Cdlac[[#This Row],[Quantity]]&gt;0,AND(Application!AK727&lt;&gt;"N/A",Application!AK727&lt;&gt;"")*Cdlac[[#This Row],[Quantity]],"")</f>
        <v/>
      </c>
      <c r="T33" s="1735" t="b">
        <f>AND('Subsidy Contract Calculation'!F17&gt;0,'Subsidy Contract Calculation'!C17="Federal",Cdlac[[#This Row],[Quantity]]&gt;0)</f>
        <v>0</v>
      </c>
    </row>
    <row r="34" spans="1:20" ht="15" customHeight="1">
      <c r="A34" s="1712"/>
      <c r="B34" s="1712"/>
      <c r="C34" s="1712"/>
      <c r="D34" s="1712"/>
      <c r="E34" s="1712"/>
      <c r="G34" s="1712"/>
      <c r="I34" s="1712"/>
      <c r="L34" s="1709" t="str">
        <f>IFERROR(MIN(4,MATCH(Application!B728,UnitSizes,0)-1),"")</f>
        <v/>
      </c>
      <c r="M34" s="1745">
        <f>Application!G728</f>
        <v>0</v>
      </c>
      <c r="N34" s="1748">
        <f>Application!AC728</f>
        <v>0</v>
      </c>
      <c r="O34" s="1748" t="str">
        <f>IF(Cdlac[[#This Row],[Quantity]]&gt;0,IF(Cdlac[[#This Row],[Federal]],30%,IF($G$36,40%,Cdlac[[#This Row],[iAMI]])),"")</f>
        <v/>
      </c>
      <c r="P34" s="1749" t="str" cm="1">
        <f t="array" ref="P34">IF(Cdlac[[#This Row],[Quantity]]&gt;0,INDEX(TcacRents,$P$18,Cdlac[[#This Row],[Bedrooms]]+1)*Cdlac[[#This Row],[AMI]],"")</f>
        <v/>
      </c>
      <c r="Q34" s="1749" t="str" cm="1">
        <f t="array" ref="Q34">IF(Cdlac[[#This Row],[Quantity]]&gt;0,INDEX(HudFmrs,$P$18,Cdlac[[#This Row],[Bedrooms]]+1),"")</f>
        <v/>
      </c>
      <c r="R34" s="1749" t="str">
        <f>IF(Cdlac[[#This Row],[Quantity]]&gt;0,MAX(0,Cdlac[[#This Row],[Fair Market Rent]]-Cdlac[[#This Row],[Restricted Rent]]),"")</f>
        <v/>
      </c>
      <c r="S34" s="1735" t="str">
        <f>IF(Cdlac[[#This Row],[Quantity]]&gt;0,AND(Application!AK728&lt;&gt;"N/A",Application!AK728&lt;&gt;"")*Cdlac[[#This Row],[Quantity]],"")</f>
        <v/>
      </c>
      <c r="T34" s="1735" t="b">
        <f>AND('Subsidy Contract Calculation'!F18&gt;0,'Subsidy Contract Calculation'!C18="Federal",Cdlac[[#This Row],[Quantity]]&gt;0)</f>
        <v>0</v>
      </c>
    </row>
    <row r="35" spans="1:20" ht="15" customHeight="1">
      <c r="A35" s="1712"/>
      <c r="E35" s="1767" t="s">
        <v>2388</v>
      </c>
      <c r="F35" s="1709"/>
      <c r="G35" s="1809" cm="1">
        <f t="array" ref="G35">SUMPRODUCT(Cdlac[Quantity],Cdlac[iAMI],IF(Cdlac[Federal],0,1))/SUMIFS(Cdlac[Quantity],Cdlac[Federal],FALSE)</f>
        <v>0.71081081081081088</v>
      </c>
      <c r="I35" s="1712"/>
      <c r="L35" s="1709" t="str">
        <f>IFERROR(MIN(4,MATCH(Application!B729,UnitSizes,0)-1),"")</f>
        <v/>
      </c>
      <c r="M35" s="1745">
        <f>Application!G729</f>
        <v>0</v>
      </c>
      <c r="N35" s="1748">
        <f>Application!AC729</f>
        <v>0</v>
      </c>
      <c r="O35" s="1748" t="str">
        <f>IF(Cdlac[[#This Row],[Quantity]]&gt;0,IF(Cdlac[[#This Row],[Federal]],30%,IF($G$36,40%,Cdlac[[#This Row],[iAMI]])),"")</f>
        <v/>
      </c>
      <c r="P35" s="1749" t="str" cm="1">
        <f t="array" ref="P35">IF(Cdlac[[#This Row],[Quantity]]&gt;0,INDEX(TcacRents,$P$18,Cdlac[[#This Row],[Bedrooms]]+1)*Cdlac[[#This Row],[AMI]],"")</f>
        <v/>
      </c>
      <c r="Q35" s="1749" t="str" cm="1">
        <f t="array" ref="Q35">IF(Cdlac[[#This Row],[Quantity]]&gt;0,INDEX(HudFmrs,$P$18,Cdlac[[#This Row],[Bedrooms]]+1),"")</f>
        <v/>
      </c>
      <c r="R35" s="1749" t="str">
        <f>IF(Cdlac[[#This Row],[Quantity]]&gt;0,MAX(0,Cdlac[[#This Row],[Fair Market Rent]]-Cdlac[[#This Row],[Restricted Rent]]),"")</f>
        <v/>
      </c>
      <c r="S35" s="1735" t="str">
        <f>IF(Cdlac[[#This Row],[Quantity]]&gt;0,AND(Application!AK729&lt;&gt;"N/A",Application!AK729&lt;&gt;"")*Cdlac[[#This Row],[Quantity]],"")</f>
        <v/>
      </c>
      <c r="T35" s="1735" t="b">
        <f>AND('Subsidy Contract Calculation'!F19&gt;0,'Subsidy Contract Calculation'!C19="Federal",Cdlac[[#This Row],[Quantity]]&gt;0)</f>
        <v>0</v>
      </c>
    </row>
    <row r="36" spans="1:20" ht="15" customHeight="1">
      <c r="A36" s="1712"/>
      <c r="E36" s="1767" t="s">
        <v>2383</v>
      </c>
      <c r="F36" s="1709"/>
      <c r="G36" s="1810" t="b">
        <f>G35&lt;40%</f>
        <v>0</v>
      </c>
      <c r="I36" s="1712"/>
      <c r="L36" s="1709" t="str">
        <f>IFERROR(MIN(4,MATCH(Application!B730,UnitSizes,0)-1),"")</f>
        <v/>
      </c>
      <c r="M36" s="1745">
        <f>Application!G730</f>
        <v>0</v>
      </c>
      <c r="N36" s="1748">
        <f>Application!AC730</f>
        <v>0</v>
      </c>
      <c r="O36" s="1748" t="str">
        <f>IF(Cdlac[[#This Row],[Quantity]]&gt;0,IF(Cdlac[[#This Row],[Federal]],30%,IF($G$36,40%,Cdlac[[#This Row],[iAMI]])),"")</f>
        <v/>
      </c>
      <c r="P36" s="1749" t="str" cm="1">
        <f t="array" ref="P36">IF(Cdlac[[#This Row],[Quantity]]&gt;0,INDEX(TcacRents,$P$18,Cdlac[[#This Row],[Bedrooms]]+1)*Cdlac[[#This Row],[AMI]],"")</f>
        <v/>
      </c>
      <c r="Q36" s="1749" t="str" cm="1">
        <f t="array" ref="Q36">IF(Cdlac[[#This Row],[Quantity]]&gt;0,INDEX(HudFmrs,$P$18,Cdlac[[#This Row],[Bedrooms]]+1),"")</f>
        <v/>
      </c>
      <c r="R36" s="1749" t="str">
        <f>IF(Cdlac[[#This Row],[Quantity]]&gt;0,MAX(0,Cdlac[[#This Row],[Fair Market Rent]]-Cdlac[[#This Row],[Restricted Rent]]),"")</f>
        <v/>
      </c>
      <c r="S36" s="1735" t="str">
        <f>IF(Cdlac[[#This Row],[Quantity]]&gt;0,AND(Application!AK730&lt;&gt;"N/A",Application!AK730&lt;&gt;"")*Cdlac[[#This Row],[Quantity]],"")</f>
        <v/>
      </c>
      <c r="T36" s="1735" t="b">
        <f>AND('Subsidy Contract Calculation'!F20&gt;0,'Subsidy Contract Calculation'!C20="Federal",Cdlac[[#This Row],[Quantity]]&gt;0)</f>
        <v>0</v>
      </c>
    </row>
    <row r="37" spans="1:20" ht="15" customHeight="1">
      <c r="A37" s="1712"/>
      <c r="F37" s="1709"/>
      <c r="I37" s="1712"/>
      <c r="L37" s="1709" t="str">
        <f>IFERROR(MIN(4,MATCH(Application!B731,UnitSizes,0)-1),"")</f>
        <v/>
      </c>
      <c r="M37" s="1745">
        <f>Application!G731</f>
        <v>0</v>
      </c>
      <c r="N37" s="1748">
        <f>Application!AC731</f>
        <v>0</v>
      </c>
      <c r="O37" s="1748" t="str">
        <f>IF(Cdlac[[#This Row],[Quantity]]&gt;0,IF(Cdlac[[#This Row],[Federal]],30%,IF($G$36,40%,Cdlac[[#This Row],[iAMI]])),"")</f>
        <v/>
      </c>
      <c r="P37" s="1749" t="str" cm="1">
        <f t="array" ref="P37">IF(Cdlac[[#This Row],[Quantity]]&gt;0,INDEX(TcacRents,$P$18,Cdlac[[#This Row],[Bedrooms]]+1)*Cdlac[[#This Row],[AMI]],"")</f>
        <v/>
      </c>
      <c r="Q37" s="1749" t="str" cm="1">
        <f t="array" ref="Q37">IF(Cdlac[[#This Row],[Quantity]]&gt;0,INDEX(HudFmrs,$P$18,Cdlac[[#This Row],[Bedrooms]]+1),"")</f>
        <v/>
      </c>
      <c r="R37" s="1749" t="str">
        <f>IF(Cdlac[[#This Row],[Quantity]]&gt;0,MAX(0,Cdlac[[#This Row],[Fair Market Rent]]-Cdlac[[#This Row],[Restricted Rent]]),"")</f>
        <v/>
      </c>
      <c r="S37" s="1735" t="str">
        <f>IF(Cdlac[[#This Row],[Quantity]]&gt;0,AND(Application!AK731&lt;&gt;"N/A",Application!AK731&lt;&gt;"")*Cdlac[[#This Row],[Quantity]],"")</f>
        <v/>
      </c>
      <c r="T37" s="1735" t="b">
        <f>AND('Subsidy Contract Calculation'!F21&gt;0,'Subsidy Contract Calculation'!C21="Federal",Cdlac[[#This Row],[Quantity]]&gt;0)</f>
        <v>0</v>
      </c>
    </row>
    <row r="38" spans="1:20" ht="15" customHeight="1">
      <c r="A38" s="1712"/>
      <c r="E38" s="1767" t="s">
        <v>2324</v>
      </c>
      <c r="G38" s="1756">
        <f>SUMPRODUCT(Cdlac[Quantity],Cdlac[Delta])</f>
        <v>26299</v>
      </c>
      <c r="I38" s="1712"/>
      <c r="L38" s="1709" t="str">
        <f>IFERROR(MIN(4,MATCH(Application!B732,UnitSizes,0)-1),"")</f>
        <v/>
      </c>
      <c r="M38" s="1745">
        <f>Application!G732</f>
        <v>0</v>
      </c>
      <c r="N38" s="1748">
        <f>Application!AC732</f>
        <v>0</v>
      </c>
      <c r="O38" s="1748" t="str">
        <f>IF(Cdlac[[#This Row],[Quantity]]&gt;0,IF(Cdlac[[#This Row],[Federal]],30%,IF($G$36,40%,Cdlac[[#This Row],[iAMI]])),"")</f>
        <v/>
      </c>
      <c r="P38" s="1749" t="str" cm="1">
        <f t="array" ref="P38">IF(Cdlac[[#This Row],[Quantity]]&gt;0,INDEX(TcacRents,$P$18,Cdlac[[#This Row],[Bedrooms]]+1)*Cdlac[[#This Row],[AMI]],"")</f>
        <v/>
      </c>
      <c r="Q38" s="1749" t="str" cm="1">
        <f t="array" ref="Q38">IF(Cdlac[[#This Row],[Quantity]]&gt;0,INDEX(HudFmrs,$P$18,Cdlac[[#This Row],[Bedrooms]]+1),"")</f>
        <v/>
      </c>
      <c r="R38" s="1749" t="str">
        <f>IF(Cdlac[[#This Row],[Quantity]]&gt;0,MAX(0,Cdlac[[#This Row],[Fair Market Rent]]-Cdlac[[#This Row],[Restricted Rent]]),"")</f>
        <v/>
      </c>
      <c r="S38" s="1735" t="str">
        <f>IF(Cdlac[[#This Row],[Quantity]]&gt;0,AND(Application!AK732&lt;&gt;"N/A",Application!AK732&lt;&gt;"")*Cdlac[[#This Row],[Quantity]],"")</f>
        <v/>
      </c>
      <c r="T38" s="1735" t="b">
        <f>AND('Subsidy Contract Calculation'!F22&gt;0,'Subsidy Contract Calculation'!C22="Federal",Cdlac[[#This Row],[Quantity]]&gt;0)</f>
        <v>0</v>
      </c>
    </row>
    <row r="39" spans="1:20" ht="15" customHeight="1">
      <c r="E39" s="1805" t="s">
        <v>2389</v>
      </c>
      <c r="F39" s="1801" t="s">
        <v>2377</v>
      </c>
      <c r="G39" s="1811">
        <f>12*15</f>
        <v>180</v>
      </c>
      <c r="L39" s="1709" t="str">
        <f>IFERROR(MIN(4,MATCH(Application!B733,UnitSizes,0)-1),"")</f>
        <v/>
      </c>
      <c r="M39" s="1745">
        <f>Application!G733</f>
        <v>0</v>
      </c>
      <c r="N39" s="1748">
        <f>Application!AC733</f>
        <v>0</v>
      </c>
      <c r="O39" s="1748" t="str">
        <f>IF(Cdlac[[#This Row],[Quantity]]&gt;0,IF(Cdlac[[#This Row],[Federal]],30%,IF($G$36,40%,Cdlac[[#This Row],[iAMI]])),"")</f>
        <v/>
      </c>
      <c r="P39" s="1749" t="str" cm="1">
        <f t="array" ref="P39">IF(Cdlac[[#This Row],[Quantity]]&gt;0,INDEX(TcacRents,$P$18,Cdlac[[#This Row],[Bedrooms]]+1)*Cdlac[[#This Row],[AMI]],"")</f>
        <v/>
      </c>
      <c r="Q39" s="1749" t="str" cm="1">
        <f t="array" ref="Q39">IF(Cdlac[[#This Row],[Quantity]]&gt;0,INDEX(HudFmrs,$P$18,Cdlac[[#This Row],[Bedrooms]]+1),"")</f>
        <v/>
      </c>
      <c r="R39" s="1749" t="str">
        <f>IF(Cdlac[[#This Row],[Quantity]]&gt;0,MAX(0,Cdlac[[#This Row],[Fair Market Rent]]-Cdlac[[#This Row],[Restricted Rent]]),"")</f>
        <v/>
      </c>
      <c r="S39" s="1735" t="str">
        <f>IF(Cdlac[[#This Row],[Quantity]]&gt;0,AND(Application!AK733&lt;&gt;"N/A",Application!AK733&lt;&gt;"")*Cdlac[[#This Row],[Quantity]],"")</f>
        <v/>
      </c>
      <c r="T39" s="1735" t="b">
        <f>AND('Subsidy Contract Calculation'!F23&gt;0,'Subsidy Contract Calculation'!C23="Federal",Cdlac[[#This Row],[Quantity]]&gt;0)</f>
        <v>0</v>
      </c>
    </row>
    <row r="40" spans="1:20" ht="15" customHeight="1">
      <c r="E40" s="1812" t="s">
        <v>2317</v>
      </c>
      <c r="F40" s="1813"/>
      <c r="G40" s="1814">
        <f>G38*G39</f>
        <v>4733820</v>
      </c>
      <c r="L40" s="1709" t="str">
        <f>IFERROR(MIN(4,MATCH(Application!B734,UnitSizes,0)-1),"")</f>
        <v/>
      </c>
      <c r="M40" s="1745">
        <f>Application!G734</f>
        <v>0</v>
      </c>
      <c r="N40" s="1748">
        <f>Application!AC734</f>
        <v>0</v>
      </c>
      <c r="O40" s="1748" t="str">
        <f>IF(Cdlac[[#This Row],[Quantity]]&gt;0,IF(Cdlac[[#This Row],[Federal]],30%,IF($G$36,40%,Cdlac[[#This Row],[iAMI]])),"")</f>
        <v/>
      </c>
      <c r="P40" s="1749" t="str" cm="1">
        <f t="array" ref="P40">IF(Cdlac[[#This Row],[Quantity]]&gt;0,INDEX(TcacRents,$P$18,Cdlac[[#This Row],[Bedrooms]]+1)*Cdlac[[#This Row],[AMI]],"")</f>
        <v/>
      </c>
      <c r="Q40" s="1749" t="str" cm="1">
        <f t="array" ref="Q40">IF(Cdlac[[#This Row],[Quantity]]&gt;0,INDEX(HudFmrs,$P$18,Cdlac[[#This Row],[Bedrooms]]+1),"")</f>
        <v/>
      </c>
      <c r="R40" s="1749" t="str">
        <f>IF(Cdlac[[#This Row],[Quantity]]&gt;0,MAX(0,Cdlac[[#This Row],[Fair Market Rent]]-Cdlac[[#This Row],[Restricted Rent]]),"")</f>
        <v/>
      </c>
      <c r="S40" s="1735" t="str">
        <f>IF(Cdlac[[#This Row],[Quantity]]&gt;0,AND(Application!AK734&lt;&gt;"N/A",Application!AK734&lt;&gt;"")*Cdlac[[#This Row],[Quantity]],"")</f>
        <v/>
      </c>
      <c r="T40" s="1735" t="b">
        <f>AND('Subsidy Contract Calculation'!F24&gt;0,'Subsidy Contract Calculation'!C24="Federal",Cdlac[[#This Row],[Quantity]]&gt;0)</f>
        <v>0</v>
      </c>
    </row>
    <row r="41" spans="1:20" ht="15" customHeight="1">
      <c r="L41" s="1709" t="str">
        <f>IFERROR(MIN(4,MATCH(Application!B735,UnitSizes,0)-1),"")</f>
        <v/>
      </c>
      <c r="M41" s="1745">
        <f>Application!G735</f>
        <v>0</v>
      </c>
      <c r="N41" s="1748">
        <f>Application!AC735</f>
        <v>0</v>
      </c>
      <c r="O41" s="1748" t="str">
        <f>IF(Cdlac[[#This Row],[Quantity]]&gt;0,IF(Cdlac[[#This Row],[Federal]],30%,IF($G$36,40%,Cdlac[[#This Row],[iAMI]])),"")</f>
        <v/>
      </c>
      <c r="P41" s="1749" t="str" cm="1">
        <f t="array" ref="P41">IF(Cdlac[[#This Row],[Quantity]]&gt;0,INDEX(TcacRents,$P$18,Cdlac[[#This Row],[Bedrooms]]+1)*Cdlac[[#This Row],[AMI]],"")</f>
        <v/>
      </c>
      <c r="Q41" s="1749" t="str" cm="1">
        <f t="array" ref="Q41">IF(Cdlac[[#This Row],[Quantity]]&gt;0,INDEX(HudFmrs,$P$18,Cdlac[[#This Row],[Bedrooms]]+1),"")</f>
        <v/>
      </c>
      <c r="R41" s="1749" t="str">
        <f>IF(Cdlac[[#This Row],[Quantity]]&gt;0,MAX(0,Cdlac[[#This Row],[Fair Market Rent]]-Cdlac[[#This Row],[Restricted Rent]]),"")</f>
        <v/>
      </c>
      <c r="S41" s="1735" t="str">
        <f>IF(Cdlac[[#This Row],[Quantity]]&gt;0,AND(Application!AK735&lt;&gt;"N/A",Application!AK735&lt;&gt;"")*Cdlac[[#This Row],[Quantity]],"")</f>
        <v/>
      </c>
      <c r="T41" s="1735" t="b">
        <f>AND('Subsidy Contract Calculation'!F25&gt;0,'Subsidy Contract Calculation'!C25="Federal",Cdlac[[#This Row],[Quantity]]&gt;0)</f>
        <v>0</v>
      </c>
    </row>
    <row r="42" spans="1:20" ht="15" customHeight="1">
      <c r="B42" s="1742" t="str">
        <f>B11</f>
        <v>C. Special Needs Population Benefit</v>
      </c>
      <c r="C42" s="1743"/>
      <c r="D42" s="1743"/>
      <c r="E42" s="1743"/>
      <c r="F42" s="1743"/>
      <c r="G42" s="1743"/>
      <c r="H42" s="1743"/>
      <c r="I42" s="1744"/>
      <c r="L42" s="1709" t="str">
        <f>IFERROR(MIN(4,MATCH(Application!B736,UnitSizes,0)-1),"")</f>
        <v/>
      </c>
      <c r="M42" s="1745">
        <f>Application!G736</f>
        <v>0</v>
      </c>
      <c r="N42" s="1748">
        <f>Application!AC736</f>
        <v>0</v>
      </c>
      <c r="O42" s="1748" t="str">
        <f>IF(Cdlac[[#This Row],[Quantity]]&gt;0,IF(Cdlac[[#This Row],[Federal]],30%,IF($G$36,40%,Cdlac[[#This Row],[iAMI]])),"")</f>
        <v/>
      </c>
      <c r="P42" s="1749" t="str" cm="1">
        <f t="array" ref="P42">IF(Cdlac[[#This Row],[Quantity]]&gt;0,INDEX(TcacRents,$P$18,Cdlac[[#This Row],[Bedrooms]]+1)*Cdlac[[#This Row],[AMI]],"")</f>
        <v/>
      </c>
      <c r="Q42" s="1749" t="str" cm="1">
        <f t="array" ref="Q42">IF(Cdlac[[#This Row],[Quantity]]&gt;0,INDEX(HudFmrs,$P$18,Cdlac[[#This Row],[Bedrooms]]+1),"")</f>
        <v/>
      </c>
      <c r="R42" s="1749" t="str">
        <f>IF(Cdlac[[#This Row],[Quantity]]&gt;0,MAX(0,Cdlac[[#This Row],[Fair Market Rent]]-Cdlac[[#This Row],[Restricted Rent]]),"")</f>
        <v/>
      </c>
      <c r="S42" s="1735" t="str">
        <f>IF(Cdlac[[#This Row],[Quantity]]&gt;0,AND(Application!AK736&lt;&gt;"N/A",Application!AK736&lt;&gt;"")*Cdlac[[#This Row],[Quantity]],"")</f>
        <v/>
      </c>
      <c r="T42" s="1735" t="b">
        <f>AND('Subsidy Contract Calculation'!F26&gt;0,'Subsidy Contract Calculation'!C26="Federal",Cdlac[[#This Row],[Quantity]]&gt;0)</f>
        <v>0</v>
      </c>
    </row>
    <row r="43" spans="1:20" ht="15" customHeight="1">
      <c r="L43" s="1709" t="str">
        <f>IFERROR(MIN(4,MATCH(Application!B737,UnitSizes,0)-1),"")</f>
        <v/>
      </c>
      <c r="M43" s="1745">
        <f>Application!G737</f>
        <v>0</v>
      </c>
      <c r="N43" s="1748">
        <f>Application!AC737</f>
        <v>0</v>
      </c>
      <c r="O43" s="1748" t="str">
        <f>IF(Cdlac[[#This Row],[Quantity]]&gt;0,IF(Cdlac[[#This Row],[Federal]],30%,IF($G$36,40%,Cdlac[[#This Row],[iAMI]])),"")</f>
        <v/>
      </c>
      <c r="P43" s="1749" t="str" cm="1">
        <f t="array" ref="P43">IF(Cdlac[[#This Row],[Quantity]]&gt;0,INDEX(TcacRents,$P$18,Cdlac[[#This Row],[Bedrooms]]+1)*Cdlac[[#This Row],[AMI]],"")</f>
        <v/>
      </c>
      <c r="Q43" s="1749" t="str" cm="1">
        <f t="array" ref="Q43">IF(Cdlac[[#This Row],[Quantity]]&gt;0,INDEX(HudFmrs,$P$18,Cdlac[[#This Row],[Bedrooms]]+1),"")</f>
        <v/>
      </c>
      <c r="R43" s="1749" t="str">
        <f>IF(Cdlac[[#This Row],[Quantity]]&gt;0,MAX(0,Cdlac[[#This Row],[Fair Market Rent]]-Cdlac[[#This Row],[Restricted Rent]]),"")</f>
        <v/>
      </c>
      <c r="S43" s="1735" t="str">
        <f>IF(Cdlac[[#This Row],[Quantity]]&gt;0,AND(Application!AK737&lt;&gt;"N/A",Application!AK737&lt;&gt;"")*Cdlac[[#This Row],[Quantity]],"")</f>
        <v/>
      </c>
      <c r="T43" s="1735" t="b">
        <f>AND('Subsidy Contract Calculation'!F27&gt;0,'Subsidy Contract Calculation'!C27="Federal",Cdlac[[#This Row],[Quantity]]&gt;0)</f>
        <v>0</v>
      </c>
    </row>
    <row r="44" spans="1:20" ht="15" customHeight="1">
      <c r="E44" s="1805" t="s">
        <v>2378</v>
      </c>
      <c r="G44" s="1816">
        <f>S18</f>
        <v>32</v>
      </c>
      <c r="L44" s="1712" t="str">
        <f>IFERROR(MIN(4,MATCH(Application!B738,UnitSizes,0)-1),"")</f>
        <v/>
      </c>
      <c r="M44" s="1762">
        <f>Application!G738</f>
        <v>0</v>
      </c>
      <c r="N44" s="1748">
        <f>Application!AC738</f>
        <v>0</v>
      </c>
      <c r="O44" s="1763" t="str">
        <f>IF(Cdlac[[#This Row],[Quantity]]&gt;0,IF(Cdlac[[#This Row],[Federal]],30%,IF($G$36,40%,Cdlac[[#This Row],[iAMI]])),"")</f>
        <v/>
      </c>
      <c r="P44" s="1739" t="str" cm="1">
        <f t="array" ref="P44">IF(Cdlac[[#This Row],[Quantity]]&gt;0,INDEX(TcacRents,$P$18,Cdlac[[#This Row],[Bedrooms]]+1)*Cdlac[[#This Row],[AMI]],"")</f>
        <v/>
      </c>
      <c r="Q44" s="1739" t="str" cm="1">
        <f t="array" ref="Q44">IF(Cdlac[[#This Row],[Quantity]]&gt;0,INDEX(HudFmrs,$P$18,Cdlac[[#This Row],[Bedrooms]]+1),"")</f>
        <v/>
      </c>
      <c r="R44" s="1739" t="str">
        <f>IF(Cdlac[[#This Row],[Quantity]]&gt;0,MAX(0,Cdlac[[#This Row],[Fair Market Rent]]-Cdlac[[#This Row],[Restricted Rent]]),"")</f>
        <v/>
      </c>
      <c r="S44" s="1713" t="str">
        <f>IF(Cdlac[[#This Row],[Quantity]]&gt;0,AND(Application!AK738&lt;&gt;"N/A",Application!AK738&lt;&gt;"")*Cdlac[[#This Row],[Quantity]],"")</f>
        <v/>
      </c>
      <c r="T44" s="1735" t="b">
        <f>AND('Subsidy Contract Calculation'!F28&gt;0,'Subsidy Contract Calculation'!C28="Federal",Cdlac[[#This Row],[Quantity]]&gt;0)</f>
        <v>0</v>
      </c>
    </row>
    <row r="45" spans="1:20" ht="15" customHeight="1">
      <c r="E45" s="1805" t="s">
        <v>2379</v>
      </c>
      <c r="G45" s="1816">
        <f>ROUNDDOWN(E27*50%,0)</f>
        <v>34</v>
      </c>
    </row>
    <row r="46" spans="1:20" ht="15" customHeight="1">
      <c r="E46" s="1805"/>
      <c r="G46" s="1816"/>
    </row>
    <row r="47" spans="1:20" ht="15" customHeight="1">
      <c r="E47" s="1805" t="s">
        <v>2330</v>
      </c>
      <c r="G47" s="1802">
        <f>MIN(G44:G45)</f>
        <v>32</v>
      </c>
    </row>
    <row r="48" spans="1:20" ht="15" customHeight="1">
      <c r="E48" s="1805" t="s">
        <v>2320</v>
      </c>
      <c r="F48" s="1801" t="s">
        <v>2377</v>
      </c>
      <c r="G48" s="1815">
        <v>10000</v>
      </c>
    </row>
    <row r="49" spans="2:14" ht="15" customHeight="1">
      <c r="E49" s="1806" t="s">
        <v>2360</v>
      </c>
      <c r="F49" s="1813"/>
      <c r="G49" s="1814">
        <f>G47*G48</f>
        <v>320000</v>
      </c>
    </row>
    <row r="50" spans="2:14" ht="15" customHeight="1"/>
    <row r="51" spans="2:14" ht="15" customHeight="1">
      <c r="B51" s="1742" t="str">
        <f>B12</f>
        <v>D. Extremely Low Income Benefit</v>
      </c>
      <c r="C51" s="1743"/>
      <c r="D51" s="1743"/>
      <c r="E51" s="1743"/>
      <c r="F51" s="1743"/>
      <c r="G51" s="1743"/>
      <c r="H51" s="1743"/>
      <c r="I51" s="1744"/>
    </row>
    <row r="52" spans="2:14" ht="15" customHeight="1"/>
    <row r="53" spans="2:14" ht="15" customHeight="1">
      <c r="E53" s="1805" t="s">
        <v>2380</v>
      </c>
      <c r="G53" s="1757">
        <f>SUMIFS(Cdlac[Quantity],Cdlac[iAMI],"&lt;=30%")</f>
        <v>32</v>
      </c>
    </row>
    <row r="54" spans="2:14" ht="15" customHeight="1">
      <c r="E54" s="1805" t="s">
        <v>2379</v>
      </c>
      <c r="G54" s="1757">
        <f>ROUNDDOWN(E27*50%,0)</f>
        <v>34</v>
      </c>
    </row>
    <row r="55" spans="2:14" ht="15" customHeight="1">
      <c r="E55" s="1805"/>
      <c r="G55" s="1757"/>
    </row>
    <row r="56" spans="2:14" ht="15" customHeight="1">
      <c r="E56" s="1805" t="s">
        <v>2330</v>
      </c>
      <c r="G56" s="1802">
        <f>MIN(G53:G54)</f>
        <v>32</v>
      </c>
    </row>
    <row r="57" spans="2:14" ht="15" customHeight="1">
      <c r="E57" s="1805" t="s">
        <v>2320</v>
      </c>
      <c r="F57" s="1801" t="s">
        <v>2377</v>
      </c>
      <c r="G57" s="1815">
        <v>20000</v>
      </c>
    </row>
    <row r="58" spans="2:14" ht="15" customHeight="1">
      <c r="E58" s="1806" t="s">
        <v>2359</v>
      </c>
      <c r="F58" s="1813"/>
      <c r="G58" s="1814">
        <f>G56*G57</f>
        <v>640000</v>
      </c>
    </row>
    <row r="59" spans="2:14" ht="15" customHeight="1"/>
    <row r="60" spans="2:14" ht="15" customHeight="1">
      <c r="B60" s="1742" t="str">
        <f>B13</f>
        <v>E. Sustainability Benefit</v>
      </c>
      <c r="C60" s="1743"/>
      <c r="D60" s="1743"/>
      <c r="E60" s="1743"/>
      <c r="F60" s="1743"/>
      <c r="G60" s="1743"/>
      <c r="H60" s="1743"/>
      <c r="I60" s="1744"/>
    </row>
    <row r="61" spans="2:14" ht="15" customHeight="1" thickBot="1"/>
    <row r="62" spans="2:14" ht="15" customHeight="1">
      <c r="E62" s="1767" t="s">
        <v>2333</v>
      </c>
      <c r="F62" s="1709"/>
      <c r="G62" s="1802">
        <f>VLOOKUP('Points System'!$H$595,'Points System'!$AO$575:$AP$580,2,FALSE)</f>
        <v>7</v>
      </c>
      <c r="H62" s="1709"/>
      <c r="L62" s="1818" t="str">
        <f>'Points System'!H627</f>
        <v>(i)</v>
      </c>
      <c r="M62" s="2930" t="s">
        <v>1576</v>
      </c>
      <c r="N62" s="2931"/>
    </row>
    <row r="63" spans="2:14" ht="15" customHeight="1">
      <c r="E63" s="1767" t="s">
        <v>2320</v>
      </c>
      <c r="F63" s="1801" t="s">
        <v>2377</v>
      </c>
      <c r="G63" s="1754">
        <v>4000</v>
      </c>
      <c r="H63" s="1709"/>
      <c r="L63" s="1819" t="str">
        <f>'Points System'!H639</f>
        <v>N/A</v>
      </c>
      <c r="M63" s="2932" t="s">
        <v>2334</v>
      </c>
      <c r="N63" s="2933"/>
    </row>
    <row r="64" spans="2:14" ht="15" customHeight="1">
      <c r="E64" s="1767" t="s">
        <v>2381</v>
      </c>
      <c r="F64" s="1801" t="s">
        <v>2377</v>
      </c>
      <c r="G64" s="1817">
        <f>G27</f>
        <v>69</v>
      </c>
      <c r="H64" s="1709"/>
      <c r="L64" s="1819" t="str">
        <f>'Points System'!H674</f>
        <v>(iii)</v>
      </c>
      <c r="M64" s="2932" t="s">
        <v>2335</v>
      </c>
      <c r="N64" s="2933"/>
    </row>
    <row r="65" spans="2:14" ht="15" customHeight="1">
      <c r="E65" s="1806" t="s">
        <v>2339</v>
      </c>
      <c r="F65" s="1807"/>
      <c r="G65" s="1814">
        <f>G62*G63*G64</f>
        <v>1932000</v>
      </c>
      <c r="H65" s="1709"/>
      <c r="L65" s="1819" t="str">
        <f>'Points System'!H694</f>
        <v>N/A</v>
      </c>
      <c r="M65" s="2932" t="s">
        <v>2336</v>
      </c>
      <c r="N65" s="2933"/>
    </row>
    <row r="66" spans="2:14" ht="15" customHeight="1">
      <c r="C66" s="1755"/>
      <c r="F66" s="1709"/>
      <c r="G66" s="1802"/>
      <c r="H66" s="1709"/>
      <c r="L66" s="1820" t="str">
        <f>'Points System'!H708</f>
        <v>(i)</v>
      </c>
      <c r="M66" s="2932" t="s">
        <v>1602</v>
      </c>
      <c r="N66" s="2933"/>
    </row>
    <row r="67" spans="2:14" ht="15" customHeight="1">
      <c r="E67" s="1767" t="s">
        <v>2382</v>
      </c>
      <c r="F67" s="1709"/>
      <c r="G67" s="1817">
        <f>COUNTIFS(L62:L69,"(i)")</f>
        <v>4</v>
      </c>
      <c r="H67" s="1709"/>
      <c r="L67" s="1819" t="str">
        <f>'Points System'!H720</f>
        <v>N/A</v>
      </c>
      <c r="M67" s="2932" t="s">
        <v>2337</v>
      </c>
      <c r="N67" s="2933"/>
    </row>
    <row r="68" spans="2:14" ht="15" customHeight="1">
      <c r="E68" s="1767" t="s">
        <v>2320</v>
      </c>
      <c r="F68" s="1801" t="s">
        <v>2377</v>
      </c>
      <c r="G68" s="1815">
        <v>4000</v>
      </c>
      <c r="H68" s="1709"/>
      <c r="L68" s="1819" t="str">
        <f>'Points System'!H736</f>
        <v>(i)</v>
      </c>
      <c r="M68" s="2932" t="s">
        <v>2338</v>
      </c>
      <c r="N68" s="2933"/>
    </row>
    <row r="69" spans="2:14" ht="15" customHeight="1" thickBot="1">
      <c r="E69" s="1806" t="s">
        <v>2340</v>
      </c>
      <c r="F69" s="1813"/>
      <c r="G69" s="1814">
        <f>G64*G67*G68</f>
        <v>1104000</v>
      </c>
      <c r="H69" s="1709"/>
      <c r="L69" s="1821" t="str">
        <f>'Points System'!H748</f>
        <v>(i)</v>
      </c>
      <c r="M69" s="2938" t="s">
        <v>1605</v>
      </c>
      <c r="N69" s="2939"/>
    </row>
    <row r="70" spans="2:14" ht="15" customHeight="1">
      <c r="F70" s="1709"/>
    </row>
    <row r="71" spans="2:14" ht="15" customHeight="1">
      <c r="C71" s="1759" t="s">
        <v>2342</v>
      </c>
      <c r="D71" s="1713"/>
    </row>
    <row r="72" spans="2:14" ht="15" customHeight="1">
      <c r="C72" s="1760" t="s">
        <v>2343</v>
      </c>
      <c r="D72" s="1713"/>
      <c r="F72" s="1709"/>
      <c r="G72" s="1708"/>
    </row>
    <row r="73" spans="2:14" ht="15" customHeight="1">
      <c r="C73" s="1760" t="s">
        <v>2344</v>
      </c>
      <c r="D73" s="1713"/>
      <c r="F73" s="1709"/>
      <c r="G73" s="1708"/>
    </row>
    <row r="74" spans="2:14" ht="15" customHeight="1">
      <c r="C74" s="1760" t="s">
        <v>2604</v>
      </c>
      <c r="D74" s="1713"/>
      <c r="F74" s="1709"/>
      <c r="G74" s="1708" t="s">
        <v>554</v>
      </c>
    </row>
    <row r="75" spans="2:14" ht="15" customHeight="1">
      <c r="C75" s="1760" t="s">
        <v>2605</v>
      </c>
      <c r="D75" s="1713"/>
      <c r="F75" s="1709"/>
      <c r="G75" s="1708" t="s">
        <v>554</v>
      </c>
    </row>
    <row r="76" spans="2:14" ht="15" customHeight="1">
      <c r="F76" s="1709"/>
    </row>
    <row r="77" spans="2:14" ht="15" customHeight="1">
      <c r="B77" s="1758"/>
      <c r="C77" s="1755"/>
      <c r="E77" s="1767" t="s">
        <v>2384</v>
      </c>
      <c r="G77" s="1757" t="b">
        <f>COUNTIFS(G72:G75,"Yes")&gt;=1</f>
        <v>1</v>
      </c>
    </row>
    <row r="78" spans="2:14" ht="15" customHeight="1">
      <c r="E78" s="1760"/>
    </row>
    <row r="79" spans="2:14" ht="15" customHeight="1">
      <c r="E79" s="1767" t="s">
        <v>2381</v>
      </c>
      <c r="F79" s="1801" t="s">
        <v>2377</v>
      </c>
      <c r="G79" s="1802">
        <f>G27</f>
        <v>69</v>
      </c>
    </row>
    <row r="80" spans="2:14" ht="15" customHeight="1">
      <c r="E80" s="1767" t="s">
        <v>2320</v>
      </c>
      <c r="F80" s="1801" t="s">
        <v>2377</v>
      </c>
      <c r="G80" s="1815">
        <v>25000</v>
      </c>
    </row>
    <row r="81" spans="2:14" ht="15" customHeight="1">
      <c r="E81" s="1806" t="s">
        <v>2341</v>
      </c>
      <c r="F81" s="1813"/>
      <c r="G81" s="1814">
        <f>G77*G80*G64</f>
        <v>1725000</v>
      </c>
    </row>
    <row r="82" spans="2:14" ht="15" customHeight="1">
      <c r="C82" s="1755"/>
      <c r="E82" s="1760"/>
    </row>
    <row r="83" spans="2:14" ht="15" customHeight="1">
      <c r="E83" s="1806" t="s">
        <v>2318</v>
      </c>
      <c r="G83" s="1814">
        <f>G81+G69+G65</f>
        <v>4761000</v>
      </c>
    </row>
    <row r="84" spans="2:14" ht="15" customHeight="1"/>
    <row r="85" spans="2:14" ht="15" customHeight="1">
      <c r="B85" s="1742" t="str">
        <f>B14</f>
        <v>F. Opportunity Benefit</v>
      </c>
      <c r="C85" s="1743"/>
      <c r="D85" s="1743"/>
      <c r="E85" s="1743"/>
      <c r="F85" s="1743"/>
      <c r="G85" s="1743"/>
      <c r="H85" s="1743"/>
      <c r="I85" s="1744"/>
    </row>
    <row r="86" spans="2:14" ht="15" customHeight="1" thickBot="1"/>
    <row r="87" spans="2:14" ht="15" customHeight="1">
      <c r="C87" s="1755" t="s">
        <v>2363</v>
      </c>
      <c r="G87" s="1708" t="s">
        <v>554</v>
      </c>
      <c r="L87" s="2940" t="s">
        <v>2347</v>
      </c>
      <c r="M87" s="2941"/>
      <c r="N87" s="1822">
        <v>30000</v>
      </c>
    </row>
    <row r="88" spans="2:14" ht="15" customHeight="1">
      <c r="C88" s="1755" t="s">
        <v>2364</v>
      </c>
      <c r="G88" s="1761" t="str">
        <f>IF(Application!D210="Large Family","Yes","No")</f>
        <v>No</v>
      </c>
      <c r="H88" s="1709"/>
      <c r="L88" s="2934" t="s">
        <v>2311</v>
      </c>
      <c r="M88" s="2935"/>
      <c r="N88" s="1823">
        <v>20000</v>
      </c>
    </row>
    <row r="89" spans="2:14" ht="15" customHeight="1" thickBot="1">
      <c r="C89" s="1755" t="s">
        <v>2345</v>
      </c>
      <c r="G89" s="1708" t="s">
        <v>554</v>
      </c>
      <c r="H89" s="1709"/>
      <c r="L89" s="2936" t="s">
        <v>2348</v>
      </c>
      <c r="M89" s="2937"/>
      <c r="N89" s="1824">
        <v>10000</v>
      </c>
    </row>
    <row r="90" spans="2:14" ht="15" customHeight="1">
      <c r="C90" s="1755" t="s">
        <v>2346</v>
      </c>
      <c r="G90" s="1709" t="str">
        <f>Application!T193</f>
        <v>High Resource</v>
      </c>
      <c r="H90" s="1709"/>
    </row>
    <row r="91" spans="2:14" ht="15" customHeight="1">
      <c r="C91" s="1755"/>
      <c r="H91" s="1709"/>
    </row>
    <row r="92" spans="2:14" ht="15" customHeight="1">
      <c r="E92" s="1767" t="s">
        <v>2384</v>
      </c>
      <c r="G92" s="1757" t="b">
        <f>AND(COUNTIFS(G88:G89,"Yes")&gt;=1,G87="Yes")</f>
        <v>1</v>
      </c>
      <c r="H92" s="1709"/>
    </row>
    <row r="93" spans="2:14" ht="15" customHeight="1">
      <c r="E93" s="1767"/>
      <c r="G93" s="1757"/>
      <c r="H93" s="1709"/>
    </row>
    <row r="94" spans="2:14" ht="15" customHeight="1">
      <c r="E94" s="1767" t="s">
        <v>2320</v>
      </c>
      <c r="G94" s="1758">
        <f>IFERROR(INDEX(N87:N89,MATCH(LEFT(G90,17),L87:L89,0)),0)</f>
        <v>20000</v>
      </c>
      <c r="H94" s="1709"/>
    </row>
    <row r="95" spans="2:14" ht="15" customHeight="1">
      <c r="E95" s="1767" t="str">
        <f>E64</f>
        <v>Bedroom-Adjusted Low-Income Units</v>
      </c>
      <c r="F95" s="1801" t="s">
        <v>2377</v>
      </c>
      <c r="G95" s="1802">
        <f>G27</f>
        <v>69</v>
      </c>
    </row>
    <row r="96" spans="2:14" ht="15" customHeight="1">
      <c r="D96" s="1807"/>
      <c r="E96" s="1806" t="s">
        <v>2319</v>
      </c>
      <c r="F96" s="1813"/>
      <c r="G96" s="1814">
        <f>G95*G94*G92</f>
        <v>1380000</v>
      </c>
    </row>
    <row r="97" spans="2:9" ht="15" customHeight="1"/>
    <row r="98" spans="2:9" ht="15" customHeight="1">
      <c r="B98" s="1742" t="s">
        <v>2332</v>
      </c>
      <c r="C98" s="1743"/>
      <c r="D98" s="1743"/>
      <c r="E98" s="1743"/>
      <c r="F98" s="1743"/>
      <c r="G98" s="1743"/>
      <c r="H98" s="1743"/>
      <c r="I98" s="1744"/>
    </row>
    <row r="99" spans="2:9" ht="15" customHeight="1"/>
    <row r="100" spans="2:9" ht="15" customHeight="1">
      <c r="F100" s="1804" t="s">
        <v>2358</v>
      </c>
      <c r="G100" s="1708" t="s">
        <v>678</v>
      </c>
      <c r="H100" s="1709"/>
    </row>
    <row r="101" spans="2:9" ht="15" customHeight="1">
      <c r="F101" s="1804"/>
      <c r="H101" s="1709"/>
    </row>
    <row r="102" spans="2:9" ht="15" customHeight="1">
      <c r="E102" s="1767" t="s">
        <v>2384</v>
      </c>
      <c r="G102" s="1757" t="b">
        <f>G100="Yes"</f>
        <v>0</v>
      </c>
    </row>
    <row r="103" spans="2:9" ht="15" customHeight="1">
      <c r="F103" s="1709"/>
    </row>
    <row r="104" spans="2:9" ht="15" customHeight="1">
      <c r="E104" s="1767" t="str">
        <f>E64</f>
        <v>Bedroom-Adjusted Low-Income Units</v>
      </c>
      <c r="G104" s="1802">
        <f>G27</f>
        <v>69</v>
      </c>
    </row>
    <row r="105" spans="2:9" ht="15" customHeight="1">
      <c r="E105" s="1767" t="s">
        <v>2320</v>
      </c>
      <c r="F105" s="1801" t="s">
        <v>2377</v>
      </c>
      <c r="G105" s="1717">
        <v>20000</v>
      </c>
    </row>
    <row r="106" spans="2:9" ht="15" customHeight="1">
      <c r="E106" s="1806" t="s">
        <v>2349</v>
      </c>
      <c r="F106" s="1813"/>
      <c r="G106" s="1814">
        <f>G102*G105*G104</f>
        <v>0</v>
      </c>
    </row>
    <row r="107" spans="2:9" ht="15" customHeight="1"/>
    <row r="108" spans="2:9" ht="15" customHeight="1">
      <c r="B108" s="1742" t="s">
        <v>2386</v>
      </c>
      <c r="C108" s="1743"/>
      <c r="D108" s="1743"/>
      <c r="E108" s="1743"/>
      <c r="F108" s="1743"/>
      <c r="G108" s="1743"/>
      <c r="H108" s="1743"/>
      <c r="I108" s="1744"/>
    </row>
    <row r="109" spans="2:9" ht="15" customHeight="1"/>
    <row r="110" spans="2:9" ht="15" customHeight="1">
      <c r="E110" s="1767" t="s">
        <v>591</v>
      </c>
      <c r="G110" s="1828" t="str">
        <f>IF(Application!T189="","",Application!T189)</f>
        <v>Riverside</v>
      </c>
    </row>
    <row r="111" spans="2:9" ht="15" customHeight="1">
      <c r="E111" s="1767"/>
      <c r="G111" s="1758"/>
    </row>
    <row r="112" spans="2:9" ht="15" customHeight="1">
      <c r="E112" s="1767" t="str">
        <f>"2-Bedroom "&amp;G110&amp;" County Basis Limit"</f>
        <v>2-Bedroom Riverside County Basis Limit</v>
      </c>
      <c r="G112" s="1758">
        <f>Application!R957</f>
        <v>437600</v>
      </c>
    </row>
    <row r="113" spans="4:9" ht="15" customHeight="1">
      <c r="E113" s="1767" t="s">
        <v>2385</v>
      </c>
      <c r="G113" s="1758">
        <f>MEDIAN((Application!BR795:BR852))</f>
        <v>489600</v>
      </c>
    </row>
    <row r="114" spans="4:9" ht="15" customHeight="1">
      <c r="D114" s="1807"/>
      <c r="E114" s="1806" t="s">
        <v>2387</v>
      </c>
      <c r="F114" s="1825"/>
      <c r="G114" s="1826">
        <f>((G112-G113)/G113)*0.25</f>
        <v>-2.6552287581699346E-2</v>
      </c>
      <c r="H114" s="1707"/>
      <c r="I114" s="1707"/>
    </row>
    <row r="115" spans="4:9" ht="15" customHeight="1">
      <c r="D115" s="1710"/>
      <c r="E115" s="1710"/>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topLeftCell="A169" zoomScaleNormal="100" workbookViewId="0">
      <selection activeCell="S195" sqref="S195"/>
    </sheetView>
  </sheetViews>
  <sheetFormatPr defaultColWidth="2.7109375" defaultRowHeight="15.75" customHeight="1"/>
  <cols>
    <col min="1" max="37" width="2.7109375" style="1851"/>
    <col min="38" max="38" width="3" style="1851" customWidth="1"/>
    <col min="39" max="44" width="2.7109375" style="1851"/>
    <col min="45" max="45" width="8.7109375" style="1851" bestFit="1" customWidth="1"/>
    <col min="46" max="64" width="2.7109375" style="1851"/>
    <col min="65" max="65" width="10.42578125" style="1851" hidden="1" customWidth="1"/>
    <col min="66" max="70" width="5.5703125" style="1851" bestFit="1" customWidth="1"/>
    <col min="71" max="71" width="6.140625" style="1851" bestFit="1" customWidth="1"/>
    <col min="72" max="76" width="5.5703125" style="1851" bestFit="1" customWidth="1"/>
    <col min="77" max="77" width="6.140625" style="1851" bestFit="1" customWidth="1"/>
    <col min="78" max="78" width="5.5703125" style="1851" bestFit="1" customWidth="1"/>
    <col min="79" max="16384" width="2.7109375" style="1851"/>
  </cols>
  <sheetData>
    <row r="1" spans="1:65" ht="15.75" customHeight="1">
      <c r="A1" s="2950" t="s">
        <v>2510</v>
      </c>
      <c r="B1" s="2951"/>
      <c r="C1" s="2951"/>
      <c r="D1" s="2951"/>
      <c r="E1" s="2951"/>
      <c r="F1" s="2951"/>
      <c r="G1" s="2951"/>
      <c r="H1" s="2951"/>
      <c r="I1" s="2951"/>
      <c r="J1" s="2951"/>
      <c r="K1" s="2951"/>
      <c r="L1" s="2951"/>
      <c r="M1" s="2951"/>
      <c r="N1" s="2951"/>
      <c r="O1" s="2951"/>
      <c r="P1" s="2951"/>
      <c r="Q1" s="2951"/>
      <c r="R1" s="2951"/>
      <c r="S1" s="2951"/>
      <c r="T1" s="2951"/>
      <c r="U1" s="2951"/>
      <c r="V1" s="2951"/>
      <c r="W1" s="2951"/>
      <c r="X1" s="2951"/>
      <c r="Y1" s="2951"/>
      <c r="Z1" s="2951"/>
      <c r="AA1" s="2951"/>
      <c r="AB1" s="2951"/>
      <c r="AC1" s="2951"/>
      <c r="AD1" s="2951"/>
      <c r="AE1" s="2951"/>
      <c r="AF1" s="2951"/>
      <c r="AG1" s="2951"/>
      <c r="AH1" s="2951"/>
      <c r="AI1" s="2951"/>
      <c r="AJ1" s="2951"/>
      <c r="AK1" s="2951"/>
      <c r="AL1" s="2951"/>
      <c r="AM1" s="2951"/>
      <c r="AN1" s="2951"/>
      <c r="AO1" s="2951"/>
      <c r="AP1" s="2951"/>
      <c r="AQ1" s="2951"/>
      <c r="AR1" s="2951"/>
      <c r="AS1" s="2951"/>
      <c r="AT1" s="2951"/>
      <c r="AU1" s="2951"/>
      <c r="AV1" s="2951"/>
      <c r="AW1" s="2951"/>
      <c r="AX1" s="2951"/>
      <c r="AY1" s="2951"/>
      <c r="AZ1" s="2951"/>
      <c r="BA1" s="2951"/>
      <c r="BB1" s="2951"/>
      <c r="BC1" s="2951"/>
      <c r="BD1" s="2951"/>
      <c r="BE1" s="2952"/>
    </row>
    <row r="2" spans="1:65" ht="15.75" customHeight="1">
      <c r="A2" s="2953" t="s">
        <v>2558</v>
      </c>
      <c r="B2" s="2954"/>
      <c r="C2" s="2954"/>
      <c r="D2" s="2954"/>
      <c r="E2" s="2954"/>
      <c r="F2" s="2954"/>
      <c r="G2" s="2954"/>
      <c r="H2" s="2954"/>
      <c r="I2" s="2954"/>
      <c r="J2" s="2954"/>
      <c r="K2" s="2954"/>
      <c r="L2" s="2954"/>
      <c r="M2" s="2954"/>
      <c r="N2" s="2954"/>
      <c r="O2" s="2954"/>
      <c r="P2" s="2954"/>
      <c r="Q2" s="2954"/>
      <c r="R2" s="2954"/>
      <c r="S2" s="2954"/>
      <c r="T2" s="2954"/>
      <c r="U2" s="2954"/>
      <c r="V2" s="2954"/>
      <c r="W2" s="2954"/>
      <c r="X2" s="2954"/>
      <c r="Y2" s="2954"/>
      <c r="Z2" s="2954"/>
      <c r="AA2" s="2954"/>
      <c r="AB2" s="2954"/>
      <c r="AC2" s="2954"/>
      <c r="AD2" s="2954"/>
      <c r="AE2" s="2954"/>
      <c r="AF2" s="2954"/>
      <c r="AG2" s="2954"/>
      <c r="AH2" s="2954"/>
      <c r="AI2" s="2954"/>
      <c r="AJ2" s="2954"/>
      <c r="AK2" s="2954"/>
      <c r="AL2" s="2954"/>
      <c r="AM2" s="2954"/>
      <c r="AN2" s="2954"/>
      <c r="AO2" s="2954"/>
      <c r="AP2" s="2954"/>
      <c r="AQ2" s="2954"/>
      <c r="AR2" s="2954"/>
      <c r="AS2" s="2954"/>
      <c r="AT2" s="2954"/>
      <c r="AU2" s="2954"/>
      <c r="AV2" s="2954"/>
      <c r="AW2" s="2954"/>
      <c r="AX2" s="2954"/>
      <c r="AY2" s="2954"/>
      <c r="AZ2" s="2954"/>
      <c r="BA2" s="2954"/>
      <c r="BB2" s="2954"/>
      <c r="BC2" s="2954"/>
      <c r="BD2" s="2954"/>
      <c r="BE2" s="2955"/>
      <c r="BF2" s="1852"/>
    </row>
    <row r="3" spans="1:65" ht="15.75" customHeight="1" thickBot="1">
      <c r="A3" s="1853"/>
      <c r="B3" s="1854"/>
      <c r="C3" s="1854"/>
      <c r="D3" s="1854"/>
      <c r="E3" s="1854"/>
      <c r="F3" s="1854"/>
      <c r="G3" s="1854"/>
      <c r="H3" s="1854"/>
      <c r="I3" s="1854"/>
      <c r="J3" s="1854"/>
      <c r="K3" s="1854"/>
      <c r="L3" s="1854"/>
      <c r="M3" s="1854"/>
      <c r="N3" s="1854"/>
      <c r="O3" s="1854"/>
      <c r="P3" s="1854"/>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c r="AP3" s="1854"/>
      <c r="AQ3" s="1854"/>
      <c r="AR3" s="1854"/>
      <c r="AS3" s="1854"/>
      <c r="AT3" s="1854"/>
      <c r="AU3" s="1854"/>
      <c r="AV3" s="1854"/>
      <c r="AW3" s="1854"/>
      <c r="AX3" s="1854"/>
      <c r="AY3" s="1854"/>
      <c r="AZ3" s="1854"/>
      <c r="BA3" s="1854"/>
      <c r="BB3" s="1854"/>
      <c r="BC3" s="1854"/>
      <c r="BD3" s="1854"/>
      <c r="BE3" s="1855"/>
    </row>
    <row r="4" spans="1:65" ht="15.75" customHeight="1" thickBot="1">
      <c r="A4" s="1853"/>
      <c r="B4" s="1856" t="s">
        <v>665</v>
      </c>
      <c r="C4" s="1856"/>
      <c r="D4" s="1856"/>
      <c r="E4" s="1856"/>
      <c r="F4" s="1856"/>
      <c r="G4" s="1854"/>
      <c r="H4" s="1854"/>
      <c r="I4" s="1854"/>
      <c r="J4" s="1854"/>
      <c r="K4" s="1854"/>
      <c r="L4" s="2942" t="str">
        <f>IF(Application!H18="","",Application!H18)</f>
        <v>Aloe Palm Canyon</v>
      </c>
      <c r="M4" s="2943"/>
      <c r="N4" s="2943"/>
      <c r="O4" s="2943"/>
      <c r="P4" s="2943"/>
      <c r="Q4" s="2943"/>
      <c r="R4" s="2943"/>
      <c r="S4" s="2943"/>
      <c r="T4" s="2943"/>
      <c r="U4" s="2943"/>
      <c r="V4" s="2943"/>
      <c r="W4" s="2943"/>
      <c r="X4" s="2943"/>
      <c r="Y4" s="2943"/>
      <c r="Z4" s="2943"/>
      <c r="AA4" s="2943"/>
      <c r="AB4" s="2943"/>
      <c r="AC4" s="2944"/>
      <c r="AD4" s="1854"/>
      <c r="AE4" s="1854"/>
      <c r="AF4" s="2956" t="s">
        <v>2559</v>
      </c>
      <c r="AG4" s="2956"/>
      <c r="AH4" s="2956"/>
      <c r="AI4" s="2956"/>
      <c r="AJ4" s="2956"/>
      <c r="AK4" s="2956"/>
      <c r="AL4" s="2956"/>
      <c r="AM4" s="2956"/>
      <c r="AN4" s="2956"/>
      <c r="AO4" s="2956"/>
      <c r="AP4" s="2957">
        <v>45017</v>
      </c>
      <c r="AQ4" s="2958"/>
      <c r="AR4" s="2958"/>
      <c r="AS4" s="2958"/>
      <c r="AT4" s="2958"/>
      <c r="AU4" s="2958"/>
      <c r="AV4" s="1854"/>
      <c r="AW4" s="1854"/>
      <c r="AX4" s="1854"/>
      <c r="AY4" s="1854"/>
      <c r="AZ4" s="1854"/>
      <c r="BA4" s="1854"/>
      <c r="BB4" s="1854"/>
      <c r="BC4" s="1854"/>
      <c r="BD4" s="1854"/>
      <c r="BE4" s="1855"/>
    </row>
    <row r="5" spans="1:65" ht="15.75" customHeight="1" thickBot="1">
      <c r="A5" s="1853"/>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2956" t="s">
        <v>2560</v>
      </c>
      <c r="AG5" s="2956"/>
      <c r="AH5" s="2956"/>
      <c r="AI5" s="2956"/>
      <c r="AJ5" s="2956"/>
      <c r="AK5" s="2956"/>
      <c r="AL5" s="2956"/>
      <c r="AM5" s="2956"/>
      <c r="AN5" s="2956"/>
      <c r="AO5" s="2956"/>
      <c r="AP5" s="2957">
        <v>45017</v>
      </c>
      <c r="AQ5" s="2958"/>
      <c r="AR5" s="2958"/>
      <c r="AS5" s="2958"/>
      <c r="AT5" s="2958"/>
      <c r="AU5" s="2958"/>
      <c r="AV5" s="1854"/>
      <c r="AW5" s="1854"/>
      <c r="AX5" s="1854"/>
      <c r="AY5" s="1854"/>
      <c r="AZ5" s="1854"/>
      <c r="BA5" s="1854"/>
      <c r="BB5" s="1854"/>
      <c r="BC5" s="1854"/>
      <c r="BD5" s="1854"/>
      <c r="BE5" s="1855"/>
    </row>
    <row r="6" spans="1:65" ht="15.75" customHeight="1" thickBot="1">
      <c r="A6" s="1853"/>
      <c r="B6" s="1856" t="s">
        <v>1856</v>
      </c>
      <c r="C6" s="1854"/>
      <c r="D6" s="1854"/>
      <c r="E6" s="1854"/>
      <c r="F6" s="1854"/>
      <c r="G6" s="1854"/>
      <c r="H6" s="1854"/>
      <c r="I6" s="1854"/>
      <c r="J6" s="1854"/>
      <c r="K6" s="1854"/>
      <c r="L6" s="2942" t="str">
        <f>IF(Application!H16="","",Application!H16)</f>
        <v>Aloe Palm Canyon, L.P.</v>
      </c>
      <c r="M6" s="2943"/>
      <c r="N6" s="2943"/>
      <c r="O6" s="2943"/>
      <c r="P6" s="2943"/>
      <c r="Q6" s="2943"/>
      <c r="R6" s="2943"/>
      <c r="S6" s="2943"/>
      <c r="T6" s="2943"/>
      <c r="U6" s="2943"/>
      <c r="V6" s="2943"/>
      <c r="W6" s="2943"/>
      <c r="X6" s="2943"/>
      <c r="Y6" s="2943"/>
      <c r="Z6" s="2943"/>
      <c r="AA6" s="2943"/>
      <c r="AB6" s="2943"/>
      <c r="AC6" s="2944"/>
      <c r="AD6" s="1854"/>
      <c r="AE6" s="1854"/>
      <c r="AF6" s="2945" t="s">
        <v>2561</v>
      </c>
      <c r="AG6" s="2945"/>
      <c r="AH6" s="2945"/>
      <c r="AI6" s="2945"/>
      <c r="AJ6" s="2945"/>
      <c r="AK6" s="2945"/>
      <c r="AL6" s="2945"/>
      <c r="AM6" s="2945"/>
      <c r="AN6" s="2945"/>
      <c r="AO6" s="2945"/>
      <c r="AP6" s="2946">
        <v>0</v>
      </c>
      <c r="AQ6" s="2946"/>
      <c r="AR6" s="2946"/>
      <c r="AS6" s="2946"/>
      <c r="AT6" s="2946"/>
      <c r="AU6" s="2946"/>
      <c r="AV6" s="1854"/>
      <c r="AW6" s="1854"/>
      <c r="AX6" s="1854"/>
      <c r="AY6" s="1854"/>
      <c r="AZ6" s="1854"/>
      <c r="BA6" s="1854"/>
      <c r="BB6" s="1854"/>
      <c r="BC6" s="1854"/>
      <c r="BD6" s="1854"/>
      <c r="BE6" s="1855"/>
    </row>
    <row r="7" spans="1:65" thickBot="1">
      <c r="A7" s="1853"/>
      <c r="B7" s="1854"/>
      <c r="C7" s="1854"/>
      <c r="D7" s="1854"/>
      <c r="E7" s="1854"/>
      <c r="F7" s="1854"/>
      <c r="G7" s="1854"/>
      <c r="H7" s="1854"/>
      <c r="I7" s="1854"/>
      <c r="J7" s="1854"/>
      <c r="K7" s="1854"/>
      <c r="L7" s="1854"/>
      <c r="M7" s="1854"/>
      <c r="N7" s="1854"/>
      <c r="O7" s="1854"/>
      <c r="P7" s="1854"/>
      <c r="Q7" s="1854"/>
      <c r="R7" s="1854"/>
      <c r="S7" s="1854"/>
      <c r="T7" s="1854"/>
      <c r="U7" s="1854"/>
      <c r="V7" s="1854"/>
      <c r="W7" s="1854"/>
      <c r="X7" s="1854"/>
      <c r="Y7" s="1854"/>
      <c r="Z7" s="1854"/>
      <c r="AA7" s="1854"/>
      <c r="AB7" s="1854"/>
      <c r="AC7" s="1854"/>
      <c r="AD7" s="1854"/>
      <c r="AE7" s="1854"/>
      <c r="AF7" s="2945" t="s">
        <v>2562</v>
      </c>
      <c r="AG7" s="2945"/>
      <c r="AH7" s="2945"/>
      <c r="AI7" s="2945"/>
      <c r="AJ7" s="2945"/>
      <c r="AK7" s="2945"/>
      <c r="AL7" s="2945"/>
      <c r="AM7" s="2945"/>
      <c r="AN7" s="2945"/>
      <c r="AO7" s="2945"/>
      <c r="AP7" s="2946">
        <v>0</v>
      </c>
      <c r="AQ7" s="2946"/>
      <c r="AR7" s="2946"/>
      <c r="AS7" s="2946"/>
      <c r="AT7" s="2946"/>
      <c r="AU7" s="2946"/>
      <c r="AV7" s="1854"/>
      <c r="AW7" s="1854"/>
      <c r="AX7" s="1854"/>
      <c r="AY7" s="1854"/>
      <c r="AZ7" s="1854"/>
      <c r="BA7" s="1854"/>
      <c r="BB7" s="1854"/>
      <c r="BC7" s="1854"/>
      <c r="BD7" s="1854"/>
      <c r="BE7" s="1855"/>
    </row>
    <row r="8" spans="1:65" thickBot="1">
      <c r="A8" s="1853"/>
      <c r="B8" s="1856" t="s">
        <v>1857</v>
      </c>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2947" t="str">
        <f>Application!T196</f>
        <v>No</v>
      </c>
      <c r="AC8" s="2948"/>
      <c r="AD8" s="2949"/>
      <c r="AE8" s="1854"/>
      <c r="AF8" s="2945" t="s">
        <v>2563</v>
      </c>
      <c r="AG8" s="2945"/>
      <c r="AH8" s="2945"/>
      <c r="AI8" s="2945"/>
      <c r="AJ8" s="2945"/>
      <c r="AK8" s="2945"/>
      <c r="AL8" s="2945"/>
      <c r="AM8" s="2945"/>
      <c r="AN8" s="2945"/>
      <c r="AO8" s="2945"/>
      <c r="AP8" s="2946" t="s">
        <v>2515</v>
      </c>
      <c r="AQ8" s="2946"/>
      <c r="AR8" s="2946"/>
      <c r="AS8" s="2946"/>
      <c r="AT8" s="2946"/>
      <c r="AU8" s="2946"/>
      <c r="AV8" s="1854"/>
      <c r="AW8" s="1854"/>
      <c r="AX8" s="1854"/>
      <c r="AY8" s="1854"/>
      <c r="AZ8" s="1854"/>
      <c r="BA8" s="1854"/>
      <c r="BB8" s="1854"/>
      <c r="BC8" s="1854"/>
      <c r="BD8" s="1854"/>
      <c r="BE8" s="1855"/>
      <c r="BM8" s="1851" t="s">
        <v>2366</v>
      </c>
    </row>
    <row r="9" spans="1:65" ht="15">
      <c r="A9" s="1854"/>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7"/>
      <c r="AR9" s="1857"/>
      <c r="AS9" s="1854"/>
      <c r="AT9" s="1854"/>
      <c r="AU9" s="1854"/>
      <c r="AV9" s="1854"/>
      <c r="AW9" s="1854"/>
      <c r="AX9" s="1854"/>
      <c r="AY9" s="1854"/>
      <c r="AZ9" s="1854"/>
      <c r="BA9" s="1854"/>
      <c r="BB9" s="1854"/>
      <c r="BC9" s="1854"/>
      <c r="BD9" s="1854"/>
      <c r="BE9" s="1855"/>
      <c r="BM9" s="1851" t="s">
        <v>2564</v>
      </c>
    </row>
    <row r="10" spans="1:65" ht="15">
      <c r="A10" s="1853"/>
      <c r="B10" s="1856" t="s">
        <v>1858</v>
      </c>
      <c r="C10" s="1856"/>
      <c r="D10" s="1856"/>
      <c r="E10" s="1856"/>
      <c r="F10" s="1856"/>
      <c r="G10" s="1856"/>
      <c r="H10" s="1856"/>
      <c r="I10" s="1856"/>
      <c r="J10" s="1856"/>
      <c r="K10" s="1856"/>
      <c r="L10" s="1856"/>
      <c r="M10" s="1854"/>
      <c r="N10" s="2973">
        <f>Application!AO623</f>
        <v>5321000</v>
      </c>
      <c r="O10" s="2973"/>
      <c r="P10" s="2973"/>
      <c r="Q10" s="2973"/>
      <c r="R10" s="2973"/>
      <c r="S10" s="2973"/>
      <c r="T10" s="2973"/>
      <c r="U10" s="1854"/>
      <c r="V10" s="1854"/>
      <c r="W10" s="1854"/>
      <c r="X10" s="2959" t="s">
        <v>2565</v>
      </c>
      <c r="Y10" s="2959"/>
      <c r="Z10" s="2959"/>
      <c r="AA10" s="2959"/>
      <c r="AB10" s="2959"/>
      <c r="AC10" s="2959"/>
      <c r="AD10" s="2959"/>
      <c r="AE10" s="2959"/>
      <c r="AF10" s="2959"/>
      <c r="AG10" s="2959"/>
      <c r="AH10" s="2959"/>
      <c r="AI10" s="2959"/>
      <c r="AJ10" s="2959"/>
      <c r="AK10" s="2959"/>
      <c r="AL10" s="2974">
        <f>Application!W471</f>
        <v>69</v>
      </c>
      <c r="AM10" s="2975"/>
      <c r="AN10" s="2975"/>
      <c r="AO10" s="2975"/>
      <c r="AP10" s="2975"/>
      <c r="AQ10" s="1857"/>
      <c r="AR10" s="1857"/>
      <c r="AS10" s="1857"/>
      <c r="AT10" s="1857"/>
      <c r="AU10" s="1857"/>
      <c r="AV10" s="1857"/>
      <c r="AW10" s="1857"/>
      <c r="AX10" s="1854"/>
      <c r="AY10" s="1854"/>
      <c r="AZ10" s="1854"/>
      <c r="BA10" s="1854"/>
      <c r="BB10" s="1854"/>
      <c r="BC10" s="1854"/>
      <c r="BD10" s="1854"/>
      <c r="BE10" s="1855"/>
      <c r="BM10" s="1851" t="s">
        <v>2566</v>
      </c>
    </row>
    <row r="11" spans="1:65" ht="15">
      <c r="A11" s="1853"/>
      <c r="B11" s="1856" t="s">
        <v>1859</v>
      </c>
      <c r="C11" s="1856"/>
      <c r="D11" s="1856"/>
      <c r="E11" s="1856"/>
      <c r="F11" s="1856"/>
      <c r="G11" s="1856"/>
      <c r="H11" s="1856"/>
      <c r="I11" s="1856"/>
      <c r="J11" s="1856"/>
      <c r="K11" s="1856"/>
      <c r="L11" s="1856"/>
      <c r="M11" s="1854"/>
      <c r="N11" s="2973">
        <f>Application!AA911</f>
        <v>0</v>
      </c>
      <c r="O11" s="2973"/>
      <c r="P11" s="2973"/>
      <c r="Q11" s="2973"/>
      <c r="R11" s="2973"/>
      <c r="S11" s="2973"/>
      <c r="T11" s="2973"/>
      <c r="U11" s="1854"/>
      <c r="V11" s="1854"/>
      <c r="W11" s="1854"/>
      <c r="X11" s="2976" t="s">
        <v>2567</v>
      </c>
      <c r="Y11" s="2976"/>
      <c r="Z11" s="2976"/>
      <c r="AA11" s="2976"/>
      <c r="AB11" s="2976"/>
      <c r="AC11" s="2976"/>
      <c r="AD11" s="2976"/>
      <c r="AE11" s="2976"/>
      <c r="AF11" s="2976"/>
      <c r="AG11" s="2976"/>
      <c r="AH11" s="2976"/>
      <c r="AI11" s="2976"/>
      <c r="AJ11" s="2976"/>
      <c r="AK11" s="2976"/>
      <c r="AL11" s="2960">
        <v>44963</v>
      </c>
      <c r="AM11" s="2961"/>
      <c r="AN11" s="2961"/>
      <c r="AO11" s="2961"/>
      <c r="AP11" s="2961"/>
      <c r="AQ11" s="1858"/>
      <c r="AR11" s="1859"/>
      <c r="AS11" s="1857"/>
      <c r="AT11" s="1857"/>
      <c r="AU11" s="1857"/>
      <c r="AV11" s="1857"/>
      <c r="AW11" s="1857"/>
      <c r="AX11" s="1854"/>
      <c r="AY11" s="1854"/>
      <c r="AZ11" s="1854"/>
      <c r="BA11" s="1854"/>
      <c r="BB11" s="1854"/>
      <c r="BC11" s="1854"/>
      <c r="BD11" s="1854"/>
      <c r="BE11" s="1855"/>
      <c r="BM11" s="1851" t="s">
        <v>2515</v>
      </c>
    </row>
    <row r="12" spans="1:65" thickBot="1">
      <c r="A12" s="1854"/>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2959" t="s">
        <v>2568</v>
      </c>
      <c r="Y12" s="2959"/>
      <c r="Z12" s="2959"/>
      <c r="AA12" s="2959"/>
      <c r="AB12" s="2959"/>
      <c r="AC12" s="2959"/>
      <c r="AD12" s="2959"/>
      <c r="AE12" s="2959"/>
      <c r="AF12" s="2959"/>
      <c r="AG12" s="2959"/>
      <c r="AH12" s="2959"/>
      <c r="AI12" s="2959"/>
      <c r="AJ12" s="2959"/>
      <c r="AK12" s="2959"/>
      <c r="AL12" s="2960">
        <v>44963</v>
      </c>
      <c r="AM12" s="2961"/>
      <c r="AN12" s="2961"/>
      <c r="AO12" s="2961"/>
      <c r="AP12" s="2961"/>
      <c r="AQ12" s="1857"/>
      <c r="AR12" s="1857"/>
      <c r="AS12" s="1857"/>
      <c r="AT12" s="1857"/>
      <c r="AU12" s="1857"/>
      <c r="AV12" s="1854"/>
      <c r="AW12" s="1854"/>
      <c r="AX12" s="1854"/>
      <c r="AY12" s="1854"/>
      <c r="AZ12" s="1854"/>
      <c r="BA12" s="1854"/>
      <c r="BB12" s="1854"/>
      <c r="BC12" s="1854"/>
      <c r="BD12" s="1854"/>
      <c r="BE12" s="1860"/>
      <c r="BM12" s="1851" t="s">
        <v>2569</v>
      </c>
    </row>
    <row r="13" spans="1:65" thickBot="1">
      <c r="A13" s="1854"/>
      <c r="B13" s="2962" t="s">
        <v>1860</v>
      </c>
      <c r="C13" s="2963"/>
      <c r="D13" s="2963"/>
      <c r="E13" s="2963"/>
      <c r="F13" s="2963"/>
      <c r="G13" s="2963"/>
      <c r="H13" s="2963"/>
      <c r="I13" s="2963"/>
      <c r="J13" s="2963"/>
      <c r="K13" s="2963"/>
      <c r="L13" s="2963"/>
      <c r="M13" s="2963"/>
      <c r="N13" s="2963"/>
      <c r="O13" s="2963"/>
      <c r="P13" s="2964"/>
      <c r="Q13" s="2965" t="s">
        <v>678</v>
      </c>
      <c r="R13" s="2966"/>
      <c r="S13" s="2966"/>
      <c r="T13" s="2967"/>
      <c r="U13" s="1857"/>
      <c r="V13" s="1854"/>
      <c r="W13" s="1854"/>
      <c r="X13" s="1854"/>
      <c r="Y13" s="1854"/>
      <c r="Z13" s="1854"/>
      <c r="AA13" s="1857"/>
      <c r="AB13" s="1857"/>
      <c r="AC13" s="1857"/>
      <c r="AD13" s="1857"/>
      <c r="AE13" s="1857"/>
      <c r="AF13" s="1857"/>
      <c r="AG13" s="1857"/>
      <c r="AH13" s="1857"/>
      <c r="AI13" s="1857"/>
      <c r="AJ13" s="1857"/>
      <c r="AK13" s="1857"/>
      <c r="AL13" s="1857"/>
      <c r="AM13" s="1857"/>
      <c r="AN13" s="1857"/>
      <c r="AO13" s="1857"/>
      <c r="AP13" s="1857"/>
      <c r="AQ13" s="1857"/>
      <c r="AR13" s="1857"/>
      <c r="AS13" s="1857"/>
      <c r="AT13" s="1857"/>
      <c r="AU13" s="1857"/>
      <c r="AV13" s="1857"/>
      <c r="AW13" s="1857"/>
      <c r="AX13" s="1857"/>
      <c r="AY13" s="1857"/>
      <c r="AZ13" s="1857"/>
      <c r="BA13" s="1857"/>
      <c r="BB13" s="1857"/>
      <c r="BC13" s="1857"/>
      <c r="BD13" s="1857"/>
      <c r="BE13" s="1860"/>
      <c r="BM13" s="1851" t="s">
        <v>2570</v>
      </c>
    </row>
    <row r="14" spans="1:65"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7"/>
      <c r="AB14" s="1857"/>
      <c r="AC14" s="1857"/>
      <c r="AD14" s="1857"/>
      <c r="AE14" s="1857"/>
      <c r="AF14" s="1857"/>
      <c r="AG14" s="1857"/>
      <c r="AH14" s="1857"/>
      <c r="AI14" s="1857"/>
      <c r="AJ14" s="1857"/>
      <c r="AK14" s="1857"/>
      <c r="AL14" s="1857"/>
      <c r="AM14" s="1857"/>
      <c r="AN14" s="1857"/>
      <c r="AO14" s="1857"/>
      <c r="AP14" s="1857"/>
      <c r="AQ14" s="1857"/>
      <c r="AR14" s="1857"/>
      <c r="AS14" s="1857"/>
      <c r="AT14" s="1857"/>
      <c r="AU14" s="1857"/>
      <c r="AV14" s="1857"/>
      <c r="AW14" s="1857"/>
      <c r="AX14" s="1857"/>
      <c r="AY14" s="1857"/>
      <c r="AZ14" s="1857"/>
      <c r="BA14" s="1857"/>
      <c r="BB14" s="1857"/>
      <c r="BC14" s="1857"/>
      <c r="BD14" s="1857"/>
      <c r="BE14" s="1860"/>
    </row>
    <row r="15" spans="1:65" thickBot="1">
      <c r="A15" s="1854"/>
      <c r="B15" s="2968" t="s">
        <v>1861</v>
      </c>
      <c r="C15" s="2969"/>
      <c r="D15" s="2969"/>
      <c r="E15" s="2969"/>
      <c r="F15" s="2969"/>
      <c r="G15" s="2969"/>
      <c r="H15" s="2969"/>
      <c r="I15" s="2969"/>
      <c r="J15" s="2969"/>
      <c r="K15" s="2969"/>
      <c r="L15" s="2969"/>
      <c r="M15" s="2969"/>
      <c r="N15" s="2969"/>
      <c r="O15" s="2969"/>
      <c r="P15" s="2969"/>
      <c r="Q15" s="2969"/>
      <c r="R15" s="2970"/>
      <c r="S15" s="2971">
        <f>IF(Application!AB214="","",Application!AB214)</f>
        <v>62</v>
      </c>
      <c r="T15" s="2971"/>
      <c r="U15" s="2971"/>
      <c r="V15" s="2971"/>
      <c r="W15" s="2972"/>
      <c r="X15" s="1857"/>
      <c r="Y15" s="1854"/>
      <c r="Z15" s="1854"/>
      <c r="AA15" s="1857"/>
      <c r="AB15" s="1857"/>
      <c r="AC15" s="1857"/>
      <c r="AD15" s="1857"/>
      <c r="AE15" s="1857"/>
      <c r="AF15" s="1857"/>
      <c r="AG15" s="1857"/>
      <c r="AH15" s="1857"/>
      <c r="AI15" s="1857"/>
      <c r="AJ15" s="1857"/>
      <c r="AK15" s="1857"/>
      <c r="AL15" s="1857"/>
      <c r="AM15" s="1857"/>
      <c r="AN15" s="1857"/>
      <c r="AO15" s="1857"/>
      <c r="AP15" s="1857"/>
      <c r="AQ15" s="1857"/>
      <c r="AR15" s="1857"/>
      <c r="AS15" s="1857"/>
      <c r="AT15" s="1857"/>
      <c r="AU15" s="1857"/>
      <c r="AV15" s="1857"/>
      <c r="AW15" s="1857"/>
      <c r="AX15" s="1857"/>
      <c r="AY15" s="1857"/>
      <c r="AZ15" s="1857"/>
      <c r="BA15" s="1857"/>
      <c r="BB15" s="1857"/>
      <c r="BC15" s="1857"/>
      <c r="BD15" s="1857"/>
      <c r="BE15" s="1860"/>
    </row>
    <row r="16" spans="1:65" thickBot="1">
      <c r="A16" s="1853"/>
      <c r="B16" s="1854"/>
      <c r="C16" s="1854"/>
      <c r="D16" s="1854"/>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c r="AP16" s="1854"/>
      <c r="AQ16" s="1854"/>
      <c r="AR16" s="1854"/>
      <c r="AS16" s="1854"/>
      <c r="AT16" s="1854"/>
      <c r="AU16" s="1854"/>
      <c r="AV16" s="1854"/>
      <c r="AW16" s="1854"/>
      <c r="AX16" s="1854"/>
      <c r="AY16" s="1854"/>
      <c r="AZ16" s="1854"/>
      <c r="BA16" s="1854"/>
      <c r="BB16" s="1854"/>
      <c r="BC16" s="1854"/>
      <c r="BD16" s="1854"/>
      <c r="BE16" s="1860"/>
    </row>
    <row r="17" spans="1:58" ht="15">
      <c r="A17" s="1854"/>
      <c r="B17" s="2977" t="s">
        <v>1862</v>
      </c>
      <c r="C17" s="2978"/>
      <c r="D17" s="2978"/>
      <c r="E17" s="2978"/>
      <c r="F17" s="2978"/>
      <c r="G17" s="2978"/>
      <c r="H17" s="2978"/>
      <c r="I17" s="2978"/>
      <c r="J17" s="2978"/>
      <c r="K17" s="2978"/>
      <c r="L17" s="2978"/>
      <c r="M17" s="2978"/>
      <c r="N17" s="2978"/>
      <c r="O17" s="2978"/>
      <c r="P17" s="2978"/>
      <c r="Q17" s="2978"/>
      <c r="R17" s="2978"/>
      <c r="S17" s="2978"/>
      <c r="T17" s="2978"/>
      <c r="U17" s="2978"/>
      <c r="V17" s="2978"/>
      <c r="W17" s="2978"/>
      <c r="X17" s="2978"/>
      <c r="Y17" s="2978"/>
      <c r="Z17" s="2978"/>
      <c r="AA17" s="2978"/>
      <c r="AB17" s="2978"/>
      <c r="AC17" s="2978"/>
      <c r="AD17" s="2978"/>
      <c r="AE17" s="2978"/>
      <c r="AF17" s="2978"/>
      <c r="AG17" s="2978"/>
      <c r="AH17" s="2978"/>
      <c r="AI17" s="2978"/>
      <c r="AJ17" s="2978"/>
      <c r="AK17" s="2978"/>
      <c r="AL17" s="2978"/>
      <c r="AM17" s="2978"/>
      <c r="AN17" s="2978"/>
      <c r="AO17" s="2978"/>
      <c r="AP17" s="2978"/>
      <c r="AQ17" s="2978"/>
      <c r="AR17" s="2978"/>
      <c r="AS17" s="2978"/>
      <c r="AT17" s="2978"/>
      <c r="AU17" s="2978"/>
      <c r="AV17" s="2978"/>
      <c r="AW17" s="2978"/>
      <c r="AX17" s="2978"/>
      <c r="AY17" s="2979"/>
      <c r="AZ17" s="1854"/>
      <c r="BA17" s="1854"/>
      <c r="BB17" s="1854"/>
      <c r="BC17" s="1854"/>
      <c r="BD17" s="1854"/>
      <c r="BE17" s="1860"/>
      <c r="BF17" s="1852"/>
    </row>
    <row r="18" spans="1:58" ht="15.75" customHeight="1">
      <c r="A18" s="1854"/>
      <c r="B18" s="2980" t="s">
        <v>1863</v>
      </c>
      <c r="C18" s="2981"/>
      <c r="D18" s="2981"/>
      <c r="E18" s="2981"/>
      <c r="F18" s="2981"/>
      <c r="G18" s="2981"/>
      <c r="H18" s="2981"/>
      <c r="I18" s="2982"/>
      <c r="J18" s="2983" t="s">
        <v>1762</v>
      </c>
      <c r="K18" s="2984"/>
      <c r="L18" s="2984"/>
      <c r="M18" s="2984"/>
      <c r="N18" s="2984"/>
      <c r="O18" s="2985"/>
      <c r="P18" s="2983" t="s">
        <v>325</v>
      </c>
      <c r="Q18" s="2984"/>
      <c r="R18" s="2984"/>
      <c r="S18" s="2984"/>
      <c r="T18" s="2984"/>
      <c r="U18" s="2985"/>
      <c r="V18" s="2983" t="s">
        <v>326</v>
      </c>
      <c r="W18" s="2984"/>
      <c r="X18" s="2984"/>
      <c r="Y18" s="2984"/>
      <c r="Z18" s="2984"/>
      <c r="AA18" s="2985"/>
      <c r="AB18" s="2983" t="s">
        <v>164</v>
      </c>
      <c r="AC18" s="2984"/>
      <c r="AD18" s="2984"/>
      <c r="AE18" s="2984"/>
      <c r="AF18" s="2984"/>
      <c r="AG18" s="2985"/>
      <c r="AH18" s="2983" t="s">
        <v>165</v>
      </c>
      <c r="AI18" s="2984"/>
      <c r="AJ18" s="2984"/>
      <c r="AK18" s="2984"/>
      <c r="AL18" s="2984"/>
      <c r="AM18" s="2985"/>
      <c r="AN18" s="2983" t="s">
        <v>166</v>
      </c>
      <c r="AO18" s="2984"/>
      <c r="AP18" s="2984"/>
      <c r="AQ18" s="2984"/>
      <c r="AR18" s="2984"/>
      <c r="AS18" s="2985"/>
      <c r="AT18" s="2983" t="s">
        <v>1864</v>
      </c>
      <c r="AU18" s="2984"/>
      <c r="AV18" s="2984"/>
      <c r="AW18" s="2984"/>
      <c r="AX18" s="2984"/>
      <c r="AY18" s="2986"/>
      <c r="AZ18" s="1854"/>
      <c r="BA18" s="1854"/>
      <c r="BB18" s="1854"/>
      <c r="BC18" s="1854"/>
      <c r="BD18" s="1854"/>
      <c r="BE18" s="1860"/>
    </row>
    <row r="19" spans="1:58" ht="15">
      <c r="A19" s="1854"/>
      <c r="B19" s="2993">
        <v>0.3</v>
      </c>
      <c r="C19" s="2994"/>
      <c r="D19" s="2994"/>
      <c r="E19" s="2994"/>
      <c r="F19" s="2994"/>
      <c r="G19" s="2994"/>
      <c r="H19" s="2994"/>
      <c r="I19" s="2995"/>
      <c r="J19" s="2987">
        <f>SUM(P19:AS19)</f>
        <v>7</v>
      </c>
      <c r="K19" s="2988"/>
      <c r="L19" s="2988"/>
      <c r="M19" s="2988"/>
      <c r="N19" s="2988"/>
      <c r="O19" s="2989"/>
      <c r="P19" s="2987" cm="1">
        <f t="array" ref="P19">SUMPRODUCT((Application!$B$714:$B$738 = 'CalHFA Addendum'!P$18)*(Application!$AC$714:$AC$738 = 'CalHFA Addendum'!$B19),Application!$G$714:$G$738)</f>
        <v>0</v>
      </c>
      <c r="Q19" s="2988"/>
      <c r="R19" s="2988"/>
      <c r="S19" s="2988"/>
      <c r="T19" s="2988"/>
      <c r="U19" s="2989"/>
      <c r="V19" s="2987" cm="1">
        <f t="array" ref="V19">SUMPRODUCT((Application!$B$714:$B$738 = 'CalHFA Addendum'!V$18)*(Application!$AC$714:$AC$738 = 'CalHFA Addendum'!$B19),Application!$G$714:$G$738)</f>
        <v>7</v>
      </c>
      <c r="W19" s="2988"/>
      <c r="X19" s="2988"/>
      <c r="Y19" s="2988"/>
      <c r="Z19" s="2988"/>
      <c r="AA19" s="2989"/>
      <c r="AB19" s="2987" cm="1">
        <f t="array" ref="AB19">SUMPRODUCT((Application!$B$714:$B$738 = 'CalHFA Addendum'!AB$18)*(Application!$AC$714:$AC$738 = 'CalHFA Addendum'!$B19),Application!$G$714:$G$738)</f>
        <v>0</v>
      </c>
      <c r="AC19" s="2988"/>
      <c r="AD19" s="2988"/>
      <c r="AE19" s="2988"/>
      <c r="AF19" s="2988"/>
      <c r="AG19" s="2989"/>
      <c r="AH19" s="2987" cm="1">
        <f t="array" ref="AH19">SUMPRODUCT((Application!$B$714:$B$738 = 'CalHFA Addendum'!AH$18)*(Application!$AC$714:$AC$738 = 'CalHFA Addendum'!$B19),Application!$G$714:$G$738)</f>
        <v>0</v>
      </c>
      <c r="AI19" s="2988"/>
      <c r="AJ19" s="2988"/>
      <c r="AK19" s="2988"/>
      <c r="AL19" s="2988"/>
      <c r="AM19" s="2989"/>
      <c r="AN19" s="2987" cm="1">
        <f t="array" ref="AN19">SUMPRODUCT((Application!$B$714:$B$738 = 'CalHFA Addendum'!AN$18)*(Application!$AC$714:$AC$738 = 'CalHFA Addendum'!$B19),Application!$G$714:$G$738)</f>
        <v>0</v>
      </c>
      <c r="AO19" s="2988"/>
      <c r="AP19" s="2988"/>
      <c r="AQ19" s="2988"/>
      <c r="AR19" s="2988"/>
      <c r="AS19" s="2989"/>
      <c r="AT19" s="2990">
        <f t="shared" ref="AT19:AT28" si="0">J19/$J$29</f>
        <v>0.15217391304347827</v>
      </c>
      <c r="AU19" s="2991"/>
      <c r="AV19" s="2991"/>
      <c r="AW19" s="2991"/>
      <c r="AX19" s="2991"/>
      <c r="AY19" s="2992"/>
      <c r="AZ19" s="1861"/>
      <c r="BA19" s="1854"/>
      <c r="BB19" s="1854"/>
      <c r="BC19" s="1854"/>
      <c r="BD19" s="1854"/>
      <c r="BE19" s="1860"/>
    </row>
    <row r="20" spans="1:58" ht="15" customHeight="1">
      <c r="A20" s="1854"/>
      <c r="B20" s="2993">
        <v>0.4</v>
      </c>
      <c r="C20" s="2994"/>
      <c r="D20" s="2994"/>
      <c r="E20" s="2994"/>
      <c r="F20" s="2994"/>
      <c r="G20" s="2994"/>
      <c r="H20" s="2994"/>
      <c r="I20" s="2995"/>
      <c r="J20" s="2987">
        <f t="shared" ref="J20:J28" si="1">SUM(P20:AS20)</f>
        <v>0</v>
      </c>
      <c r="K20" s="2988"/>
      <c r="L20" s="2988"/>
      <c r="M20" s="2988"/>
      <c r="N20" s="2988"/>
      <c r="O20" s="2989"/>
      <c r="P20" s="2987" cm="1">
        <f t="array" ref="P20">SUMPRODUCT((Application!$B$714:$B$738 = 'CalHFA Addendum'!P$18)*(Application!$AC$714:$AC$738 = 'CalHFA Addendum'!$B20),Application!$G$714:$G$738)</f>
        <v>0</v>
      </c>
      <c r="Q20" s="2988"/>
      <c r="R20" s="2988"/>
      <c r="S20" s="2988"/>
      <c r="T20" s="2988"/>
      <c r="U20" s="2989"/>
      <c r="V20" s="2987" cm="1">
        <f t="array" ref="V20">SUMPRODUCT((Application!$B$714:$B$738 = 'CalHFA Addendum'!V$18)*(Application!$AC$714:$AC$738 = 'CalHFA Addendum'!$B20),Application!$G$714:$G$738)</f>
        <v>0</v>
      </c>
      <c r="W20" s="2988"/>
      <c r="X20" s="2988"/>
      <c r="Y20" s="2988"/>
      <c r="Z20" s="2988"/>
      <c r="AA20" s="2989"/>
      <c r="AB20" s="2987" cm="1">
        <f t="array" ref="AB20">SUMPRODUCT((Application!$B$714:$B$738 = 'CalHFA Addendum'!AB$18)*(Application!$AC$714:$AC$738 = 'CalHFA Addendum'!$B20),Application!$G$714:$G$738)</f>
        <v>0</v>
      </c>
      <c r="AC20" s="2988"/>
      <c r="AD20" s="2988"/>
      <c r="AE20" s="2988"/>
      <c r="AF20" s="2988"/>
      <c r="AG20" s="2989"/>
      <c r="AH20" s="2987" cm="1">
        <f t="array" ref="AH20">SUMPRODUCT((Application!$B$714:$B$738 = 'CalHFA Addendum'!AH$18)*(Application!$AC$714:$AC$738 = 'CalHFA Addendum'!$B20),Application!$G$714:$G$738)</f>
        <v>0</v>
      </c>
      <c r="AI20" s="2988"/>
      <c r="AJ20" s="2988"/>
      <c r="AK20" s="2988"/>
      <c r="AL20" s="2988"/>
      <c r="AM20" s="2989"/>
      <c r="AN20" s="2987" cm="1">
        <f t="array" ref="AN20">SUMPRODUCT((Application!$B$714:$B$738 = 'CalHFA Addendum'!AN$18)*(Application!$AC$714:$AC$738 = 'CalHFA Addendum'!$B20),Application!$G$714:$G$738)</f>
        <v>0</v>
      </c>
      <c r="AO20" s="2988"/>
      <c r="AP20" s="2988"/>
      <c r="AQ20" s="2988"/>
      <c r="AR20" s="2988"/>
      <c r="AS20" s="2989"/>
      <c r="AT20" s="2990">
        <f t="shared" si="0"/>
        <v>0</v>
      </c>
      <c r="AU20" s="2991"/>
      <c r="AV20" s="2991"/>
      <c r="AW20" s="2991"/>
      <c r="AX20" s="2991"/>
      <c r="AY20" s="2992"/>
      <c r="AZ20" s="1854"/>
      <c r="BA20" s="1854"/>
      <c r="BB20" s="1854"/>
      <c r="BC20" s="1854"/>
      <c r="BD20" s="1854"/>
      <c r="BE20" s="1860"/>
    </row>
    <row r="21" spans="1:58" ht="15">
      <c r="A21" s="1854"/>
      <c r="B21" s="2993">
        <v>0.5</v>
      </c>
      <c r="C21" s="2994"/>
      <c r="D21" s="2994"/>
      <c r="E21" s="2994"/>
      <c r="F21" s="2994"/>
      <c r="G21" s="2994"/>
      <c r="H21" s="2994"/>
      <c r="I21" s="2995"/>
      <c r="J21" s="2987">
        <f t="shared" si="1"/>
        <v>3</v>
      </c>
      <c r="K21" s="2988"/>
      <c r="L21" s="2988"/>
      <c r="M21" s="2988"/>
      <c r="N21" s="2988"/>
      <c r="O21" s="2989"/>
      <c r="P21" s="2987" cm="1">
        <f t="array" ref="P21">SUMPRODUCT((Application!$B$714:$B$738 = 'CalHFA Addendum'!P$18)*(Application!$AC$714:$AC$738 = 'CalHFA Addendum'!$B21),Application!$G$714:$G$738)</f>
        <v>0</v>
      </c>
      <c r="Q21" s="2988"/>
      <c r="R21" s="2988"/>
      <c r="S21" s="2988"/>
      <c r="T21" s="2988"/>
      <c r="U21" s="2989"/>
      <c r="V21" s="2987" cm="1">
        <f t="array" ref="V21">SUMPRODUCT((Application!$B$714:$B$738 = 'CalHFA Addendum'!V$18)*(Application!$AC$714:$AC$738 = 'CalHFA Addendum'!$B21),Application!$G$714:$G$738)</f>
        <v>3</v>
      </c>
      <c r="W21" s="2988"/>
      <c r="X21" s="2988"/>
      <c r="Y21" s="2988"/>
      <c r="Z21" s="2988"/>
      <c r="AA21" s="2989"/>
      <c r="AB21" s="2987" cm="1">
        <f t="array" ref="AB21">SUMPRODUCT((Application!$B$714:$B$738 = 'CalHFA Addendum'!AB$18)*(Application!$AC$714:$AC$738 = 'CalHFA Addendum'!$B21),Application!$G$714:$G$738)</f>
        <v>0</v>
      </c>
      <c r="AC21" s="2988"/>
      <c r="AD21" s="2988"/>
      <c r="AE21" s="2988"/>
      <c r="AF21" s="2988"/>
      <c r="AG21" s="2989"/>
      <c r="AH21" s="2987" cm="1">
        <f t="array" ref="AH21">SUMPRODUCT((Application!$B$714:$B$738 = 'CalHFA Addendum'!AH$18)*(Application!$AC$714:$AC$738 = 'CalHFA Addendum'!$B21),Application!$G$714:$G$738)</f>
        <v>0</v>
      </c>
      <c r="AI21" s="2988"/>
      <c r="AJ21" s="2988"/>
      <c r="AK21" s="2988"/>
      <c r="AL21" s="2988"/>
      <c r="AM21" s="2989"/>
      <c r="AN21" s="2987" cm="1">
        <f t="array" ref="AN21">SUMPRODUCT((Application!$B$714:$B$738 = 'CalHFA Addendum'!AN$18)*(Application!$AC$714:$AC$738 = 'CalHFA Addendum'!$B21),Application!$G$714:$G$738)</f>
        <v>0</v>
      </c>
      <c r="AO21" s="2988"/>
      <c r="AP21" s="2988"/>
      <c r="AQ21" s="2988"/>
      <c r="AR21" s="2988"/>
      <c r="AS21" s="2989"/>
      <c r="AT21" s="2990">
        <f t="shared" si="0"/>
        <v>6.5217391304347824E-2</v>
      </c>
      <c r="AU21" s="2991"/>
      <c r="AV21" s="2991"/>
      <c r="AW21" s="2991"/>
      <c r="AX21" s="2991"/>
      <c r="AY21" s="2992"/>
      <c r="AZ21" s="1854"/>
      <c r="BA21" s="1854"/>
      <c r="BB21" s="1854"/>
      <c r="BC21" s="1854"/>
      <c r="BD21" s="1854"/>
      <c r="BE21" s="1860"/>
    </row>
    <row r="22" spans="1:58" ht="15">
      <c r="A22" s="1854"/>
      <c r="B22" s="2993">
        <v>0.6</v>
      </c>
      <c r="C22" s="2994"/>
      <c r="D22" s="2994"/>
      <c r="E22" s="2994"/>
      <c r="F22" s="2994"/>
      <c r="G22" s="2994"/>
      <c r="H22" s="2994"/>
      <c r="I22" s="2995"/>
      <c r="J22" s="2987">
        <f t="shared" si="1"/>
        <v>12</v>
      </c>
      <c r="K22" s="2988"/>
      <c r="L22" s="2988"/>
      <c r="M22" s="2988"/>
      <c r="N22" s="2988"/>
      <c r="O22" s="2989"/>
      <c r="P22" s="2987" cm="1">
        <f t="array" ref="P22">SUMPRODUCT((Application!$B$714:$B$738 = 'CalHFA Addendum'!P$18)*(Application!$AC$714:$AC$738 = 'CalHFA Addendum'!$B22),Application!$G$714:$G$738)</f>
        <v>0</v>
      </c>
      <c r="Q22" s="2988"/>
      <c r="R22" s="2988"/>
      <c r="S22" s="2988"/>
      <c r="T22" s="2988"/>
      <c r="U22" s="2989"/>
      <c r="V22" s="2987" cm="1">
        <f t="array" ref="V22">SUMPRODUCT((Application!$B$714:$B$738 = 'CalHFA Addendum'!V$18)*(Application!$AC$714:$AC$738 = 'CalHFA Addendum'!$B22),Application!$G$714:$G$738)</f>
        <v>12</v>
      </c>
      <c r="W22" s="2988"/>
      <c r="X22" s="2988"/>
      <c r="Y22" s="2988"/>
      <c r="Z22" s="2988"/>
      <c r="AA22" s="2989"/>
      <c r="AB22" s="2987" cm="1">
        <f t="array" ref="AB22">SUMPRODUCT((Application!$B$714:$B$738 = 'CalHFA Addendum'!AB$18)*(Application!$AC$714:$AC$738 = 'CalHFA Addendum'!$B22),Application!$G$714:$G$738)</f>
        <v>0</v>
      </c>
      <c r="AC22" s="2988"/>
      <c r="AD22" s="2988"/>
      <c r="AE22" s="2988"/>
      <c r="AF22" s="2988"/>
      <c r="AG22" s="2989"/>
      <c r="AH22" s="2987" cm="1">
        <f t="array" ref="AH22">SUMPRODUCT((Application!$B$714:$B$738 = 'CalHFA Addendum'!AH$18)*(Application!$AC$714:$AC$738 = 'CalHFA Addendum'!$B22),Application!$G$714:$G$738)</f>
        <v>0</v>
      </c>
      <c r="AI22" s="2988"/>
      <c r="AJ22" s="2988"/>
      <c r="AK22" s="2988"/>
      <c r="AL22" s="2988"/>
      <c r="AM22" s="2989"/>
      <c r="AN22" s="2987" cm="1">
        <f t="array" ref="AN22">SUMPRODUCT((Application!$B$714:$B$738 = 'CalHFA Addendum'!AN$18)*(Application!$AC$714:$AC$738 = 'CalHFA Addendum'!$B22),Application!$G$714:$G$738)</f>
        <v>0</v>
      </c>
      <c r="AO22" s="2988"/>
      <c r="AP22" s="2988"/>
      <c r="AQ22" s="2988"/>
      <c r="AR22" s="2988"/>
      <c r="AS22" s="2989"/>
      <c r="AT22" s="2990">
        <f t="shared" si="0"/>
        <v>0.2608695652173913</v>
      </c>
      <c r="AU22" s="2991"/>
      <c r="AV22" s="2991"/>
      <c r="AW22" s="2991"/>
      <c r="AX22" s="2991"/>
      <c r="AY22" s="2992"/>
      <c r="AZ22" s="1854"/>
      <c r="BA22" s="1854"/>
      <c r="BB22" s="1854"/>
      <c r="BC22" s="1854"/>
      <c r="BD22" s="1854"/>
      <c r="BE22" s="1860"/>
    </row>
    <row r="23" spans="1:58" ht="15">
      <c r="A23" s="1854"/>
      <c r="B23" s="2993">
        <v>0.7</v>
      </c>
      <c r="C23" s="2994"/>
      <c r="D23" s="2994"/>
      <c r="E23" s="2994"/>
      <c r="F23" s="2994"/>
      <c r="G23" s="2994"/>
      <c r="H23" s="2994"/>
      <c r="I23" s="2995"/>
      <c r="J23" s="2987">
        <f t="shared" si="1"/>
        <v>0</v>
      </c>
      <c r="K23" s="2988"/>
      <c r="L23" s="2988"/>
      <c r="M23" s="2988"/>
      <c r="N23" s="2988"/>
      <c r="O23" s="2989"/>
      <c r="P23" s="2987" cm="1">
        <f t="array" ref="P23">SUMPRODUCT((Application!$B$714:$B$738 = 'CalHFA Addendum'!P$18)*(Application!$AC$714:$AC$738 = 'CalHFA Addendum'!$B23),Application!$G$714:$G$738)</f>
        <v>0</v>
      </c>
      <c r="Q23" s="2988"/>
      <c r="R23" s="2988"/>
      <c r="S23" s="2988"/>
      <c r="T23" s="2988"/>
      <c r="U23" s="2989"/>
      <c r="V23" s="2987" cm="1">
        <f t="array" ref="V23">SUMPRODUCT((Application!$B$714:$B$738 = 'CalHFA Addendum'!V$18)*(Application!$AC$714:$AC$738 = 'CalHFA Addendum'!$B23),Application!$G$714:$G$738)</f>
        <v>0</v>
      </c>
      <c r="W23" s="2988"/>
      <c r="X23" s="2988"/>
      <c r="Y23" s="2988"/>
      <c r="Z23" s="2988"/>
      <c r="AA23" s="2989"/>
      <c r="AB23" s="2987" cm="1">
        <f t="array" ref="AB23">SUMPRODUCT((Application!$B$714:$B$738 = 'CalHFA Addendum'!AB$18)*(Application!$AC$714:$AC$738 = 'CalHFA Addendum'!$B23),Application!$G$714:$G$738)</f>
        <v>0</v>
      </c>
      <c r="AC23" s="2988"/>
      <c r="AD23" s="2988"/>
      <c r="AE23" s="2988"/>
      <c r="AF23" s="2988"/>
      <c r="AG23" s="2989"/>
      <c r="AH23" s="2987" cm="1">
        <f t="array" ref="AH23">SUMPRODUCT((Application!$B$714:$B$738 = 'CalHFA Addendum'!AH$18)*(Application!$AC$714:$AC$738 = 'CalHFA Addendum'!$B23),Application!$G$714:$G$738)</f>
        <v>0</v>
      </c>
      <c r="AI23" s="2988"/>
      <c r="AJ23" s="2988"/>
      <c r="AK23" s="2988"/>
      <c r="AL23" s="2988"/>
      <c r="AM23" s="2989"/>
      <c r="AN23" s="2987" cm="1">
        <f t="array" ref="AN23">SUMPRODUCT((Application!$B$714:$B$738 = 'CalHFA Addendum'!AN$18)*(Application!$AC$714:$AC$738 = 'CalHFA Addendum'!$B23),Application!$G$714:$G$738)</f>
        <v>0</v>
      </c>
      <c r="AO23" s="2988"/>
      <c r="AP23" s="2988"/>
      <c r="AQ23" s="2988"/>
      <c r="AR23" s="2988"/>
      <c r="AS23" s="2989"/>
      <c r="AT23" s="2990">
        <f t="shared" si="0"/>
        <v>0</v>
      </c>
      <c r="AU23" s="2991"/>
      <c r="AV23" s="2991"/>
      <c r="AW23" s="2991"/>
      <c r="AX23" s="2991"/>
      <c r="AY23" s="2992"/>
      <c r="AZ23" s="1854"/>
      <c r="BA23" s="1854"/>
      <c r="BB23" s="1854"/>
      <c r="BC23" s="1854"/>
      <c r="BD23" s="1854"/>
      <c r="BE23" s="1860"/>
    </row>
    <row r="24" spans="1:58" ht="15">
      <c r="A24" s="1854"/>
      <c r="B24" s="2993">
        <v>0.8</v>
      </c>
      <c r="C24" s="2994"/>
      <c r="D24" s="2994"/>
      <c r="E24" s="2994"/>
      <c r="F24" s="2994"/>
      <c r="G24" s="2994"/>
      <c r="H24" s="2994"/>
      <c r="I24" s="2995"/>
      <c r="J24" s="2987">
        <f t="shared" si="1"/>
        <v>22</v>
      </c>
      <c r="K24" s="2988"/>
      <c r="L24" s="2988"/>
      <c r="M24" s="2988"/>
      <c r="N24" s="2988"/>
      <c r="O24" s="2989"/>
      <c r="P24" s="2987" cm="1">
        <f t="array" ref="P24">SUMPRODUCT((Application!$B$714:$B$738 = 'CalHFA Addendum'!P$18)*(Application!$AC$714:$AC$738 = 'CalHFA Addendum'!$B24),Application!$G$714:$G$738)</f>
        <v>0</v>
      </c>
      <c r="Q24" s="2988"/>
      <c r="R24" s="2988"/>
      <c r="S24" s="2988"/>
      <c r="T24" s="2988"/>
      <c r="U24" s="2989"/>
      <c r="V24" s="2987" cm="1">
        <f t="array" ref="V24">SUMPRODUCT((Application!$B$714:$B$738 = 'CalHFA Addendum'!V$18)*(Application!$AC$714:$AC$738 = 'CalHFA Addendum'!$B24),Application!$G$714:$G$738)</f>
        <v>22</v>
      </c>
      <c r="W24" s="2988"/>
      <c r="X24" s="2988"/>
      <c r="Y24" s="2988"/>
      <c r="Z24" s="2988"/>
      <c r="AA24" s="2989"/>
      <c r="AB24" s="2987" cm="1">
        <f t="array" ref="AB24">SUMPRODUCT((Application!$B$714:$B$738 = 'CalHFA Addendum'!AB$18)*(Application!$AC$714:$AC$738 = 'CalHFA Addendum'!$B24),Application!$G$714:$G$738)</f>
        <v>0</v>
      </c>
      <c r="AC24" s="2988"/>
      <c r="AD24" s="2988"/>
      <c r="AE24" s="2988"/>
      <c r="AF24" s="2988"/>
      <c r="AG24" s="2989"/>
      <c r="AH24" s="2987" cm="1">
        <f t="array" ref="AH24">SUMPRODUCT((Application!$B$714:$B$738 = 'CalHFA Addendum'!AH$18)*(Application!$AC$714:$AC$738 = 'CalHFA Addendum'!$B24),Application!$G$714:$G$738)</f>
        <v>0</v>
      </c>
      <c r="AI24" s="2988"/>
      <c r="AJ24" s="2988"/>
      <c r="AK24" s="2988"/>
      <c r="AL24" s="2988"/>
      <c r="AM24" s="2989"/>
      <c r="AN24" s="2987" cm="1">
        <f t="array" ref="AN24">SUMPRODUCT((Application!$B$714:$B$738 = 'CalHFA Addendum'!AN$18)*(Application!$AC$714:$AC$738 = 'CalHFA Addendum'!$B24),Application!$G$714:$G$738)</f>
        <v>0</v>
      </c>
      <c r="AO24" s="2988"/>
      <c r="AP24" s="2988"/>
      <c r="AQ24" s="2988"/>
      <c r="AR24" s="2988"/>
      <c r="AS24" s="2989"/>
      <c r="AT24" s="2990">
        <f t="shared" si="0"/>
        <v>0.47826086956521741</v>
      </c>
      <c r="AU24" s="2991"/>
      <c r="AV24" s="2991"/>
      <c r="AW24" s="2991"/>
      <c r="AX24" s="2991"/>
      <c r="AY24" s="2992"/>
      <c r="AZ24" s="1854"/>
      <c r="BA24" s="1854"/>
      <c r="BB24" s="1854"/>
      <c r="BC24" s="1854"/>
      <c r="BD24" s="1854"/>
      <c r="BE24" s="1860"/>
    </row>
    <row r="25" spans="1:58" ht="15">
      <c r="A25" s="1854"/>
      <c r="B25" s="2993">
        <v>0.9</v>
      </c>
      <c r="C25" s="2994"/>
      <c r="D25" s="2994"/>
      <c r="E25" s="2994"/>
      <c r="F25" s="2994"/>
      <c r="G25" s="2994"/>
      <c r="H25" s="2994"/>
      <c r="I25" s="2995"/>
      <c r="J25" s="2987">
        <f t="shared" si="1"/>
        <v>0</v>
      </c>
      <c r="K25" s="2988"/>
      <c r="L25" s="2988"/>
      <c r="M25" s="2988"/>
      <c r="N25" s="2988"/>
      <c r="O25" s="2989"/>
      <c r="P25" s="2987" cm="1">
        <f t="array" ref="P25">SUMPRODUCT((Application!$B$714:$B$738 = 'CalHFA Addendum'!P$18)*(Application!$AC$714:$AC$738 = 'CalHFA Addendum'!$B25),Application!$G$714:$G$738)</f>
        <v>0</v>
      </c>
      <c r="Q25" s="2988"/>
      <c r="R25" s="2988"/>
      <c r="S25" s="2988"/>
      <c r="T25" s="2988"/>
      <c r="U25" s="2989"/>
      <c r="V25" s="2987" cm="1">
        <f t="array" ref="V25">SUMPRODUCT((Application!$B$714:$B$738 = 'CalHFA Addendum'!V$18)*(Application!$AC$714:$AC$738 = 'CalHFA Addendum'!$B25),Application!$G$714:$G$738)</f>
        <v>0</v>
      </c>
      <c r="W25" s="2988"/>
      <c r="X25" s="2988"/>
      <c r="Y25" s="2988"/>
      <c r="Z25" s="2988"/>
      <c r="AA25" s="2989"/>
      <c r="AB25" s="2987" cm="1">
        <f t="array" ref="AB25">SUMPRODUCT((Application!$B$714:$B$738 = 'CalHFA Addendum'!AB$18)*(Application!$AC$714:$AC$738 = 'CalHFA Addendum'!$B25),Application!$G$714:$G$738)</f>
        <v>0</v>
      </c>
      <c r="AC25" s="2988"/>
      <c r="AD25" s="2988"/>
      <c r="AE25" s="2988"/>
      <c r="AF25" s="2988"/>
      <c r="AG25" s="2989"/>
      <c r="AH25" s="2987" cm="1">
        <f t="array" ref="AH25">SUMPRODUCT((Application!$B$714:$B$738 = 'CalHFA Addendum'!AH$18)*(Application!$AC$714:$AC$738 = 'CalHFA Addendum'!$B25),Application!$G$714:$G$738)</f>
        <v>0</v>
      </c>
      <c r="AI25" s="2988"/>
      <c r="AJ25" s="2988"/>
      <c r="AK25" s="2988"/>
      <c r="AL25" s="2988"/>
      <c r="AM25" s="2989"/>
      <c r="AN25" s="2987" cm="1">
        <f t="array" ref="AN25">SUMPRODUCT((Application!$B$714:$B$738 = 'CalHFA Addendum'!AN$18)*(Application!$AC$714:$AC$738 = 'CalHFA Addendum'!$B25),Application!$G$714:$G$738)</f>
        <v>0</v>
      </c>
      <c r="AO25" s="2988"/>
      <c r="AP25" s="2988"/>
      <c r="AQ25" s="2988"/>
      <c r="AR25" s="2988"/>
      <c r="AS25" s="2989"/>
      <c r="AT25" s="2990">
        <f t="shared" si="0"/>
        <v>0</v>
      </c>
      <c r="AU25" s="2991"/>
      <c r="AV25" s="2991"/>
      <c r="AW25" s="2991"/>
      <c r="AX25" s="2991"/>
      <c r="AY25" s="2992"/>
      <c r="AZ25" s="1854"/>
      <c r="BA25" s="1854"/>
      <c r="BB25" s="1854"/>
      <c r="BC25" s="1854"/>
      <c r="BD25" s="1854"/>
      <c r="BE25" s="1860"/>
    </row>
    <row r="26" spans="1:58" ht="15">
      <c r="A26" s="1854"/>
      <c r="B26" s="2993">
        <v>1</v>
      </c>
      <c r="C26" s="2994"/>
      <c r="D26" s="2994"/>
      <c r="E26" s="2994"/>
      <c r="F26" s="2994"/>
      <c r="G26" s="2994"/>
      <c r="H26" s="2994"/>
      <c r="I26" s="2995"/>
      <c r="J26" s="2987">
        <f t="shared" si="1"/>
        <v>0</v>
      </c>
      <c r="K26" s="2988"/>
      <c r="L26" s="2988"/>
      <c r="M26" s="2988"/>
      <c r="N26" s="2988"/>
      <c r="O26" s="2989"/>
      <c r="P26" s="2987" cm="1">
        <f t="array" ref="P26">SUMPRODUCT((Application!$B$714:$B$738 = 'CalHFA Addendum'!P$18)*(Application!$AC$714:$AC$738 = 'CalHFA Addendum'!$B26),Application!$G$714:$G$738)</f>
        <v>0</v>
      </c>
      <c r="Q26" s="2988"/>
      <c r="R26" s="2988"/>
      <c r="S26" s="2988"/>
      <c r="T26" s="2988"/>
      <c r="U26" s="2989"/>
      <c r="V26" s="2987" cm="1">
        <f t="array" ref="V26">SUMPRODUCT((Application!$B$714:$B$738 = 'CalHFA Addendum'!V$18)*(Application!$AC$714:$AC$738 = 'CalHFA Addendum'!$B26),Application!$G$714:$G$738)</f>
        <v>0</v>
      </c>
      <c r="W26" s="2988"/>
      <c r="X26" s="2988"/>
      <c r="Y26" s="2988"/>
      <c r="Z26" s="2988"/>
      <c r="AA26" s="2989"/>
      <c r="AB26" s="2987" cm="1">
        <f t="array" ref="AB26">SUMPRODUCT((Application!$B$714:$B$738 = 'CalHFA Addendum'!AB$18)*(Application!$AC$714:$AC$738 = 'CalHFA Addendum'!$B26),Application!$G$714:$G$738)</f>
        <v>0</v>
      </c>
      <c r="AC26" s="2988"/>
      <c r="AD26" s="2988"/>
      <c r="AE26" s="2988"/>
      <c r="AF26" s="2988"/>
      <c r="AG26" s="2989"/>
      <c r="AH26" s="2987" cm="1">
        <f t="array" ref="AH26">SUMPRODUCT((Application!$B$714:$B$738 = 'CalHFA Addendum'!AH$18)*(Application!$AC$714:$AC$738 = 'CalHFA Addendum'!$B26),Application!$G$714:$G$738)</f>
        <v>0</v>
      </c>
      <c r="AI26" s="2988"/>
      <c r="AJ26" s="2988"/>
      <c r="AK26" s="2988"/>
      <c r="AL26" s="2988"/>
      <c r="AM26" s="2989"/>
      <c r="AN26" s="2987" cm="1">
        <f t="array" ref="AN26">SUMPRODUCT((Application!$B$714:$B$738 = 'CalHFA Addendum'!AN$18)*(Application!$AC$714:$AC$738 = 'CalHFA Addendum'!$B26),Application!$G$714:$G$738)</f>
        <v>0</v>
      </c>
      <c r="AO26" s="2988"/>
      <c r="AP26" s="2988"/>
      <c r="AQ26" s="2988"/>
      <c r="AR26" s="2988"/>
      <c r="AS26" s="2989"/>
      <c r="AT26" s="2990">
        <f t="shared" si="0"/>
        <v>0</v>
      </c>
      <c r="AU26" s="2991"/>
      <c r="AV26" s="2991"/>
      <c r="AW26" s="2991"/>
      <c r="AX26" s="2991"/>
      <c r="AY26" s="2992"/>
      <c r="AZ26" s="1854"/>
      <c r="BA26" s="1854"/>
      <c r="BB26" s="1854"/>
      <c r="BC26" s="1854"/>
      <c r="BD26" s="1854"/>
      <c r="BE26" s="1860"/>
    </row>
    <row r="27" spans="1:58" ht="15">
      <c r="A27" s="1854"/>
      <c r="B27" s="2993">
        <v>1.1000000000000001</v>
      </c>
      <c r="C27" s="2994"/>
      <c r="D27" s="2994"/>
      <c r="E27" s="2994"/>
      <c r="F27" s="2994"/>
      <c r="G27" s="2994"/>
      <c r="H27" s="2994"/>
      <c r="I27" s="2995"/>
      <c r="J27" s="2987">
        <f t="shared" si="1"/>
        <v>0</v>
      </c>
      <c r="K27" s="2988"/>
      <c r="L27" s="2988"/>
      <c r="M27" s="2988"/>
      <c r="N27" s="2988"/>
      <c r="O27" s="2989"/>
      <c r="P27" s="2987" cm="1">
        <f t="array" ref="P27">SUMPRODUCT((Application!$B$714:$B$738 = 'CalHFA Addendum'!P$18)*(Application!$AC$714:$AC$738 = 'CalHFA Addendum'!$B27),Application!$G$714:$G$738)</f>
        <v>0</v>
      </c>
      <c r="Q27" s="2988"/>
      <c r="R27" s="2988"/>
      <c r="S27" s="2988"/>
      <c r="T27" s="2988"/>
      <c r="U27" s="2989"/>
      <c r="V27" s="2987" cm="1">
        <f t="array" ref="V27">SUMPRODUCT((Application!$B$714:$B$738 = 'CalHFA Addendum'!V$18)*(Application!$AC$714:$AC$738 = 'CalHFA Addendum'!$B27),Application!$G$714:$G$738)</f>
        <v>0</v>
      </c>
      <c r="W27" s="2988"/>
      <c r="X27" s="2988"/>
      <c r="Y27" s="2988"/>
      <c r="Z27" s="2988"/>
      <c r="AA27" s="2989"/>
      <c r="AB27" s="2987" cm="1">
        <f t="array" ref="AB27">SUMPRODUCT((Application!$B$714:$B$738 = 'CalHFA Addendum'!AB$18)*(Application!$AC$714:$AC$738 = 'CalHFA Addendum'!$B27),Application!$G$714:$G$738)</f>
        <v>0</v>
      </c>
      <c r="AC27" s="2988"/>
      <c r="AD27" s="2988"/>
      <c r="AE27" s="2988"/>
      <c r="AF27" s="2988"/>
      <c r="AG27" s="2989"/>
      <c r="AH27" s="2987" cm="1">
        <f t="array" ref="AH27">SUMPRODUCT((Application!$B$714:$B$738 = 'CalHFA Addendum'!AH$18)*(Application!$AC$714:$AC$738 = 'CalHFA Addendum'!$B27),Application!$G$714:$G$738)</f>
        <v>0</v>
      </c>
      <c r="AI27" s="2988"/>
      <c r="AJ27" s="2988"/>
      <c r="AK27" s="2988"/>
      <c r="AL27" s="2988"/>
      <c r="AM27" s="2989"/>
      <c r="AN27" s="2987" cm="1">
        <f t="array" ref="AN27">SUMPRODUCT((Application!$B$714:$B$738 = 'CalHFA Addendum'!AN$18)*(Application!$AC$714:$AC$738 = 'CalHFA Addendum'!$B27),Application!$G$714:$G$738)</f>
        <v>0</v>
      </c>
      <c r="AO27" s="2988"/>
      <c r="AP27" s="2988"/>
      <c r="AQ27" s="2988"/>
      <c r="AR27" s="2988"/>
      <c r="AS27" s="2989"/>
      <c r="AT27" s="2990">
        <f t="shared" si="0"/>
        <v>0</v>
      </c>
      <c r="AU27" s="2991"/>
      <c r="AV27" s="2991"/>
      <c r="AW27" s="2991"/>
      <c r="AX27" s="2991"/>
      <c r="AY27" s="2992"/>
      <c r="AZ27" s="1854"/>
      <c r="BA27" s="1854"/>
      <c r="BB27" s="1854"/>
      <c r="BC27" s="1854"/>
      <c r="BD27" s="1854"/>
      <c r="BE27" s="1860"/>
    </row>
    <row r="28" spans="1:58" thickBot="1">
      <c r="A28" s="1854"/>
      <c r="B28" s="2996" t="s">
        <v>1865</v>
      </c>
      <c r="C28" s="2997"/>
      <c r="D28" s="2997"/>
      <c r="E28" s="2997"/>
      <c r="F28" s="2997"/>
      <c r="G28" s="2997"/>
      <c r="H28" s="2997"/>
      <c r="I28" s="2998"/>
      <c r="J28" s="2999">
        <f t="shared" si="1"/>
        <v>2</v>
      </c>
      <c r="K28" s="3000"/>
      <c r="L28" s="3000"/>
      <c r="M28" s="3000"/>
      <c r="N28" s="3000"/>
      <c r="O28" s="3001"/>
      <c r="P28" s="2999">
        <f>_xlfn.IFNA(VLOOKUP(P$18,Application!$J$758:$S$761,6,FALSE), 0)</f>
        <v>0</v>
      </c>
      <c r="Q28" s="3000"/>
      <c r="R28" s="3000"/>
      <c r="S28" s="3000"/>
      <c r="T28" s="3000"/>
      <c r="U28" s="3001"/>
      <c r="V28" s="2999">
        <f>_xlfn.IFNA(VLOOKUP(V$18,Application!$J$758:$S$761,6,FALSE), 0)</f>
        <v>2</v>
      </c>
      <c r="W28" s="3000"/>
      <c r="X28" s="3000"/>
      <c r="Y28" s="3000"/>
      <c r="Z28" s="3000"/>
      <c r="AA28" s="3001"/>
      <c r="AB28" s="2999">
        <f>_xlfn.IFNA(VLOOKUP(AB$18,Application!$J$758:$S$761,6,FALSE), 0)</f>
        <v>0</v>
      </c>
      <c r="AC28" s="3000"/>
      <c r="AD28" s="3000"/>
      <c r="AE28" s="3000"/>
      <c r="AF28" s="3000"/>
      <c r="AG28" s="3001"/>
      <c r="AH28" s="2999">
        <f>_xlfn.IFNA(VLOOKUP(AH$18,Application!$J$758:$S$761,6,FALSE), 0)</f>
        <v>0</v>
      </c>
      <c r="AI28" s="3000"/>
      <c r="AJ28" s="3000"/>
      <c r="AK28" s="3000"/>
      <c r="AL28" s="3000"/>
      <c r="AM28" s="3001"/>
      <c r="AN28" s="2999">
        <f>_xlfn.IFNA(VLOOKUP(AN$18,Application!$J$758:$S$761,6,FALSE), 0)</f>
        <v>0</v>
      </c>
      <c r="AO28" s="3000"/>
      <c r="AP28" s="3000"/>
      <c r="AQ28" s="3000"/>
      <c r="AR28" s="3000"/>
      <c r="AS28" s="3001"/>
      <c r="AT28" s="3002">
        <f t="shared" si="0"/>
        <v>4.3478260869565216E-2</v>
      </c>
      <c r="AU28" s="3003"/>
      <c r="AV28" s="3003"/>
      <c r="AW28" s="3003"/>
      <c r="AX28" s="3003"/>
      <c r="AY28" s="3004"/>
      <c r="AZ28" s="1854"/>
      <c r="BA28" s="1854"/>
      <c r="BB28" s="1854"/>
      <c r="BC28" s="1854"/>
      <c r="BD28" s="1854"/>
      <c r="BE28" s="1860"/>
    </row>
    <row r="29" spans="1:58" thickBot="1">
      <c r="A29" s="1854"/>
      <c r="B29" s="3027" t="s">
        <v>1762</v>
      </c>
      <c r="C29" s="3010"/>
      <c r="D29" s="3010"/>
      <c r="E29" s="3010"/>
      <c r="F29" s="3010"/>
      <c r="G29" s="3010"/>
      <c r="H29" s="3010"/>
      <c r="I29" s="3011"/>
      <c r="J29" s="3009">
        <f>SUM(J19:O28)</f>
        <v>46</v>
      </c>
      <c r="K29" s="3010"/>
      <c r="L29" s="3010"/>
      <c r="M29" s="3010"/>
      <c r="N29" s="3010"/>
      <c r="O29" s="3011"/>
      <c r="P29" s="3009">
        <f>SUM(P19:U28)</f>
        <v>0</v>
      </c>
      <c r="Q29" s="3010"/>
      <c r="R29" s="3010"/>
      <c r="S29" s="3010"/>
      <c r="T29" s="3010"/>
      <c r="U29" s="3011"/>
      <c r="V29" s="3009">
        <f>SUM(V19:AA28)</f>
        <v>46</v>
      </c>
      <c r="W29" s="3010"/>
      <c r="X29" s="3010"/>
      <c r="Y29" s="3010"/>
      <c r="Z29" s="3010"/>
      <c r="AA29" s="3011"/>
      <c r="AB29" s="3009">
        <f>SUM(AB19:AG28)</f>
        <v>0</v>
      </c>
      <c r="AC29" s="3010"/>
      <c r="AD29" s="3010"/>
      <c r="AE29" s="3010"/>
      <c r="AF29" s="3010"/>
      <c r="AG29" s="3011"/>
      <c r="AH29" s="3009">
        <f>SUM(AH19:AM28)</f>
        <v>0</v>
      </c>
      <c r="AI29" s="3010"/>
      <c r="AJ29" s="3010"/>
      <c r="AK29" s="3010"/>
      <c r="AL29" s="3010"/>
      <c r="AM29" s="3011"/>
      <c r="AN29" s="3009">
        <f>SUM(AN19:AS28)</f>
        <v>0</v>
      </c>
      <c r="AO29" s="3010"/>
      <c r="AP29" s="3010"/>
      <c r="AQ29" s="3010"/>
      <c r="AR29" s="3010"/>
      <c r="AS29" s="3011"/>
      <c r="AT29" s="3012">
        <f>J29/$J$29</f>
        <v>1</v>
      </c>
      <c r="AU29" s="3013"/>
      <c r="AV29" s="3013"/>
      <c r="AW29" s="3013"/>
      <c r="AX29" s="3013"/>
      <c r="AY29" s="3014"/>
      <c r="AZ29" s="1854"/>
      <c r="BA29" s="1854"/>
      <c r="BB29" s="1854"/>
      <c r="BC29" s="1854"/>
      <c r="BD29" s="1854"/>
      <c r="BE29" s="1860"/>
    </row>
    <row r="30" spans="1:58" thickBot="1">
      <c r="A30" s="1853"/>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U30" s="1854"/>
      <c r="AV30" s="1854"/>
      <c r="AW30" s="1854"/>
      <c r="AX30" s="1854"/>
      <c r="AY30" s="1854"/>
      <c r="AZ30" s="1854"/>
      <c r="BA30" s="1854"/>
      <c r="BB30" s="1854"/>
      <c r="BC30" s="1854"/>
      <c r="BD30" s="1854"/>
      <c r="BE30" s="1860"/>
    </row>
    <row r="31" spans="1:58" ht="15">
      <c r="A31" s="1854"/>
      <c r="B31" s="3015" t="s">
        <v>1866</v>
      </c>
      <c r="C31" s="3016"/>
      <c r="D31" s="3016"/>
      <c r="E31" s="3016"/>
      <c r="F31" s="3016"/>
      <c r="G31" s="3016"/>
      <c r="H31" s="3016"/>
      <c r="I31" s="3016"/>
      <c r="J31" s="3016"/>
      <c r="K31" s="3016"/>
      <c r="L31" s="3016"/>
      <c r="M31" s="3016"/>
      <c r="N31" s="3016"/>
      <c r="O31" s="3016"/>
      <c r="P31" s="3016"/>
      <c r="Q31" s="3016"/>
      <c r="R31" s="3016"/>
      <c r="S31" s="3016"/>
      <c r="T31" s="3016"/>
      <c r="U31" s="3016"/>
      <c r="V31" s="3016"/>
      <c r="W31" s="3016"/>
      <c r="X31" s="3016"/>
      <c r="Y31" s="3016"/>
      <c r="Z31" s="3016"/>
      <c r="AA31" s="3016"/>
      <c r="AB31" s="3016"/>
      <c r="AC31" s="3016"/>
      <c r="AD31" s="3016"/>
      <c r="AE31" s="3016"/>
      <c r="AF31" s="3016"/>
      <c r="AG31" s="3016"/>
      <c r="AH31" s="3016"/>
      <c r="AI31" s="3016"/>
      <c r="AJ31" s="3016"/>
      <c r="AK31" s="3016"/>
      <c r="AL31" s="3016"/>
      <c r="AM31" s="3016"/>
      <c r="AN31" s="3016"/>
      <c r="AO31" s="3016"/>
      <c r="AP31" s="3016"/>
      <c r="AQ31" s="3016"/>
      <c r="AR31" s="3016"/>
      <c r="AS31" s="3016"/>
      <c r="AT31" s="3016"/>
      <c r="AU31" s="3016"/>
      <c r="AV31" s="3016"/>
      <c r="AW31" s="3016"/>
      <c r="AX31" s="3016"/>
      <c r="AY31" s="3016"/>
      <c r="AZ31" s="3017"/>
      <c r="BA31" s="1854"/>
      <c r="BB31" s="1854"/>
      <c r="BC31" s="1854"/>
      <c r="BD31" s="1854"/>
      <c r="BE31" s="1860"/>
    </row>
    <row r="32" spans="1:58" ht="15">
      <c r="A32" s="1854"/>
      <c r="B32" s="3018" t="s">
        <v>2571</v>
      </c>
      <c r="C32" s="3019"/>
      <c r="D32" s="3019"/>
      <c r="E32" s="3019"/>
      <c r="F32" s="3019"/>
      <c r="G32" s="3019"/>
      <c r="H32" s="3019"/>
      <c r="I32" s="3019"/>
      <c r="J32" s="3021" t="s">
        <v>2572</v>
      </c>
      <c r="K32" s="3022"/>
      <c r="L32" s="3022"/>
      <c r="M32" s="3022"/>
      <c r="N32" s="3021" t="s">
        <v>1867</v>
      </c>
      <c r="O32" s="3022"/>
      <c r="P32" s="3022"/>
      <c r="Q32" s="3022"/>
      <c r="R32" s="3023" t="s">
        <v>1868</v>
      </c>
      <c r="S32" s="3023"/>
      <c r="T32" s="3023"/>
      <c r="U32" s="3023"/>
      <c r="V32" s="3023"/>
      <c r="W32" s="3023"/>
      <c r="X32" s="3023"/>
      <c r="Y32" s="3023"/>
      <c r="Z32" s="3023"/>
      <c r="AA32" s="3023"/>
      <c r="AB32" s="3023"/>
      <c r="AC32" s="3023"/>
      <c r="AD32" s="3023"/>
      <c r="AE32" s="3023"/>
      <c r="AF32" s="3023"/>
      <c r="AG32" s="3023"/>
      <c r="AH32" s="3023"/>
      <c r="AI32" s="3023"/>
      <c r="AJ32" s="3023"/>
      <c r="AK32" s="3023"/>
      <c r="AL32" s="3023"/>
      <c r="AM32" s="3023"/>
      <c r="AN32" s="3023"/>
      <c r="AO32" s="3023"/>
      <c r="AP32" s="3023"/>
      <c r="AQ32" s="3023"/>
      <c r="AR32" s="3023"/>
      <c r="AS32" s="3023"/>
      <c r="AT32" s="3023"/>
      <c r="AU32" s="3023"/>
      <c r="AV32" s="3023"/>
      <c r="AW32" s="3023"/>
      <c r="AX32" s="3023"/>
      <c r="AY32" s="3023"/>
      <c r="AZ32" s="3024"/>
      <c r="BA32" s="1854"/>
      <c r="BB32" s="1854"/>
      <c r="BC32" s="1854"/>
      <c r="BD32" s="1854"/>
      <c r="BE32" s="1860"/>
    </row>
    <row r="33" spans="1:58" ht="15" customHeight="1">
      <c r="A33" s="1854"/>
      <c r="B33" s="3020"/>
      <c r="C33" s="3019"/>
      <c r="D33" s="3019"/>
      <c r="E33" s="3019"/>
      <c r="F33" s="3019"/>
      <c r="G33" s="3019"/>
      <c r="H33" s="3019"/>
      <c r="I33" s="3019"/>
      <c r="J33" s="3022"/>
      <c r="K33" s="3022"/>
      <c r="L33" s="3022"/>
      <c r="M33" s="3022"/>
      <c r="N33" s="3022"/>
      <c r="O33" s="3022"/>
      <c r="P33" s="3022"/>
      <c r="Q33" s="3022"/>
      <c r="R33" s="3025" t="s">
        <v>1869</v>
      </c>
      <c r="S33" s="3021"/>
      <c r="T33" s="3021"/>
      <c r="U33" s="3021"/>
      <c r="V33" s="3021"/>
      <c r="W33" s="3021"/>
      <c r="X33" s="3021"/>
      <c r="Y33" s="3021"/>
      <c r="Z33" s="3021"/>
      <c r="AA33" s="3021"/>
      <c r="AB33" s="3021"/>
      <c r="AC33" s="3021"/>
      <c r="AD33" s="3021"/>
      <c r="AE33" s="3021"/>
      <c r="AF33" s="3021"/>
      <c r="AG33" s="3021"/>
      <c r="AH33" s="3021"/>
      <c r="AI33" s="3021"/>
      <c r="AJ33" s="3021"/>
      <c r="AK33" s="3021"/>
      <c r="AL33" s="3021"/>
      <c r="AM33" s="3021"/>
      <c r="AN33" s="3021"/>
      <c r="AO33" s="3021"/>
      <c r="AP33" s="3021"/>
      <c r="AQ33" s="3021"/>
      <c r="AR33" s="3021"/>
      <c r="AS33" s="3021"/>
      <c r="AT33" s="3021"/>
      <c r="AU33" s="3021"/>
      <c r="AV33" s="3021"/>
      <c r="AW33" s="3021"/>
      <c r="AX33" s="3021"/>
      <c r="AY33" s="3021"/>
      <c r="AZ33" s="3026"/>
      <c r="BA33" s="1861"/>
      <c r="BB33" s="1854"/>
      <c r="BC33" s="1854"/>
      <c r="BD33" s="1854"/>
      <c r="BE33" s="1860"/>
    </row>
    <row r="34" spans="1:58" ht="15.75" customHeight="1">
      <c r="A34" s="1854"/>
      <c r="B34" s="3020"/>
      <c r="C34" s="3019"/>
      <c r="D34" s="3019"/>
      <c r="E34" s="3019"/>
      <c r="F34" s="3019"/>
      <c r="G34" s="3019"/>
      <c r="H34" s="3019"/>
      <c r="I34" s="3019"/>
      <c r="J34" s="3022"/>
      <c r="K34" s="3022"/>
      <c r="L34" s="3022"/>
      <c r="M34" s="3022"/>
      <c r="N34" s="3022"/>
      <c r="O34" s="3022"/>
      <c r="P34" s="3022"/>
      <c r="Q34" s="3022"/>
      <c r="R34" s="3021"/>
      <c r="S34" s="3021"/>
      <c r="T34" s="3021"/>
      <c r="U34" s="3021"/>
      <c r="V34" s="3021"/>
      <c r="W34" s="3021"/>
      <c r="X34" s="3021"/>
      <c r="Y34" s="3021"/>
      <c r="Z34" s="3021"/>
      <c r="AA34" s="3021"/>
      <c r="AB34" s="3021"/>
      <c r="AC34" s="3021"/>
      <c r="AD34" s="3021"/>
      <c r="AE34" s="3021"/>
      <c r="AF34" s="3021"/>
      <c r="AG34" s="3021"/>
      <c r="AH34" s="3021"/>
      <c r="AI34" s="3021"/>
      <c r="AJ34" s="3021"/>
      <c r="AK34" s="3021"/>
      <c r="AL34" s="3021"/>
      <c r="AM34" s="3021"/>
      <c r="AN34" s="3021"/>
      <c r="AO34" s="3021"/>
      <c r="AP34" s="3021"/>
      <c r="AQ34" s="3021"/>
      <c r="AR34" s="3021"/>
      <c r="AS34" s="3021"/>
      <c r="AT34" s="3021"/>
      <c r="AU34" s="3021"/>
      <c r="AV34" s="3021"/>
      <c r="AW34" s="3021"/>
      <c r="AX34" s="3021"/>
      <c r="AY34" s="3021"/>
      <c r="AZ34" s="3026"/>
      <c r="BA34" s="1861"/>
      <c r="BB34" s="1854"/>
      <c r="BC34" s="1854"/>
      <c r="BD34" s="1854"/>
      <c r="BE34" s="1860"/>
    </row>
    <row r="35" spans="1:58" ht="15.75" customHeight="1">
      <c r="A35" s="1854"/>
      <c r="B35" s="3020"/>
      <c r="C35" s="3019"/>
      <c r="D35" s="3019"/>
      <c r="E35" s="3019"/>
      <c r="F35" s="3019"/>
      <c r="G35" s="3019"/>
      <c r="H35" s="3019"/>
      <c r="I35" s="3019"/>
      <c r="J35" s="3022"/>
      <c r="K35" s="3022"/>
      <c r="L35" s="3022"/>
      <c r="M35" s="3022"/>
      <c r="N35" s="3022"/>
      <c r="O35" s="3022"/>
      <c r="P35" s="3022"/>
      <c r="Q35" s="3022"/>
      <c r="R35" s="3005">
        <v>0.3</v>
      </c>
      <c r="S35" s="3005"/>
      <c r="T35" s="3005"/>
      <c r="U35" s="3005"/>
      <c r="V35" s="3005">
        <v>0.4</v>
      </c>
      <c r="W35" s="3005"/>
      <c r="X35" s="3005"/>
      <c r="Y35" s="3005"/>
      <c r="Z35" s="3005">
        <v>0.5</v>
      </c>
      <c r="AA35" s="3005"/>
      <c r="AB35" s="3005"/>
      <c r="AC35" s="3005"/>
      <c r="AD35" s="3005">
        <v>0.6</v>
      </c>
      <c r="AE35" s="3005"/>
      <c r="AF35" s="3005"/>
      <c r="AG35" s="3005"/>
      <c r="AH35" s="3005">
        <v>0.8</v>
      </c>
      <c r="AI35" s="3005"/>
      <c r="AJ35" s="3005"/>
      <c r="AK35" s="3005"/>
      <c r="AL35" s="3006">
        <v>1</v>
      </c>
      <c r="AM35" s="3006"/>
      <c r="AN35" s="3006"/>
      <c r="AO35" s="3007" t="s">
        <v>1870</v>
      </c>
      <c r="AP35" s="3007"/>
      <c r="AQ35" s="3007"/>
      <c r="AR35" s="3007"/>
      <c r="AS35" s="3007"/>
      <c r="AT35" s="3007"/>
      <c r="AU35" s="3007" t="s">
        <v>1871</v>
      </c>
      <c r="AV35" s="3007"/>
      <c r="AW35" s="3007"/>
      <c r="AX35" s="3007"/>
      <c r="AY35" s="3007"/>
      <c r="AZ35" s="3008"/>
      <c r="BA35" s="1861"/>
      <c r="BB35" s="1854"/>
      <c r="BC35" s="1854"/>
      <c r="BD35" s="1854"/>
      <c r="BE35" s="1860"/>
      <c r="BF35" s="1852"/>
    </row>
    <row r="36" spans="1:58" ht="15.75" customHeight="1">
      <c r="A36" s="1854"/>
      <c r="B36" s="3033" t="s">
        <v>1872</v>
      </c>
      <c r="C36" s="3034"/>
      <c r="D36" s="3034"/>
      <c r="E36" s="3034"/>
      <c r="F36" s="3034"/>
      <c r="G36" s="3034"/>
      <c r="H36" s="3034"/>
      <c r="I36" s="3034"/>
      <c r="J36" s="3031" t="s">
        <v>1873</v>
      </c>
      <c r="K36" s="3031"/>
      <c r="L36" s="3031"/>
      <c r="M36" s="3031"/>
      <c r="N36" s="3031">
        <v>55</v>
      </c>
      <c r="O36" s="3031"/>
      <c r="P36" s="3031"/>
      <c r="Q36" s="3031"/>
      <c r="R36" s="3032">
        <v>32</v>
      </c>
      <c r="S36" s="3032"/>
      <c r="T36" s="3032"/>
      <c r="U36" s="3032"/>
      <c r="V36" s="3032"/>
      <c r="W36" s="3032"/>
      <c r="X36" s="3032"/>
      <c r="Y36" s="3032"/>
      <c r="Z36" s="3032">
        <v>3</v>
      </c>
      <c r="AA36" s="3032"/>
      <c r="AB36" s="3032"/>
      <c r="AC36" s="3032"/>
      <c r="AD36" s="3032">
        <v>9</v>
      </c>
      <c r="AE36" s="3032"/>
      <c r="AF36" s="3032"/>
      <c r="AG36" s="3032"/>
      <c r="AH36" s="3032">
        <v>25</v>
      </c>
      <c r="AI36" s="3032"/>
      <c r="AJ36" s="3032"/>
      <c r="AK36" s="3032"/>
      <c r="AL36" s="3032">
        <v>0</v>
      </c>
      <c r="AM36" s="3032"/>
      <c r="AN36" s="3032"/>
      <c r="AO36" s="3035">
        <f>SUM(R36:AN36)</f>
        <v>69</v>
      </c>
      <c r="AP36" s="3035"/>
      <c r="AQ36" s="3035"/>
      <c r="AR36" s="3035"/>
      <c r="AS36" s="3035"/>
      <c r="AT36" s="3035"/>
      <c r="AU36" s="3036">
        <f>AO36/$J$29</f>
        <v>1.5</v>
      </c>
      <c r="AV36" s="3036"/>
      <c r="AW36" s="3036"/>
      <c r="AX36" s="3036"/>
      <c r="AY36" s="3036"/>
      <c r="AZ36" s="3037"/>
      <c r="BA36" s="1854"/>
      <c r="BB36" s="1854"/>
      <c r="BC36" s="1854"/>
      <c r="BD36" s="1854"/>
      <c r="BE36" s="1860"/>
      <c r="BF36" s="1852"/>
    </row>
    <row r="37" spans="1:58" ht="15.75" customHeight="1">
      <c r="A37" s="1854"/>
      <c r="B37" s="3028" t="s">
        <v>2511</v>
      </c>
      <c r="C37" s="3029"/>
      <c r="D37" s="3029"/>
      <c r="E37" s="3029"/>
      <c r="F37" s="3029"/>
      <c r="G37" s="3029"/>
      <c r="H37" s="3029"/>
      <c r="I37" s="3030"/>
      <c r="J37" s="3031" t="s">
        <v>1874</v>
      </c>
      <c r="K37" s="3031"/>
      <c r="L37" s="3031"/>
      <c r="M37" s="3031"/>
      <c r="N37" s="3031">
        <v>55</v>
      </c>
      <c r="O37" s="3031"/>
      <c r="P37" s="3031"/>
      <c r="Q37" s="3031"/>
      <c r="R37" s="3032">
        <v>32</v>
      </c>
      <c r="S37" s="3032"/>
      <c r="T37" s="3032"/>
      <c r="U37" s="3032"/>
      <c r="V37" s="3032"/>
      <c r="W37" s="3032"/>
      <c r="X37" s="3032"/>
      <c r="Y37" s="3032"/>
      <c r="Z37" s="3032">
        <v>3</v>
      </c>
      <c r="AA37" s="3032"/>
      <c r="AB37" s="3032"/>
      <c r="AC37" s="3032"/>
      <c r="AD37" s="3032">
        <v>9</v>
      </c>
      <c r="AE37" s="3032"/>
      <c r="AF37" s="3032"/>
      <c r="AG37" s="3032"/>
      <c r="AH37" s="3032">
        <v>25</v>
      </c>
      <c r="AI37" s="3032"/>
      <c r="AJ37" s="3032"/>
      <c r="AK37" s="3032"/>
      <c r="AL37" s="3032"/>
      <c r="AM37" s="3032"/>
      <c r="AN37" s="3032"/>
      <c r="AO37" s="3035">
        <f t="shared" ref="AO37:AO47" si="2">SUM(R37:AN37)</f>
        <v>69</v>
      </c>
      <c r="AP37" s="3035"/>
      <c r="AQ37" s="3035"/>
      <c r="AR37" s="3035"/>
      <c r="AS37" s="3035"/>
      <c r="AT37" s="3035"/>
      <c r="AU37" s="3036">
        <f t="shared" ref="AU37:AU47" si="3">AO37/$J$29</f>
        <v>1.5</v>
      </c>
      <c r="AV37" s="3036"/>
      <c r="AW37" s="3036"/>
      <c r="AX37" s="3036"/>
      <c r="AY37" s="3036"/>
      <c r="AZ37" s="3037"/>
      <c r="BA37" s="1854"/>
      <c r="BB37" s="1854"/>
      <c r="BC37" s="1854"/>
      <c r="BD37" s="1854"/>
      <c r="BE37" s="1860"/>
      <c r="BF37" s="1852"/>
    </row>
    <row r="38" spans="1:58" ht="15.75" customHeight="1">
      <c r="A38" s="1854"/>
      <c r="B38" s="3028" t="str">
        <f>Application!C624</f>
        <v>HCD - No Place Like Home</v>
      </c>
      <c r="C38" s="3029"/>
      <c r="D38" s="3029"/>
      <c r="E38" s="3029"/>
      <c r="F38" s="3029"/>
      <c r="G38" s="3029"/>
      <c r="H38" s="3029"/>
      <c r="I38" s="3030"/>
      <c r="J38" s="3031" t="s">
        <v>1875</v>
      </c>
      <c r="K38" s="3031"/>
      <c r="L38" s="3031"/>
      <c r="M38" s="3031"/>
      <c r="N38" s="3031">
        <v>55</v>
      </c>
      <c r="O38" s="3031"/>
      <c r="P38" s="3031"/>
      <c r="Q38" s="3031"/>
      <c r="R38" s="3032">
        <v>25</v>
      </c>
      <c r="S38" s="3032"/>
      <c r="T38" s="3032"/>
      <c r="U38" s="3032"/>
      <c r="V38" s="3032"/>
      <c r="W38" s="3032"/>
      <c r="X38" s="3032"/>
      <c r="Y38" s="3032"/>
      <c r="Z38" s="3032"/>
      <c r="AA38" s="3032"/>
      <c r="AB38" s="3032"/>
      <c r="AC38" s="3032"/>
      <c r="AD38" s="3032"/>
      <c r="AE38" s="3032"/>
      <c r="AF38" s="3032"/>
      <c r="AG38" s="3032"/>
      <c r="AH38" s="3032"/>
      <c r="AI38" s="3032"/>
      <c r="AJ38" s="3032"/>
      <c r="AK38" s="3032"/>
      <c r="AL38" s="3032"/>
      <c r="AM38" s="3032"/>
      <c r="AN38" s="3032"/>
      <c r="AO38" s="3035">
        <f t="shared" si="2"/>
        <v>25</v>
      </c>
      <c r="AP38" s="3035"/>
      <c r="AQ38" s="3035"/>
      <c r="AR38" s="3035"/>
      <c r="AS38" s="3035"/>
      <c r="AT38" s="3035"/>
      <c r="AU38" s="3036">
        <f t="shared" si="3"/>
        <v>0.54347826086956519</v>
      </c>
      <c r="AV38" s="3036"/>
      <c r="AW38" s="3036"/>
      <c r="AX38" s="3036"/>
      <c r="AY38" s="3036"/>
      <c r="AZ38" s="3037"/>
      <c r="BA38" s="1854"/>
      <c r="BB38" s="1854"/>
      <c r="BC38" s="1854"/>
      <c r="BD38" s="1854"/>
      <c r="BE38" s="1860"/>
      <c r="BF38" s="1852"/>
    </row>
    <row r="39" spans="1:58" ht="15.75" customHeight="1">
      <c r="A39" s="1854"/>
      <c r="B39" s="3028" t="str">
        <f>Application!C625</f>
        <v>City of Palm Springs</v>
      </c>
      <c r="C39" s="3029"/>
      <c r="D39" s="3029"/>
      <c r="E39" s="3029"/>
      <c r="F39" s="3029"/>
      <c r="G39" s="3029"/>
      <c r="H39" s="3029"/>
      <c r="I39" s="3030"/>
      <c r="J39" s="3031" t="s">
        <v>2771</v>
      </c>
      <c r="K39" s="3031"/>
      <c r="L39" s="3031"/>
      <c r="M39" s="3031"/>
      <c r="N39" s="3031">
        <v>55</v>
      </c>
      <c r="O39" s="3031"/>
      <c r="P39" s="3031"/>
      <c r="Q39" s="3031"/>
      <c r="R39" s="3032">
        <v>32</v>
      </c>
      <c r="S39" s="3032"/>
      <c r="T39" s="3032"/>
      <c r="U39" s="3032"/>
      <c r="V39" s="3032"/>
      <c r="W39" s="3032"/>
      <c r="X39" s="3032"/>
      <c r="Y39" s="3032"/>
      <c r="Z39" s="3032">
        <v>3</v>
      </c>
      <c r="AA39" s="3032"/>
      <c r="AB39" s="3032"/>
      <c r="AC39" s="3032"/>
      <c r="AD39" s="3032">
        <v>9</v>
      </c>
      <c r="AE39" s="3032"/>
      <c r="AF39" s="3032"/>
      <c r="AG39" s="3032"/>
      <c r="AH39" s="3032">
        <v>25</v>
      </c>
      <c r="AI39" s="3032"/>
      <c r="AJ39" s="3032"/>
      <c r="AK39" s="3032"/>
      <c r="AL39" s="3032"/>
      <c r="AM39" s="3032"/>
      <c r="AN39" s="3032"/>
      <c r="AO39" s="3035">
        <f t="shared" si="2"/>
        <v>69</v>
      </c>
      <c r="AP39" s="3035"/>
      <c r="AQ39" s="3035"/>
      <c r="AR39" s="3035"/>
      <c r="AS39" s="3035"/>
      <c r="AT39" s="3035"/>
      <c r="AU39" s="3036">
        <f t="shared" si="3"/>
        <v>1.5</v>
      </c>
      <c r="AV39" s="3036"/>
      <c r="AW39" s="3036"/>
      <c r="AX39" s="3036"/>
      <c r="AY39" s="3036"/>
      <c r="AZ39" s="3037"/>
      <c r="BA39" s="1854"/>
      <c r="BB39" s="1854"/>
      <c r="BC39" s="1854"/>
      <c r="BD39" s="1854"/>
      <c r="BE39" s="1860"/>
    </row>
    <row r="40" spans="1:58" ht="15.75" customHeight="1">
      <c r="A40" s="1854"/>
      <c r="B40" s="3028" t="str">
        <f>Application!C626</f>
        <v>FHLBSF AHP</v>
      </c>
      <c r="C40" s="3029"/>
      <c r="D40" s="3029"/>
      <c r="E40" s="3029"/>
      <c r="F40" s="3029"/>
      <c r="G40" s="3029"/>
      <c r="H40" s="3029"/>
      <c r="I40" s="3030"/>
      <c r="J40" s="3031" t="s">
        <v>2772</v>
      </c>
      <c r="K40" s="3031"/>
      <c r="L40" s="3031"/>
      <c r="M40" s="3031"/>
      <c r="N40" s="3031">
        <v>55</v>
      </c>
      <c r="O40" s="3031"/>
      <c r="P40" s="3031"/>
      <c r="Q40" s="3031"/>
      <c r="R40" s="3032">
        <v>32</v>
      </c>
      <c r="S40" s="3032"/>
      <c r="T40" s="3032"/>
      <c r="U40" s="3032"/>
      <c r="V40" s="3032"/>
      <c r="W40" s="3032"/>
      <c r="X40" s="3032"/>
      <c r="Y40" s="3032"/>
      <c r="Z40" s="3032">
        <v>3</v>
      </c>
      <c r="AA40" s="3032"/>
      <c r="AB40" s="3032"/>
      <c r="AC40" s="3032"/>
      <c r="AD40" s="3032">
        <v>9</v>
      </c>
      <c r="AE40" s="3032"/>
      <c r="AF40" s="3032"/>
      <c r="AG40" s="3032"/>
      <c r="AH40" s="3032">
        <v>25</v>
      </c>
      <c r="AI40" s="3032"/>
      <c r="AJ40" s="3032"/>
      <c r="AK40" s="3032"/>
      <c r="AL40" s="3032"/>
      <c r="AM40" s="3032"/>
      <c r="AN40" s="3032"/>
      <c r="AO40" s="3035">
        <f t="shared" si="2"/>
        <v>69</v>
      </c>
      <c r="AP40" s="3035"/>
      <c r="AQ40" s="3035"/>
      <c r="AR40" s="3035"/>
      <c r="AS40" s="3035"/>
      <c r="AT40" s="3035"/>
      <c r="AU40" s="3036">
        <f t="shared" si="3"/>
        <v>1.5</v>
      </c>
      <c r="AV40" s="3036"/>
      <c r="AW40" s="3036"/>
      <c r="AX40" s="3036"/>
      <c r="AY40" s="3036"/>
      <c r="AZ40" s="3037"/>
      <c r="BA40" s="1854"/>
      <c r="BB40" s="1854"/>
      <c r="BC40" s="1854"/>
      <c r="BD40" s="1854"/>
      <c r="BE40" s="1860"/>
    </row>
    <row r="41" spans="1:58" ht="15.75" customHeight="1">
      <c r="A41" s="1854"/>
      <c r="B41" s="3028" t="str">
        <f>Application!C627</f>
        <v>Deferred Fee</v>
      </c>
      <c r="C41" s="3029"/>
      <c r="D41" s="3029"/>
      <c r="E41" s="3029"/>
      <c r="F41" s="3029"/>
      <c r="G41" s="3029"/>
      <c r="H41" s="3029"/>
      <c r="I41" s="3030"/>
      <c r="J41" s="3031" t="s">
        <v>2773</v>
      </c>
      <c r="K41" s="3031"/>
      <c r="L41" s="3031"/>
      <c r="M41" s="3031"/>
      <c r="N41" s="3031">
        <v>55</v>
      </c>
      <c r="O41" s="3031"/>
      <c r="P41" s="3031"/>
      <c r="Q41" s="3031"/>
      <c r="R41" s="3032">
        <v>32</v>
      </c>
      <c r="S41" s="3032"/>
      <c r="T41" s="3032"/>
      <c r="U41" s="3032"/>
      <c r="V41" s="3032"/>
      <c r="W41" s="3032"/>
      <c r="X41" s="3032"/>
      <c r="Y41" s="3032"/>
      <c r="Z41" s="3032">
        <v>3</v>
      </c>
      <c r="AA41" s="3032"/>
      <c r="AB41" s="3032"/>
      <c r="AC41" s="3032"/>
      <c r="AD41" s="3032">
        <v>9</v>
      </c>
      <c r="AE41" s="3032"/>
      <c r="AF41" s="3032"/>
      <c r="AG41" s="3032"/>
      <c r="AH41" s="3032">
        <v>25</v>
      </c>
      <c r="AI41" s="3032"/>
      <c r="AJ41" s="3032"/>
      <c r="AK41" s="3032"/>
      <c r="AL41" s="3032"/>
      <c r="AM41" s="3032"/>
      <c r="AN41" s="3032"/>
      <c r="AO41" s="3035">
        <f t="shared" si="2"/>
        <v>69</v>
      </c>
      <c r="AP41" s="3035"/>
      <c r="AQ41" s="3035"/>
      <c r="AR41" s="3035"/>
      <c r="AS41" s="3035"/>
      <c r="AT41" s="3035"/>
      <c r="AU41" s="3036">
        <f t="shared" si="3"/>
        <v>1.5</v>
      </c>
      <c r="AV41" s="3036"/>
      <c r="AW41" s="3036"/>
      <c r="AX41" s="3036"/>
      <c r="AY41" s="3036"/>
      <c r="AZ41" s="3037"/>
      <c r="BA41" s="1854"/>
      <c r="BB41" s="1854"/>
      <c r="BC41" s="1854"/>
      <c r="BD41" s="1854"/>
      <c r="BE41" s="1860"/>
    </row>
    <row r="42" spans="1:58" ht="15.75" customHeight="1">
      <c r="A42" s="1854"/>
      <c r="B42" s="3028" t="s">
        <v>2770</v>
      </c>
      <c r="C42" s="3029"/>
      <c r="D42" s="3029"/>
      <c r="E42" s="3029"/>
      <c r="F42" s="3029"/>
      <c r="G42" s="3029"/>
      <c r="H42" s="3029"/>
      <c r="I42" s="3030"/>
      <c r="J42" s="3031" t="s">
        <v>2774</v>
      </c>
      <c r="K42" s="3031"/>
      <c r="L42" s="3031"/>
      <c r="M42" s="3031"/>
      <c r="N42" s="3031">
        <v>20</v>
      </c>
      <c r="O42" s="3031"/>
      <c r="P42" s="3031"/>
      <c r="Q42" s="3031"/>
      <c r="R42" s="3032">
        <v>32</v>
      </c>
      <c r="S42" s="3032"/>
      <c r="T42" s="3032"/>
      <c r="U42" s="3032"/>
      <c r="V42" s="3032"/>
      <c r="W42" s="3032"/>
      <c r="X42" s="3032"/>
      <c r="Y42" s="3032"/>
      <c r="Z42" s="3032"/>
      <c r="AA42" s="3032"/>
      <c r="AB42" s="3032"/>
      <c r="AC42" s="3032"/>
      <c r="AD42" s="3032"/>
      <c r="AE42" s="3032"/>
      <c r="AF42" s="3032"/>
      <c r="AG42" s="3032"/>
      <c r="AH42" s="3032"/>
      <c r="AI42" s="3032"/>
      <c r="AJ42" s="3032"/>
      <c r="AK42" s="3032"/>
      <c r="AL42" s="3032"/>
      <c r="AM42" s="3032"/>
      <c r="AN42" s="3032"/>
      <c r="AO42" s="3035">
        <f t="shared" si="2"/>
        <v>32</v>
      </c>
      <c r="AP42" s="3035"/>
      <c r="AQ42" s="3035"/>
      <c r="AR42" s="3035"/>
      <c r="AS42" s="3035"/>
      <c r="AT42" s="3035"/>
      <c r="AU42" s="3036">
        <f t="shared" si="3"/>
        <v>0.69565217391304346</v>
      </c>
      <c r="AV42" s="3036"/>
      <c r="AW42" s="3036"/>
      <c r="AX42" s="3036"/>
      <c r="AY42" s="3036"/>
      <c r="AZ42" s="3037"/>
      <c r="BA42" s="1854"/>
      <c r="BB42" s="1854"/>
      <c r="BC42" s="1854"/>
      <c r="BD42" s="1854"/>
      <c r="BE42" s="1860"/>
    </row>
    <row r="43" spans="1:58" ht="15.75" customHeight="1">
      <c r="A43" s="1854"/>
      <c r="B43" s="3038"/>
      <c r="C43" s="3039"/>
      <c r="D43" s="3039"/>
      <c r="E43" s="3039"/>
      <c r="F43" s="3039"/>
      <c r="G43" s="3039"/>
      <c r="H43" s="3039"/>
      <c r="I43" s="3039"/>
      <c r="J43" s="3031"/>
      <c r="K43" s="3031"/>
      <c r="L43" s="3031"/>
      <c r="M43" s="3031"/>
      <c r="N43" s="3031"/>
      <c r="O43" s="3031"/>
      <c r="P43" s="3031"/>
      <c r="Q43" s="3031"/>
      <c r="R43" s="3032"/>
      <c r="S43" s="3032"/>
      <c r="T43" s="3032"/>
      <c r="U43" s="3032"/>
      <c r="V43" s="3032"/>
      <c r="W43" s="3032"/>
      <c r="X43" s="3032"/>
      <c r="Y43" s="3032"/>
      <c r="Z43" s="3032"/>
      <c r="AA43" s="3032"/>
      <c r="AB43" s="3032"/>
      <c r="AC43" s="3032"/>
      <c r="AD43" s="3032"/>
      <c r="AE43" s="3032"/>
      <c r="AF43" s="3032"/>
      <c r="AG43" s="3032"/>
      <c r="AH43" s="3032"/>
      <c r="AI43" s="3032"/>
      <c r="AJ43" s="3032"/>
      <c r="AK43" s="3032"/>
      <c r="AL43" s="3032"/>
      <c r="AM43" s="3032"/>
      <c r="AN43" s="3032"/>
      <c r="AO43" s="3035">
        <f t="shared" si="2"/>
        <v>0</v>
      </c>
      <c r="AP43" s="3035"/>
      <c r="AQ43" s="3035"/>
      <c r="AR43" s="3035"/>
      <c r="AS43" s="3035"/>
      <c r="AT43" s="3035"/>
      <c r="AU43" s="3036">
        <f t="shared" si="3"/>
        <v>0</v>
      </c>
      <c r="AV43" s="3036"/>
      <c r="AW43" s="3036"/>
      <c r="AX43" s="3036"/>
      <c r="AY43" s="3036"/>
      <c r="AZ43" s="3037"/>
      <c r="BA43" s="1854"/>
      <c r="BB43" s="1854"/>
      <c r="BC43" s="1854"/>
      <c r="BD43" s="1854"/>
      <c r="BE43" s="1860"/>
    </row>
    <row r="44" spans="1:58" ht="15.75" customHeight="1">
      <c r="A44" s="1854"/>
      <c r="B44" s="3038"/>
      <c r="C44" s="3039"/>
      <c r="D44" s="3039"/>
      <c r="E44" s="3039"/>
      <c r="F44" s="3039"/>
      <c r="G44" s="3039"/>
      <c r="H44" s="3039"/>
      <c r="I44" s="3039"/>
      <c r="J44" s="3031"/>
      <c r="K44" s="3031"/>
      <c r="L44" s="3031"/>
      <c r="M44" s="3031"/>
      <c r="N44" s="3031"/>
      <c r="O44" s="3031"/>
      <c r="P44" s="3031"/>
      <c r="Q44" s="3031"/>
      <c r="R44" s="3032"/>
      <c r="S44" s="3032"/>
      <c r="T44" s="3032"/>
      <c r="U44" s="3032"/>
      <c r="V44" s="3032"/>
      <c r="W44" s="3032"/>
      <c r="X44" s="3032"/>
      <c r="Y44" s="3032"/>
      <c r="Z44" s="3032"/>
      <c r="AA44" s="3032"/>
      <c r="AB44" s="3032"/>
      <c r="AC44" s="3032"/>
      <c r="AD44" s="3032"/>
      <c r="AE44" s="3032"/>
      <c r="AF44" s="3032"/>
      <c r="AG44" s="3032"/>
      <c r="AH44" s="3032"/>
      <c r="AI44" s="3032"/>
      <c r="AJ44" s="3032"/>
      <c r="AK44" s="3032"/>
      <c r="AL44" s="3032"/>
      <c r="AM44" s="3032"/>
      <c r="AN44" s="3032"/>
      <c r="AO44" s="3035">
        <f t="shared" si="2"/>
        <v>0</v>
      </c>
      <c r="AP44" s="3035"/>
      <c r="AQ44" s="3035"/>
      <c r="AR44" s="3035"/>
      <c r="AS44" s="3035"/>
      <c r="AT44" s="3035"/>
      <c r="AU44" s="3036">
        <f t="shared" si="3"/>
        <v>0</v>
      </c>
      <c r="AV44" s="3036"/>
      <c r="AW44" s="3036"/>
      <c r="AX44" s="3036"/>
      <c r="AY44" s="3036"/>
      <c r="AZ44" s="3037"/>
      <c r="BA44" s="1854"/>
      <c r="BB44" s="1854"/>
      <c r="BC44" s="1854"/>
      <c r="BD44" s="1854"/>
      <c r="BE44" s="1860"/>
    </row>
    <row r="45" spans="1:58" ht="15.75" customHeight="1">
      <c r="A45" s="1854"/>
      <c r="B45" s="3038"/>
      <c r="C45" s="3039"/>
      <c r="D45" s="3039"/>
      <c r="E45" s="3039"/>
      <c r="F45" s="3039"/>
      <c r="G45" s="3039"/>
      <c r="H45" s="3039"/>
      <c r="I45" s="3039"/>
      <c r="J45" s="3031"/>
      <c r="K45" s="3031"/>
      <c r="L45" s="3031"/>
      <c r="M45" s="3031"/>
      <c r="N45" s="3031"/>
      <c r="O45" s="3031"/>
      <c r="P45" s="3031"/>
      <c r="Q45" s="3031"/>
      <c r="R45" s="3032"/>
      <c r="S45" s="3032"/>
      <c r="T45" s="3032"/>
      <c r="U45" s="3032"/>
      <c r="V45" s="3032"/>
      <c r="W45" s="3032"/>
      <c r="X45" s="3032"/>
      <c r="Y45" s="3032"/>
      <c r="Z45" s="3032"/>
      <c r="AA45" s="3032"/>
      <c r="AB45" s="3032"/>
      <c r="AC45" s="3032"/>
      <c r="AD45" s="3032"/>
      <c r="AE45" s="3032"/>
      <c r="AF45" s="3032"/>
      <c r="AG45" s="3032"/>
      <c r="AH45" s="3032"/>
      <c r="AI45" s="3032"/>
      <c r="AJ45" s="3032"/>
      <c r="AK45" s="3032"/>
      <c r="AL45" s="3032"/>
      <c r="AM45" s="3032"/>
      <c r="AN45" s="3032"/>
      <c r="AO45" s="3035">
        <f t="shared" si="2"/>
        <v>0</v>
      </c>
      <c r="AP45" s="3035"/>
      <c r="AQ45" s="3035"/>
      <c r="AR45" s="3035"/>
      <c r="AS45" s="3035"/>
      <c r="AT45" s="3035"/>
      <c r="AU45" s="3036">
        <f t="shared" si="3"/>
        <v>0</v>
      </c>
      <c r="AV45" s="3036"/>
      <c r="AW45" s="3036"/>
      <c r="AX45" s="3036"/>
      <c r="AY45" s="3036"/>
      <c r="AZ45" s="3037"/>
      <c r="BA45" s="1854"/>
      <c r="BB45" s="1854"/>
      <c r="BC45" s="1854"/>
      <c r="BD45" s="1854"/>
      <c r="BE45" s="1860"/>
    </row>
    <row r="46" spans="1:58" ht="15.75" customHeight="1">
      <c r="A46" s="1854"/>
      <c r="B46" s="3038"/>
      <c r="C46" s="3039"/>
      <c r="D46" s="3039"/>
      <c r="E46" s="3039"/>
      <c r="F46" s="3039"/>
      <c r="G46" s="3039"/>
      <c r="H46" s="3039"/>
      <c r="I46" s="3039"/>
      <c r="J46" s="3031"/>
      <c r="K46" s="3031"/>
      <c r="L46" s="3031"/>
      <c r="M46" s="3031"/>
      <c r="N46" s="3031"/>
      <c r="O46" s="3031"/>
      <c r="P46" s="3031"/>
      <c r="Q46" s="3031"/>
      <c r="R46" s="3032"/>
      <c r="S46" s="3032"/>
      <c r="T46" s="3032"/>
      <c r="U46" s="3032"/>
      <c r="V46" s="3032"/>
      <c r="W46" s="3032"/>
      <c r="X46" s="3032"/>
      <c r="Y46" s="3032"/>
      <c r="Z46" s="3032"/>
      <c r="AA46" s="3032"/>
      <c r="AB46" s="3032"/>
      <c r="AC46" s="3032"/>
      <c r="AD46" s="3032"/>
      <c r="AE46" s="3032"/>
      <c r="AF46" s="3032"/>
      <c r="AG46" s="3032"/>
      <c r="AH46" s="3032"/>
      <c r="AI46" s="3032"/>
      <c r="AJ46" s="3032"/>
      <c r="AK46" s="3032"/>
      <c r="AL46" s="3032"/>
      <c r="AM46" s="3032"/>
      <c r="AN46" s="3032"/>
      <c r="AO46" s="3035">
        <f t="shared" si="2"/>
        <v>0</v>
      </c>
      <c r="AP46" s="3035"/>
      <c r="AQ46" s="3035"/>
      <c r="AR46" s="3035"/>
      <c r="AS46" s="3035"/>
      <c r="AT46" s="3035"/>
      <c r="AU46" s="3036">
        <f t="shared" si="3"/>
        <v>0</v>
      </c>
      <c r="AV46" s="3036"/>
      <c r="AW46" s="3036"/>
      <c r="AX46" s="3036"/>
      <c r="AY46" s="3036"/>
      <c r="AZ46" s="3037"/>
      <c r="BA46" s="1854"/>
      <c r="BB46" s="1854"/>
      <c r="BC46" s="1854"/>
      <c r="BD46" s="1854"/>
      <c r="BE46" s="1860"/>
    </row>
    <row r="47" spans="1:58" ht="15.75" customHeight="1" thickBot="1">
      <c r="A47" s="1854"/>
      <c r="B47" s="3042"/>
      <c r="C47" s="3043"/>
      <c r="D47" s="3043"/>
      <c r="E47" s="3043"/>
      <c r="F47" s="3043"/>
      <c r="G47" s="3043"/>
      <c r="H47" s="3043"/>
      <c r="I47" s="3043"/>
      <c r="J47" s="3044"/>
      <c r="K47" s="3044"/>
      <c r="L47" s="3044"/>
      <c r="M47" s="3044"/>
      <c r="N47" s="3044"/>
      <c r="O47" s="3044"/>
      <c r="P47" s="3044"/>
      <c r="Q47" s="3044"/>
      <c r="R47" s="3045"/>
      <c r="S47" s="3045"/>
      <c r="T47" s="3045"/>
      <c r="U47" s="3045"/>
      <c r="V47" s="3045"/>
      <c r="W47" s="3045"/>
      <c r="X47" s="3045"/>
      <c r="Y47" s="3045"/>
      <c r="Z47" s="3045"/>
      <c r="AA47" s="3045"/>
      <c r="AB47" s="3045"/>
      <c r="AC47" s="3045"/>
      <c r="AD47" s="3045"/>
      <c r="AE47" s="3045"/>
      <c r="AF47" s="3045"/>
      <c r="AG47" s="3045"/>
      <c r="AH47" s="3045"/>
      <c r="AI47" s="3045"/>
      <c r="AJ47" s="3045"/>
      <c r="AK47" s="3045"/>
      <c r="AL47" s="3045"/>
      <c r="AM47" s="3045"/>
      <c r="AN47" s="3045"/>
      <c r="AO47" s="3049">
        <f t="shared" si="2"/>
        <v>0</v>
      </c>
      <c r="AP47" s="3049"/>
      <c r="AQ47" s="3049"/>
      <c r="AR47" s="3049"/>
      <c r="AS47" s="3049"/>
      <c r="AT47" s="3049"/>
      <c r="AU47" s="3040">
        <f t="shared" si="3"/>
        <v>0</v>
      </c>
      <c r="AV47" s="3040"/>
      <c r="AW47" s="3040"/>
      <c r="AX47" s="3040"/>
      <c r="AY47" s="3040"/>
      <c r="AZ47" s="3041"/>
      <c r="BA47" s="1854"/>
      <c r="BB47" s="1854"/>
      <c r="BC47" s="1854"/>
      <c r="BD47" s="1854"/>
      <c r="BE47" s="1860"/>
    </row>
    <row r="48" spans="1:58" ht="15.75" customHeight="1">
      <c r="A48" s="1854"/>
      <c r="B48" s="1862" t="s">
        <v>2573</v>
      </c>
      <c r="C48" s="1854"/>
      <c r="D48" s="1854"/>
      <c r="E48" s="1854"/>
      <c r="F48" s="1854"/>
      <c r="G48" s="1854"/>
      <c r="H48" s="1854"/>
      <c r="I48" s="1854"/>
      <c r="J48" s="1854"/>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4"/>
      <c r="AI48" s="1854"/>
      <c r="AJ48" s="1854"/>
      <c r="AK48" s="1854"/>
      <c r="AL48" s="1854"/>
      <c r="AM48" s="1854"/>
      <c r="AN48" s="1854"/>
      <c r="AO48" s="1854"/>
      <c r="AP48" s="1854"/>
      <c r="AQ48" s="1854"/>
      <c r="AR48" s="1854"/>
      <c r="AS48" s="1854"/>
      <c r="AT48" s="1854"/>
      <c r="AU48" s="1854"/>
      <c r="AV48" s="1854"/>
      <c r="AW48" s="1854"/>
      <c r="AX48" s="1854"/>
      <c r="AY48" s="1854"/>
      <c r="AZ48" s="1854"/>
      <c r="BA48" s="1854"/>
      <c r="BB48" s="1854"/>
      <c r="BC48" s="1854"/>
      <c r="BD48" s="1854"/>
      <c r="BE48" s="1860"/>
      <c r="BF48" s="1852"/>
    </row>
    <row r="49" spans="1:58" ht="15.75" customHeight="1" thickBot="1">
      <c r="A49" s="1854"/>
      <c r="B49" s="1862" t="s">
        <v>2252</v>
      </c>
      <c r="C49" s="1854"/>
      <c r="D49" s="1854"/>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c r="AI49" s="1854"/>
      <c r="AJ49" s="1854"/>
      <c r="AK49" s="1854"/>
      <c r="AL49" s="1854"/>
      <c r="AM49" s="1854"/>
      <c r="AN49" s="1854"/>
      <c r="AO49" s="1854"/>
      <c r="AP49" s="1856"/>
      <c r="AQ49" s="1856"/>
      <c r="AR49" s="1856"/>
      <c r="AS49" s="1856"/>
      <c r="AT49" s="1856"/>
      <c r="AU49" s="1856"/>
      <c r="AV49" s="1856"/>
      <c r="AW49" s="1856"/>
      <c r="AX49" s="1854"/>
      <c r="AY49" s="1854"/>
      <c r="AZ49" s="1854"/>
      <c r="BA49" s="1854"/>
      <c r="BB49" s="1854"/>
      <c r="BC49" s="1854"/>
      <c r="BD49" s="1854"/>
      <c r="BE49" s="1860"/>
      <c r="BF49" s="1852"/>
    </row>
    <row r="50" spans="1:58" ht="15.75" customHeight="1">
      <c r="A50" s="1854"/>
      <c r="B50" s="3015" t="s">
        <v>1877</v>
      </c>
      <c r="C50" s="3016"/>
      <c r="D50" s="3016"/>
      <c r="E50" s="3016"/>
      <c r="F50" s="3016"/>
      <c r="G50" s="3016"/>
      <c r="H50" s="3016"/>
      <c r="I50" s="3016"/>
      <c r="J50" s="3016"/>
      <c r="K50" s="3016"/>
      <c r="L50" s="3016"/>
      <c r="M50" s="3016"/>
      <c r="N50" s="3016"/>
      <c r="O50" s="3016"/>
      <c r="P50" s="3016"/>
      <c r="Q50" s="3016"/>
      <c r="R50" s="3016"/>
      <c r="S50" s="3016"/>
      <c r="T50" s="3016"/>
      <c r="U50" s="3016"/>
      <c r="V50" s="3016"/>
      <c r="W50" s="3016"/>
      <c r="X50" s="3016"/>
      <c r="Y50" s="3016"/>
      <c r="Z50" s="3016"/>
      <c r="AA50" s="3016"/>
      <c r="AB50" s="3016"/>
      <c r="AC50" s="3016"/>
      <c r="AD50" s="3016"/>
      <c r="AE50" s="3016"/>
      <c r="AF50" s="3016"/>
      <c r="AG50" s="3016"/>
      <c r="AH50" s="3016"/>
      <c r="AI50" s="3016"/>
      <c r="AJ50" s="3016"/>
      <c r="AK50" s="3016"/>
      <c r="AL50" s="3016"/>
      <c r="AM50" s="3016"/>
      <c r="AN50" s="3016"/>
      <c r="AO50" s="3017"/>
      <c r="AP50" s="1856"/>
      <c r="AQ50" s="1856"/>
      <c r="AR50" s="1856"/>
      <c r="AS50" s="1856"/>
      <c r="AT50" s="1856"/>
      <c r="AU50" s="1856"/>
      <c r="AV50" s="1856"/>
      <c r="AW50" s="1856"/>
      <c r="AX50" s="1854"/>
      <c r="AY50" s="1854"/>
      <c r="AZ50" s="1854"/>
      <c r="BA50" s="1854"/>
      <c r="BB50" s="1854"/>
      <c r="BC50" s="1854"/>
      <c r="BD50" s="1854"/>
      <c r="BE50" s="1860"/>
    </row>
    <row r="51" spans="1:58" ht="33.75" customHeight="1">
      <c r="A51" s="1854"/>
      <c r="B51" s="3046" t="s">
        <v>1878</v>
      </c>
      <c r="C51" s="3047"/>
      <c r="D51" s="3047"/>
      <c r="E51" s="3047"/>
      <c r="F51" s="3047"/>
      <c r="G51" s="3047"/>
      <c r="H51" s="3047"/>
      <c r="I51" s="3047"/>
      <c r="J51" s="3047" t="s">
        <v>2574</v>
      </c>
      <c r="K51" s="3047"/>
      <c r="L51" s="3047"/>
      <c r="M51" s="3047"/>
      <c r="N51" s="3047"/>
      <c r="O51" s="3047"/>
      <c r="P51" s="3047"/>
      <c r="Q51" s="3047"/>
      <c r="R51" s="3025" t="s">
        <v>2575</v>
      </c>
      <c r="S51" s="3025"/>
      <c r="T51" s="3025"/>
      <c r="U51" s="3025"/>
      <c r="V51" s="3025"/>
      <c r="W51" s="3025"/>
      <c r="X51" s="3025"/>
      <c r="Y51" s="3025"/>
      <c r="Z51" s="3025" t="s">
        <v>1879</v>
      </c>
      <c r="AA51" s="3025"/>
      <c r="AB51" s="3025"/>
      <c r="AC51" s="3025"/>
      <c r="AD51" s="3025"/>
      <c r="AE51" s="3025"/>
      <c r="AF51" s="3025"/>
      <c r="AG51" s="3025"/>
      <c r="AH51" s="3025" t="s">
        <v>1880</v>
      </c>
      <c r="AI51" s="3025"/>
      <c r="AJ51" s="3025"/>
      <c r="AK51" s="3025"/>
      <c r="AL51" s="3025"/>
      <c r="AM51" s="3025"/>
      <c r="AN51" s="3025"/>
      <c r="AO51" s="3048"/>
      <c r="AP51" s="1856"/>
      <c r="AQ51" s="1856"/>
      <c r="AR51" s="1856"/>
      <c r="AS51" s="1856"/>
      <c r="AT51" s="1856"/>
      <c r="AU51" s="1856"/>
      <c r="AV51" s="1856"/>
      <c r="AW51" s="1856"/>
      <c r="AX51" s="1861"/>
      <c r="AY51" s="1854"/>
      <c r="AZ51" s="1854"/>
      <c r="BA51" s="1854"/>
      <c r="BB51" s="1854"/>
      <c r="BC51" s="1854"/>
      <c r="BD51" s="1854"/>
      <c r="BE51" s="1860"/>
    </row>
    <row r="52" spans="1:58" ht="15.75" customHeight="1">
      <c r="A52" s="1854"/>
      <c r="B52" s="3050" t="s">
        <v>2767</v>
      </c>
      <c r="C52" s="3051"/>
      <c r="D52" s="3051"/>
      <c r="E52" s="3051"/>
      <c r="F52" s="3051"/>
      <c r="G52" s="3051"/>
      <c r="H52" s="3051"/>
      <c r="I52" s="3052"/>
      <c r="J52" s="3053">
        <v>1</v>
      </c>
      <c r="K52" s="3053"/>
      <c r="L52" s="3053"/>
      <c r="M52" s="3053"/>
      <c r="N52" s="3053"/>
      <c r="O52" s="3053"/>
      <c r="P52" s="3053"/>
      <c r="Q52" s="3053"/>
      <c r="R52" s="3054">
        <v>62000</v>
      </c>
      <c r="S52" s="3054"/>
      <c r="T52" s="3054"/>
      <c r="U52" s="3054"/>
      <c r="V52" s="3054"/>
      <c r="W52" s="3054"/>
      <c r="X52" s="3054"/>
      <c r="Y52" s="3054"/>
      <c r="Z52" s="3055">
        <v>40</v>
      </c>
      <c r="AA52" s="3055"/>
      <c r="AB52" s="3055"/>
      <c r="AC52" s="3055"/>
      <c r="AD52" s="3055"/>
      <c r="AE52" s="3055"/>
      <c r="AF52" s="3055"/>
      <c r="AG52" s="3055"/>
      <c r="AH52" s="3056"/>
      <c r="AI52" s="3056"/>
      <c r="AJ52" s="3056"/>
      <c r="AK52" s="3056"/>
      <c r="AL52" s="3056"/>
      <c r="AM52" s="3056"/>
      <c r="AN52" s="3056"/>
      <c r="AO52" s="3057"/>
      <c r="AP52" s="1856"/>
      <c r="AQ52" s="1856"/>
      <c r="AR52" s="1856"/>
      <c r="AS52" s="1856"/>
      <c r="AT52" s="1856"/>
      <c r="AU52" s="1856"/>
      <c r="AV52" s="1856"/>
      <c r="AW52" s="1856"/>
      <c r="AX52" s="1861"/>
      <c r="AY52" s="1854"/>
      <c r="AZ52" s="1854"/>
      <c r="BA52" s="1854"/>
      <c r="BB52" s="1854"/>
      <c r="BC52" s="1854"/>
      <c r="BD52" s="1854"/>
      <c r="BE52" s="1860"/>
    </row>
    <row r="53" spans="1:58" ht="15.75" customHeight="1">
      <c r="A53" s="1854"/>
      <c r="B53" s="3050" t="s">
        <v>2776</v>
      </c>
      <c r="C53" s="3051"/>
      <c r="D53" s="3051"/>
      <c r="E53" s="3051"/>
      <c r="F53" s="3051"/>
      <c r="G53" s="3051"/>
      <c r="H53" s="3051"/>
      <c r="I53" s="3052"/>
      <c r="J53" s="3053">
        <v>1</v>
      </c>
      <c r="K53" s="3053"/>
      <c r="L53" s="3053"/>
      <c r="M53" s="3053"/>
      <c r="N53" s="3053"/>
      <c r="O53" s="3053"/>
      <c r="P53" s="3053"/>
      <c r="Q53" s="3053"/>
      <c r="R53" s="3054">
        <v>33000</v>
      </c>
      <c r="S53" s="3054"/>
      <c r="T53" s="3054"/>
      <c r="U53" s="3054"/>
      <c r="V53" s="3054"/>
      <c r="W53" s="3054"/>
      <c r="X53" s="3054"/>
      <c r="Y53" s="3054"/>
      <c r="Z53" s="3055">
        <v>32</v>
      </c>
      <c r="AA53" s="3055"/>
      <c r="AB53" s="3055"/>
      <c r="AC53" s="3055"/>
      <c r="AD53" s="3055"/>
      <c r="AE53" s="3055"/>
      <c r="AF53" s="3055"/>
      <c r="AG53" s="3055"/>
      <c r="AH53" s="3056"/>
      <c r="AI53" s="3056"/>
      <c r="AJ53" s="3056"/>
      <c r="AK53" s="3056"/>
      <c r="AL53" s="3056"/>
      <c r="AM53" s="3056"/>
      <c r="AN53" s="3056"/>
      <c r="AO53" s="3057"/>
      <c r="AP53" s="1856"/>
      <c r="AQ53" s="1856"/>
      <c r="AR53" s="1856"/>
      <c r="AS53" s="1856"/>
      <c r="AT53" s="1856"/>
      <c r="AU53" s="1856"/>
      <c r="AV53" s="1856"/>
      <c r="AW53" s="1856"/>
      <c r="AX53" s="1854"/>
      <c r="AY53" s="1854"/>
      <c r="AZ53" s="1854"/>
      <c r="BA53" s="1854"/>
      <c r="BB53" s="1854"/>
      <c r="BC53" s="1854"/>
      <c r="BD53" s="1854"/>
      <c r="BE53" s="1860"/>
    </row>
    <row r="54" spans="1:58" ht="15.75" customHeight="1">
      <c r="A54" s="1854"/>
      <c r="B54" s="3050" t="s">
        <v>2775</v>
      </c>
      <c r="C54" s="3051"/>
      <c r="D54" s="3051"/>
      <c r="E54" s="3051"/>
      <c r="F54" s="3051"/>
      <c r="G54" s="3051"/>
      <c r="H54" s="3051"/>
      <c r="I54" s="3052"/>
      <c r="J54" s="3053">
        <v>1</v>
      </c>
      <c r="K54" s="3053"/>
      <c r="L54" s="3053"/>
      <c r="M54" s="3053"/>
      <c r="N54" s="3053"/>
      <c r="O54" s="3053"/>
      <c r="P54" s="3053"/>
      <c r="Q54" s="3053"/>
      <c r="R54" s="3054">
        <v>155000</v>
      </c>
      <c r="S54" s="3054"/>
      <c r="T54" s="3054"/>
      <c r="U54" s="3054"/>
      <c r="V54" s="3054"/>
      <c r="W54" s="3054"/>
      <c r="X54" s="3054"/>
      <c r="Y54" s="3054"/>
      <c r="Z54" s="3055">
        <v>40</v>
      </c>
      <c r="AA54" s="3055"/>
      <c r="AB54" s="3055"/>
      <c r="AC54" s="3055"/>
      <c r="AD54" s="3055"/>
      <c r="AE54" s="3055"/>
      <c r="AF54" s="3055"/>
      <c r="AG54" s="3055"/>
      <c r="AH54" s="3054">
        <v>155000</v>
      </c>
      <c r="AI54" s="3054"/>
      <c r="AJ54" s="3054"/>
      <c r="AK54" s="3054"/>
      <c r="AL54" s="3054"/>
      <c r="AM54" s="3054"/>
      <c r="AN54" s="3054"/>
      <c r="AO54" s="3054"/>
      <c r="AP54" s="1856"/>
      <c r="AQ54" s="1856"/>
      <c r="AR54" s="1856"/>
      <c r="AS54" s="1856"/>
      <c r="AT54" s="1856"/>
      <c r="AU54" s="1856"/>
      <c r="AV54" s="1856"/>
      <c r="AW54" s="1856"/>
      <c r="AX54" s="1854"/>
      <c r="AY54" s="1854"/>
      <c r="AZ54" s="1854"/>
      <c r="BA54" s="1854"/>
      <c r="BB54" s="1854"/>
      <c r="BC54" s="1854"/>
      <c r="BD54" s="1854"/>
      <c r="BE54" s="1860"/>
    </row>
    <row r="55" spans="1:58" ht="15.75" customHeight="1">
      <c r="A55" s="1854"/>
      <c r="B55" s="3038"/>
      <c r="C55" s="3039"/>
      <c r="D55" s="3039"/>
      <c r="E55" s="3039"/>
      <c r="F55" s="3039"/>
      <c r="G55" s="3039"/>
      <c r="H55" s="3039"/>
      <c r="I55" s="3039"/>
      <c r="J55" s="3053"/>
      <c r="K55" s="3053"/>
      <c r="L55" s="3053"/>
      <c r="M55" s="3053"/>
      <c r="N55" s="3053"/>
      <c r="O55" s="3053"/>
      <c r="P55" s="3053"/>
      <c r="Q55" s="3053"/>
      <c r="R55" s="3054"/>
      <c r="S55" s="3054"/>
      <c r="T55" s="3054"/>
      <c r="U55" s="3054"/>
      <c r="V55" s="3054"/>
      <c r="W55" s="3054"/>
      <c r="X55" s="3054"/>
      <c r="Y55" s="3054"/>
      <c r="Z55" s="3055"/>
      <c r="AA55" s="3055"/>
      <c r="AB55" s="3055"/>
      <c r="AC55" s="3055"/>
      <c r="AD55" s="3055"/>
      <c r="AE55" s="3055"/>
      <c r="AF55" s="3055"/>
      <c r="AG55" s="3055"/>
      <c r="AH55" s="3056"/>
      <c r="AI55" s="3056"/>
      <c r="AJ55" s="3056"/>
      <c r="AK55" s="3056"/>
      <c r="AL55" s="3056"/>
      <c r="AM55" s="3056"/>
      <c r="AN55" s="3056"/>
      <c r="AO55" s="3057"/>
      <c r="AP55" s="1856"/>
      <c r="AQ55" s="1856"/>
      <c r="AR55" s="1856"/>
      <c r="AS55" s="1856"/>
      <c r="AT55" s="1856" t="s">
        <v>251</v>
      </c>
      <c r="AU55" s="1856"/>
      <c r="AV55" s="1856"/>
      <c r="AW55" s="1856"/>
      <c r="AX55" s="1854"/>
      <c r="AY55" s="1854"/>
      <c r="AZ55" s="1854"/>
      <c r="BA55" s="1854"/>
      <c r="BB55" s="1854"/>
      <c r="BC55" s="1854"/>
      <c r="BD55" s="1854"/>
      <c r="BE55" s="1860"/>
    </row>
    <row r="56" spans="1:58" ht="15.75" customHeight="1">
      <c r="A56" s="1854"/>
      <c r="B56" s="3038"/>
      <c r="C56" s="3039"/>
      <c r="D56" s="3039"/>
      <c r="E56" s="3039"/>
      <c r="F56" s="3039"/>
      <c r="G56" s="3039"/>
      <c r="H56" s="3039"/>
      <c r="I56" s="3039"/>
      <c r="J56" s="3053"/>
      <c r="K56" s="3053"/>
      <c r="L56" s="3053"/>
      <c r="M56" s="3053"/>
      <c r="N56" s="3053"/>
      <c r="O56" s="3053"/>
      <c r="P56" s="3053"/>
      <c r="Q56" s="3053"/>
      <c r="R56" s="3054"/>
      <c r="S56" s="3054"/>
      <c r="T56" s="3054"/>
      <c r="U56" s="3054"/>
      <c r="V56" s="3054"/>
      <c r="W56" s="3054"/>
      <c r="X56" s="3054"/>
      <c r="Y56" s="3054"/>
      <c r="Z56" s="3055"/>
      <c r="AA56" s="3055"/>
      <c r="AB56" s="3055"/>
      <c r="AC56" s="3055"/>
      <c r="AD56" s="3055"/>
      <c r="AE56" s="3055"/>
      <c r="AF56" s="3055"/>
      <c r="AG56" s="3055"/>
      <c r="AH56" s="3056"/>
      <c r="AI56" s="3056"/>
      <c r="AJ56" s="3056"/>
      <c r="AK56" s="3056"/>
      <c r="AL56" s="3056"/>
      <c r="AM56" s="3056"/>
      <c r="AN56" s="3056"/>
      <c r="AO56" s="3057"/>
      <c r="AP56" s="1856"/>
      <c r="AQ56" s="1856"/>
      <c r="AR56" s="1856"/>
      <c r="AS56" s="1856"/>
      <c r="AT56" s="1856"/>
      <c r="AU56" s="1856"/>
      <c r="AV56" s="1856"/>
      <c r="AW56" s="1856"/>
      <c r="AX56" s="1854"/>
      <c r="AY56" s="1854"/>
      <c r="AZ56" s="1854"/>
      <c r="BA56" s="1854"/>
      <c r="BB56" s="1854"/>
      <c r="BC56" s="1854"/>
      <c r="BD56" s="1854"/>
      <c r="BE56" s="1860"/>
    </row>
    <row r="57" spans="1:58" s="1864" customFormat="1" ht="15.75" customHeight="1" thickBot="1">
      <c r="A57" s="1856"/>
      <c r="B57" s="3067" t="s">
        <v>1762</v>
      </c>
      <c r="C57" s="3068"/>
      <c r="D57" s="3068"/>
      <c r="E57" s="3068"/>
      <c r="F57" s="3068"/>
      <c r="G57" s="3068"/>
      <c r="H57" s="3068"/>
      <c r="I57" s="3068"/>
      <c r="J57" s="3068"/>
      <c r="K57" s="3068"/>
      <c r="L57" s="3068"/>
      <c r="M57" s="3068"/>
      <c r="N57" s="3068"/>
      <c r="O57" s="3068"/>
      <c r="P57" s="3068"/>
      <c r="Q57" s="3068"/>
      <c r="R57" s="3069">
        <f>SUM(R52:Y56)</f>
        <v>250000</v>
      </c>
      <c r="S57" s="3069"/>
      <c r="T57" s="3069"/>
      <c r="U57" s="3069"/>
      <c r="V57" s="3069"/>
      <c r="W57" s="3069"/>
      <c r="X57" s="3069"/>
      <c r="Y57" s="3069"/>
      <c r="Z57" s="3070">
        <f>SUM(Z52:AG56)</f>
        <v>112</v>
      </c>
      <c r="AA57" s="3070"/>
      <c r="AB57" s="3070"/>
      <c r="AC57" s="3070"/>
      <c r="AD57" s="3070"/>
      <c r="AE57" s="3070"/>
      <c r="AF57" s="3070"/>
      <c r="AG57" s="3070"/>
      <c r="AH57" s="3071"/>
      <c r="AI57" s="3071"/>
      <c r="AJ57" s="3071"/>
      <c r="AK57" s="3071"/>
      <c r="AL57" s="3071"/>
      <c r="AM57" s="3071"/>
      <c r="AN57" s="3071"/>
      <c r="AO57" s="3072"/>
      <c r="AP57" s="1856"/>
      <c r="AQ57" s="1856"/>
      <c r="AR57" s="1856"/>
      <c r="AS57" s="1856"/>
      <c r="AT57" s="1856"/>
      <c r="AU57" s="1856"/>
      <c r="AV57" s="1856"/>
      <c r="AW57" s="1856"/>
      <c r="AX57" s="1856"/>
      <c r="AY57" s="1856"/>
      <c r="AZ57" s="1856"/>
      <c r="BA57" s="1856"/>
      <c r="BB57" s="1856"/>
      <c r="BC57" s="1856"/>
      <c r="BD57" s="1856"/>
      <c r="BE57" s="1863"/>
    </row>
    <row r="58" spans="1:58" ht="15.75" customHeight="1" thickBot="1">
      <c r="A58" s="1854"/>
      <c r="B58" s="1854"/>
      <c r="C58" s="1854"/>
      <c r="D58" s="1854"/>
      <c r="E58" s="1854"/>
      <c r="F58" s="1854"/>
      <c r="G58" s="1854"/>
      <c r="H58" s="1854"/>
      <c r="I58" s="1854"/>
      <c r="J58" s="1854"/>
      <c r="K58" s="1854"/>
      <c r="L58" s="1854"/>
      <c r="M58" s="1854"/>
      <c r="N58" s="1854"/>
      <c r="O58" s="1854"/>
      <c r="P58" s="1854"/>
      <c r="Q58" s="1854"/>
      <c r="R58" s="1854"/>
      <c r="S58" s="1854"/>
      <c r="T58" s="1854"/>
      <c r="U58" s="1854"/>
      <c r="V58" s="1854"/>
      <c r="W58" s="1854"/>
      <c r="X58" s="1854"/>
      <c r="Y58" s="1854"/>
      <c r="Z58" s="1854"/>
      <c r="AA58" s="1854"/>
      <c r="AB58" s="1854"/>
      <c r="AC58" s="1854"/>
      <c r="AD58" s="1854"/>
      <c r="AE58" s="1854"/>
      <c r="AF58" s="1854"/>
      <c r="AG58" s="1854"/>
      <c r="AH58" s="1854"/>
      <c r="AI58" s="1854"/>
      <c r="AJ58" s="1854"/>
      <c r="AK58" s="1854"/>
      <c r="AL58" s="1854"/>
      <c r="AM58" s="1854"/>
      <c r="AN58" s="1854"/>
      <c r="AO58" s="1854"/>
      <c r="AP58" s="1854"/>
      <c r="AQ58" s="1854"/>
      <c r="AR58" s="1854"/>
      <c r="AS58" s="1854"/>
      <c r="AT58" s="1854"/>
      <c r="AU58" s="1854"/>
      <c r="AV58" s="1854"/>
      <c r="AW58" s="1854"/>
      <c r="AX58" s="1854"/>
      <c r="AY58" s="1854"/>
      <c r="AZ58" s="1854"/>
      <c r="BA58" s="1854"/>
      <c r="BB58" s="1854"/>
      <c r="BC58" s="1854"/>
      <c r="BD58" s="1854"/>
      <c r="BE58" s="1860"/>
    </row>
    <row r="59" spans="1:58" ht="15.75" customHeight="1">
      <c r="A59" s="1854"/>
      <c r="B59" s="3058" t="s">
        <v>1878</v>
      </c>
      <c r="C59" s="3059"/>
      <c r="D59" s="3059"/>
      <c r="E59" s="3059"/>
      <c r="F59" s="3059"/>
      <c r="G59" s="3059"/>
      <c r="H59" s="3059"/>
      <c r="I59" s="3060"/>
      <c r="J59" s="2978" t="s">
        <v>2576</v>
      </c>
      <c r="K59" s="2978"/>
      <c r="L59" s="2978"/>
      <c r="M59" s="2978"/>
      <c r="N59" s="2978"/>
      <c r="O59" s="2978"/>
      <c r="P59" s="2978"/>
      <c r="Q59" s="2978"/>
      <c r="R59" s="2978"/>
      <c r="S59" s="2978"/>
      <c r="T59" s="2978"/>
      <c r="U59" s="2978"/>
      <c r="V59" s="2978"/>
      <c r="W59" s="2978"/>
      <c r="X59" s="2978"/>
      <c r="Y59" s="2978"/>
      <c r="Z59" s="2978"/>
      <c r="AA59" s="2978"/>
      <c r="AB59" s="2978"/>
      <c r="AC59" s="2978"/>
      <c r="AD59" s="2978"/>
      <c r="AE59" s="2978"/>
      <c r="AF59" s="2978"/>
      <c r="AG59" s="2978"/>
      <c r="AH59" s="2978"/>
      <c r="AI59" s="2978"/>
      <c r="AJ59" s="2978"/>
      <c r="AK59" s="2978"/>
      <c r="AL59" s="2978"/>
      <c r="AM59" s="2978"/>
      <c r="AN59" s="2978"/>
      <c r="AO59" s="2978"/>
      <c r="AP59" s="2978"/>
      <c r="AQ59" s="2978"/>
      <c r="AR59" s="2978"/>
      <c r="AS59" s="2978"/>
      <c r="AT59" s="2978"/>
      <c r="AU59" s="2978"/>
      <c r="AV59" s="2978"/>
      <c r="AW59" s="2979"/>
      <c r="AX59" s="1854"/>
      <c r="AY59" s="1854"/>
      <c r="AZ59" s="1854"/>
      <c r="BA59" s="1854"/>
      <c r="BB59" s="1854"/>
      <c r="BC59" s="1854"/>
      <c r="BD59" s="1854"/>
      <c r="BE59" s="1860"/>
    </row>
    <row r="60" spans="1:58" ht="15.75" customHeight="1">
      <c r="A60" s="1854"/>
      <c r="B60" s="3061" t="str">
        <f>IF(B52="", "", B52)</f>
        <v>West Hollywood Community Housing Corporation</v>
      </c>
      <c r="C60" s="3062"/>
      <c r="D60" s="3062"/>
      <c r="E60" s="3062"/>
      <c r="F60" s="3062"/>
      <c r="G60" s="3062"/>
      <c r="H60" s="3062"/>
      <c r="I60" s="3063"/>
      <c r="J60" s="3064" t="s">
        <v>2777</v>
      </c>
      <c r="K60" s="3065"/>
      <c r="L60" s="3065"/>
      <c r="M60" s="3065"/>
      <c r="N60" s="3065"/>
      <c r="O60" s="3065"/>
      <c r="P60" s="3065"/>
      <c r="Q60" s="3065"/>
      <c r="R60" s="3065"/>
      <c r="S60" s="3065"/>
      <c r="T60" s="3065"/>
      <c r="U60" s="3065"/>
      <c r="V60" s="3065"/>
      <c r="W60" s="3065"/>
      <c r="X60" s="3065"/>
      <c r="Y60" s="3065"/>
      <c r="Z60" s="3065"/>
      <c r="AA60" s="3065"/>
      <c r="AB60" s="3065"/>
      <c r="AC60" s="3065"/>
      <c r="AD60" s="3065"/>
      <c r="AE60" s="3065"/>
      <c r="AF60" s="3065"/>
      <c r="AG60" s="3065"/>
      <c r="AH60" s="3065"/>
      <c r="AI60" s="3065"/>
      <c r="AJ60" s="3065"/>
      <c r="AK60" s="3065"/>
      <c r="AL60" s="3065"/>
      <c r="AM60" s="3065"/>
      <c r="AN60" s="3065"/>
      <c r="AO60" s="3065"/>
      <c r="AP60" s="3065"/>
      <c r="AQ60" s="3065"/>
      <c r="AR60" s="3065"/>
      <c r="AS60" s="3065"/>
      <c r="AT60" s="3065"/>
      <c r="AU60" s="3065"/>
      <c r="AV60" s="3065"/>
      <c r="AW60" s="3066"/>
      <c r="AX60" s="1854"/>
      <c r="AY60" s="1854"/>
      <c r="AZ60" s="1854"/>
      <c r="BA60" s="1854"/>
      <c r="BB60" s="1854"/>
      <c r="BC60" s="1854"/>
      <c r="BD60" s="1854"/>
      <c r="BE60" s="1860"/>
    </row>
    <row r="61" spans="1:58" ht="15.75" customHeight="1">
      <c r="A61" s="1854"/>
      <c r="B61" s="3061" t="str">
        <f>IF(B53="", "", B53)</f>
        <v>Desert AIDS Project</v>
      </c>
      <c r="C61" s="3062"/>
      <c r="D61" s="3062"/>
      <c r="E61" s="3062"/>
      <c r="F61" s="3062"/>
      <c r="G61" s="3062"/>
      <c r="H61" s="3062"/>
      <c r="I61" s="3063"/>
      <c r="J61" s="3064" t="s">
        <v>2778</v>
      </c>
      <c r="K61" s="3065"/>
      <c r="L61" s="3065"/>
      <c r="M61" s="3065"/>
      <c r="N61" s="3065"/>
      <c r="O61" s="3065"/>
      <c r="P61" s="3065"/>
      <c r="Q61" s="3065"/>
      <c r="R61" s="3065"/>
      <c r="S61" s="3065"/>
      <c r="T61" s="3065"/>
      <c r="U61" s="3065"/>
      <c r="V61" s="3065"/>
      <c r="W61" s="3065"/>
      <c r="X61" s="3065"/>
      <c r="Y61" s="3065"/>
      <c r="Z61" s="3065"/>
      <c r="AA61" s="3065"/>
      <c r="AB61" s="3065"/>
      <c r="AC61" s="3065"/>
      <c r="AD61" s="3065"/>
      <c r="AE61" s="3065"/>
      <c r="AF61" s="3065"/>
      <c r="AG61" s="3065"/>
      <c r="AH61" s="3065"/>
      <c r="AI61" s="3065"/>
      <c r="AJ61" s="3065"/>
      <c r="AK61" s="3065"/>
      <c r="AL61" s="3065"/>
      <c r="AM61" s="3065"/>
      <c r="AN61" s="3065"/>
      <c r="AO61" s="3065"/>
      <c r="AP61" s="3065"/>
      <c r="AQ61" s="3065"/>
      <c r="AR61" s="3065"/>
      <c r="AS61" s="3065"/>
      <c r="AT61" s="3065"/>
      <c r="AU61" s="3065"/>
      <c r="AV61" s="3065"/>
      <c r="AW61" s="3066"/>
      <c r="AX61" s="1854"/>
      <c r="AY61" s="1854"/>
      <c r="AZ61" s="1854"/>
      <c r="BA61" s="1854"/>
      <c r="BB61" s="1854"/>
      <c r="BC61" s="1854"/>
      <c r="BD61" s="1854"/>
      <c r="BE61" s="1860"/>
    </row>
    <row r="62" spans="1:58" ht="15.75" customHeight="1">
      <c r="A62" s="1854"/>
      <c r="B62" s="3061" t="str">
        <f>IF(B54="", "", B54)</f>
        <v>Riverside University Health System</v>
      </c>
      <c r="C62" s="3062"/>
      <c r="D62" s="3062"/>
      <c r="E62" s="3062"/>
      <c r="F62" s="3062"/>
      <c r="G62" s="3062"/>
      <c r="H62" s="3062"/>
      <c r="I62" s="3063"/>
      <c r="J62" s="3064" t="s">
        <v>2779</v>
      </c>
      <c r="K62" s="3065"/>
      <c r="L62" s="3065"/>
      <c r="M62" s="3065"/>
      <c r="N62" s="3065"/>
      <c r="O62" s="3065"/>
      <c r="P62" s="3065"/>
      <c r="Q62" s="3065"/>
      <c r="R62" s="3065"/>
      <c r="S62" s="3065"/>
      <c r="T62" s="3065"/>
      <c r="U62" s="3065"/>
      <c r="V62" s="3065"/>
      <c r="W62" s="3065"/>
      <c r="X62" s="3065"/>
      <c r="Y62" s="3065"/>
      <c r="Z62" s="3065"/>
      <c r="AA62" s="3065"/>
      <c r="AB62" s="3065"/>
      <c r="AC62" s="3065"/>
      <c r="AD62" s="3065"/>
      <c r="AE62" s="3065"/>
      <c r="AF62" s="3065"/>
      <c r="AG62" s="3065"/>
      <c r="AH62" s="3065"/>
      <c r="AI62" s="3065"/>
      <c r="AJ62" s="3065"/>
      <c r="AK62" s="3065"/>
      <c r="AL62" s="3065"/>
      <c r="AM62" s="3065"/>
      <c r="AN62" s="3065"/>
      <c r="AO62" s="3065"/>
      <c r="AP62" s="3065"/>
      <c r="AQ62" s="3065"/>
      <c r="AR62" s="3065"/>
      <c r="AS62" s="3065"/>
      <c r="AT62" s="3065"/>
      <c r="AU62" s="3065"/>
      <c r="AV62" s="3065"/>
      <c r="AW62" s="3066"/>
      <c r="AX62" s="1854"/>
      <c r="AY62" s="1854"/>
      <c r="AZ62" s="1854"/>
      <c r="BA62" s="1854"/>
      <c r="BB62" s="1854"/>
      <c r="BC62" s="1854"/>
      <c r="BD62" s="1854"/>
      <c r="BE62" s="1860"/>
    </row>
    <row r="63" spans="1:58" ht="15.75" customHeight="1">
      <c r="A63" s="1854"/>
      <c r="B63" s="3061" t="str">
        <f>IF(B55="", "", B55)</f>
        <v/>
      </c>
      <c r="C63" s="3062"/>
      <c r="D63" s="3062"/>
      <c r="E63" s="3062"/>
      <c r="F63" s="3062"/>
      <c r="G63" s="3062"/>
      <c r="H63" s="3062"/>
      <c r="I63" s="3063"/>
      <c r="J63" s="3064"/>
      <c r="K63" s="3065"/>
      <c r="L63" s="3065"/>
      <c r="M63" s="3065"/>
      <c r="N63" s="3065"/>
      <c r="O63" s="3065"/>
      <c r="P63" s="3065"/>
      <c r="Q63" s="3065"/>
      <c r="R63" s="3065"/>
      <c r="S63" s="3065"/>
      <c r="T63" s="3065"/>
      <c r="U63" s="3065"/>
      <c r="V63" s="3065"/>
      <c r="W63" s="3065"/>
      <c r="X63" s="3065"/>
      <c r="Y63" s="3065"/>
      <c r="Z63" s="3065"/>
      <c r="AA63" s="3065"/>
      <c r="AB63" s="3065"/>
      <c r="AC63" s="3065"/>
      <c r="AD63" s="3065"/>
      <c r="AE63" s="3065"/>
      <c r="AF63" s="3065"/>
      <c r="AG63" s="3065"/>
      <c r="AH63" s="3065"/>
      <c r="AI63" s="3065"/>
      <c r="AJ63" s="3065"/>
      <c r="AK63" s="3065"/>
      <c r="AL63" s="3065"/>
      <c r="AM63" s="3065"/>
      <c r="AN63" s="3065"/>
      <c r="AO63" s="3065"/>
      <c r="AP63" s="3065"/>
      <c r="AQ63" s="3065"/>
      <c r="AR63" s="3065"/>
      <c r="AS63" s="3065"/>
      <c r="AT63" s="3065"/>
      <c r="AU63" s="3065"/>
      <c r="AV63" s="3065"/>
      <c r="AW63" s="3066"/>
      <c r="AX63" s="1854"/>
      <c r="AY63" s="1854"/>
      <c r="AZ63" s="1854"/>
      <c r="BA63" s="1854"/>
      <c r="BB63" s="1854"/>
      <c r="BC63" s="1854"/>
      <c r="BD63" s="1854"/>
      <c r="BE63" s="1860"/>
    </row>
    <row r="64" spans="1:58" ht="15.75" customHeight="1" thickBot="1">
      <c r="A64" s="1854"/>
      <c r="B64" s="3086" t="str">
        <f>IF(B56="", "", B56)</f>
        <v/>
      </c>
      <c r="C64" s="3087"/>
      <c r="D64" s="3087"/>
      <c r="E64" s="3087"/>
      <c r="F64" s="3087"/>
      <c r="G64" s="3087"/>
      <c r="H64" s="3087"/>
      <c r="I64" s="3088"/>
      <c r="J64" s="3089"/>
      <c r="K64" s="3090"/>
      <c r="L64" s="3090"/>
      <c r="M64" s="3090"/>
      <c r="N64" s="3090"/>
      <c r="O64" s="3090"/>
      <c r="P64" s="3090"/>
      <c r="Q64" s="3090"/>
      <c r="R64" s="3090"/>
      <c r="S64" s="3090"/>
      <c r="T64" s="3090"/>
      <c r="U64" s="3090"/>
      <c r="V64" s="3090"/>
      <c r="W64" s="3090"/>
      <c r="X64" s="3090"/>
      <c r="Y64" s="3090"/>
      <c r="Z64" s="3090"/>
      <c r="AA64" s="3090"/>
      <c r="AB64" s="3090"/>
      <c r="AC64" s="3090"/>
      <c r="AD64" s="3090"/>
      <c r="AE64" s="3090"/>
      <c r="AF64" s="3090"/>
      <c r="AG64" s="3090"/>
      <c r="AH64" s="3090"/>
      <c r="AI64" s="3090"/>
      <c r="AJ64" s="3090"/>
      <c r="AK64" s="3090"/>
      <c r="AL64" s="3090"/>
      <c r="AM64" s="3090"/>
      <c r="AN64" s="3090"/>
      <c r="AO64" s="3090"/>
      <c r="AP64" s="3090"/>
      <c r="AQ64" s="3090"/>
      <c r="AR64" s="3090"/>
      <c r="AS64" s="3090"/>
      <c r="AT64" s="3090"/>
      <c r="AU64" s="3090"/>
      <c r="AV64" s="3090"/>
      <c r="AW64" s="3091"/>
      <c r="AX64" s="1854"/>
      <c r="AY64" s="1854"/>
      <c r="AZ64" s="1854"/>
      <c r="BA64" s="1854"/>
      <c r="BB64" s="1854"/>
      <c r="BC64" s="1854"/>
      <c r="BD64" s="1854"/>
      <c r="BE64" s="1860"/>
    </row>
    <row r="65" spans="1:65" ht="15.75" customHeight="1">
      <c r="A65" s="1854"/>
      <c r="B65" s="1854"/>
      <c r="C65" s="1854"/>
      <c r="D65" s="1854"/>
      <c r="E65" s="1854"/>
      <c r="F65" s="1854"/>
      <c r="G65" s="1854"/>
      <c r="H65" s="1854"/>
      <c r="I65" s="1854"/>
      <c r="J65" s="1854"/>
      <c r="K65" s="1854"/>
      <c r="L65" s="1854"/>
      <c r="M65" s="1854"/>
      <c r="N65" s="1854"/>
      <c r="O65" s="1854"/>
      <c r="P65" s="1854"/>
      <c r="Q65" s="1854"/>
      <c r="R65" s="1854"/>
      <c r="S65" s="1854"/>
      <c r="T65" s="1854"/>
      <c r="U65" s="1854"/>
      <c r="V65" s="1854"/>
      <c r="W65" s="1854"/>
      <c r="X65" s="1854"/>
      <c r="Y65" s="1854"/>
      <c r="Z65" s="1854"/>
      <c r="AA65" s="1854"/>
      <c r="AB65" s="1854"/>
      <c r="AC65" s="1854"/>
      <c r="AD65" s="1854"/>
      <c r="AE65" s="1854"/>
      <c r="AF65" s="1854"/>
      <c r="AG65" s="1854"/>
      <c r="AH65" s="1854"/>
      <c r="AI65" s="1854"/>
      <c r="AJ65" s="1854"/>
      <c r="AK65" s="1854"/>
      <c r="AL65" s="1854"/>
      <c r="AM65" s="1854"/>
      <c r="AN65" s="1854"/>
      <c r="AO65" s="1854"/>
      <c r="AP65" s="1854"/>
      <c r="AQ65" s="1854"/>
      <c r="AR65" s="1854"/>
      <c r="AS65" s="1854"/>
      <c r="AT65" s="1854"/>
      <c r="AU65" s="1854"/>
      <c r="AV65" s="1854"/>
      <c r="AW65" s="1854"/>
      <c r="AX65" s="1854"/>
      <c r="AY65" s="1854"/>
      <c r="AZ65" s="1854"/>
      <c r="BA65" s="1854"/>
      <c r="BB65" s="1854"/>
      <c r="BC65" s="1854"/>
      <c r="BD65" s="1854"/>
      <c r="BE65" s="1860"/>
    </row>
    <row r="66" spans="1:65" ht="15.75" customHeight="1">
      <c r="A66" s="1854"/>
      <c r="B66" s="1864" t="s">
        <v>1881</v>
      </c>
      <c r="C66" s="1864"/>
      <c r="D66" s="1864"/>
      <c r="E66" s="1864"/>
      <c r="F66" s="1864"/>
      <c r="G66" s="1864"/>
      <c r="H66" s="1864"/>
      <c r="I66" s="1864"/>
      <c r="J66" s="1864"/>
      <c r="K66" s="186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c r="AL66" s="1854"/>
      <c r="AM66" s="1854"/>
      <c r="AN66" s="1854"/>
      <c r="AO66" s="1854"/>
      <c r="AP66" s="1854"/>
      <c r="AQ66" s="1854"/>
      <c r="AR66" s="1854"/>
      <c r="AS66" s="1854"/>
      <c r="AT66" s="1854"/>
      <c r="AU66" s="1854"/>
      <c r="AV66" s="1854"/>
      <c r="AW66" s="1854"/>
      <c r="AX66" s="1854"/>
      <c r="AY66" s="1854"/>
      <c r="AZ66" s="1854"/>
      <c r="BA66" s="1854"/>
      <c r="BB66" s="1854"/>
      <c r="BC66" s="1854"/>
      <c r="BD66" s="1854"/>
      <c r="BE66" s="1860"/>
    </row>
    <row r="67" spans="1:65" ht="15.75" customHeight="1" thickBot="1">
      <c r="A67" s="1854"/>
      <c r="B67" s="1854"/>
      <c r="C67" s="1854"/>
      <c r="D67" s="1854"/>
      <c r="E67" s="1854"/>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c r="AL67" s="1854"/>
      <c r="AM67" s="1854"/>
      <c r="AN67" s="1854"/>
      <c r="AO67" s="1854"/>
      <c r="AP67" s="1854"/>
      <c r="AQ67" s="1854"/>
      <c r="AR67" s="1854"/>
      <c r="AS67" s="1854"/>
      <c r="AT67" s="1854"/>
      <c r="AU67" s="1854"/>
      <c r="AV67" s="1854"/>
      <c r="AW67" s="1854"/>
      <c r="AX67" s="1854"/>
      <c r="AY67" s="1854"/>
      <c r="AZ67" s="1854"/>
      <c r="BA67" s="1854"/>
      <c r="BB67" s="1854"/>
      <c r="BC67" s="1854"/>
      <c r="BD67" s="1854"/>
      <c r="BE67" s="1860"/>
    </row>
    <row r="68" spans="1:65" ht="15.75" customHeight="1" thickBot="1">
      <c r="A68" s="1854"/>
      <c r="B68" s="2977" t="s">
        <v>1882</v>
      </c>
      <c r="C68" s="2978"/>
      <c r="D68" s="2978"/>
      <c r="E68" s="2978"/>
      <c r="F68" s="2978"/>
      <c r="G68" s="2978"/>
      <c r="H68" s="2978"/>
      <c r="I68" s="2978"/>
      <c r="J68" s="2978"/>
      <c r="K68" s="2978"/>
      <c r="L68" s="2978"/>
      <c r="M68" s="2978"/>
      <c r="N68" s="2978"/>
      <c r="O68" s="2978"/>
      <c r="P68" s="2978"/>
      <c r="Q68" s="2978"/>
      <c r="R68" s="2978"/>
      <c r="S68" s="2978"/>
      <c r="T68" s="2978"/>
      <c r="U68" s="2978"/>
      <c r="V68" s="2978"/>
      <c r="W68" s="2978"/>
      <c r="X68" s="2978"/>
      <c r="Y68" s="2978"/>
      <c r="Z68" s="2978"/>
      <c r="AA68" s="2979"/>
      <c r="AB68" s="1854"/>
      <c r="AC68" s="3098" t="s">
        <v>1883</v>
      </c>
      <c r="AD68" s="3099"/>
      <c r="AE68" s="3099"/>
      <c r="AF68" s="3099"/>
      <c r="AG68" s="3099"/>
      <c r="AH68" s="3099"/>
      <c r="AI68" s="3099"/>
      <c r="AJ68" s="3099"/>
      <c r="AK68" s="3099"/>
      <c r="AL68" s="3099"/>
      <c r="AM68" s="3099"/>
      <c r="AN68" s="3099"/>
      <c r="AO68" s="3099"/>
      <c r="AP68" s="3099"/>
      <c r="AQ68" s="3099"/>
      <c r="AR68" s="3099"/>
      <c r="AS68" s="3099"/>
      <c r="AT68" s="3099"/>
      <c r="AU68" s="3099"/>
      <c r="AV68" s="3073" t="s">
        <v>678</v>
      </c>
      <c r="AW68" s="3074"/>
      <c r="AX68" s="3074"/>
      <c r="AY68" s="3074"/>
      <c r="AZ68" s="3074"/>
      <c r="BA68" s="3074"/>
      <c r="BB68" s="3074"/>
      <c r="BC68" s="3075"/>
      <c r="BD68" s="1854"/>
      <c r="BE68" s="1860"/>
      <c r="BM68" s="1865" t="s">
        <v>2577</v>
      </c>
    </row>
    <row r="69" spans="1:65" ht="15.75" customHeight="1" thickTop="1" thickBot="1">
      <c r="A69" s="1854"/>
      <c r="B69" s="3076" t="s">
        <v>1884</v>
      </c>
      <c r="C69" s="3077"/>
      <c r="D69" s="3077"/>
      <c r="E69" s="3077"/>
      <c r="F69" s="3077"/>
      <c r="G69" s="3077"/>
      <c r="H69" s="3077"/>
      <c r="I69" s="3077"/>
      <c r="J69" s="3077"/>
      <c r="K69" s="3077"/>
      <c r="L69" s="3077"/>
      <c r="M69" s="3077"/>
      <c r="N69" s="3077"/>
      <c r="O69" s="3078" t="s">
        <v>1885</v>
      </c>
      <c r="P69" s="3079"/>
      <c r="Q69" s="3079"/>
      <c r="R69" s="3079"/>
      <c r="S69" s="3079"/>
      <c r="T69" s="3079"/>
      <c r="U69" s="3079"/>
      <c r="V69" s="3079"/>
      <c r="W69" s="3079"/>
      <c r="X69" s="3079"/>
      <c r="Y69" s="3079"/>
      <c r="Z69" s="3079"/>
      <c r="AA69" s="3080"/>
      <c r="AB69" s="1854"/>
      <c r="AC69" s="3081" t="s">
        <v>1886</v>
      </c>
      <c r="AD69" s="3082"/>
      <c r="AE69" s="3082"/>
      <c r="AF69" s="3082"/>
      <c r="AG69" s="3082"/>
      <c r="AH69" s="3082"/>
      <c r="AI69" s="3082"/>
      <c r="AJ69" s="3082"/>
      <c r="AK69" s="3082"/>
      <c r="AL69" s="3082"/>
      <c r="AM69" s="3082"/>
      <c r="AN69" s="3082"/>
      <c r="AO69" s="3082"/>
      <c r="AP69" s="3082"/>
      <c r="AQ69" s="3082"/>
      <c r="AR69" s="3082"/>
      <c r="AS69" s="3082"/>
      <c r="AT69" s="3082"/>
      <c r="AU69" s="3082"/>
      <c r="AV69" s="3083"/>
      <c r="AW69" s="3084"/>
      <c r="AX69" s="3084"/>
      <c r="AY69" s="3084"/>
      <c r="AZ69" s="3084"/>
      <c r="BA69" s="3084"/>
      <c r="BB69" s="3084"/>
      <c r="BC69" s="3085"/>
      <c r="BD69" s="1854"/>
      <c r="BE69" s="1860"/>
      <c r="BM69" s="1866" t="s">
        <v>554</v>
      </c>
    </row>
    <row r="70" spans="1:65" ht="15.75" customHeight="1">
      <c r="A70" s="1854"/>
      <c r="B70" s="3033" t="s">
        <v>2578</v>
      </c>
      <c r="C70" s="3034"/>
      <c r="D70" s="3034"/>
      <c r="E70" s="3034"/>
      <c r="F70" s="3034"/>
      <c r="G70" s="3034"/>
      <c r="H70" s="3034"/>
      <c r="I70" s="3034"/>
      <c r="J70" s="3034"/>
      <c r="K70" s="3034"/>
      <c r="L70" s="3034"/>
      <c r="M70" s="3034"/>
      <c r="N70" s="3034"/>
      <c r="O70" s="3092">
        <v>0</v>
      </c>
      <c r="P70" s="3092"/>
      <c r="Q70" s="3092"/>
      <c r="R70" s="3092"/>
      <c r="S70" s="3092"/>
      <c r="T70" s="3092"/>
      <c r="U70" s="3092"/>
      <c r="V70" s="3092"/>
      <c r="W70" s="3092"/>
      <c r="X70" s="3092"/>
      <c r="Y70" s="3092"/>
      <c r="Z70" s="3092"/>
      <c r="AA70" s="3093"/>
      <c r="AB70" s="1854"/>
      <c r="AC70" s="3015" t="s">
        <v>1887</v>
      </c>
      <c r="AD70" s="3016"/>
      <c r="AE70" s="3016"/>
      <c r="AF70" s="3094" t="s">
        <v>2615</v>
      </c>
      <c r="AG70" s="3094"/>
      <c r="AH70" s="3094"/>
      <c r="AI70" s="3094"/>
      <c r="AJ70" s="3094"/>
      <c r="AK70" s="3094"/>
      <c r="AL70" s="3094"/>
      <c r="AM70" s="3094"/>
      <c r="AN70" s="3094"/>
      <c r="AO70" s="3094"/>
      <c r="AP70" s="3094"/>
      <c r="AQ70" s="3094"/>
      <c r="AR70" s="3094"/>
      <c r="AS70" s="3094"/>
      <c r="AT70" s="3094"/>
      <c r="AU70" s="3095"/>
      <c r="AV70" s="1854"/>
      <c r="AW70" s="1854"/>
      <c r="AX70" s="1854"/>
      <c r="AY70" s="1854"/>
      <c r="AZ70" s="1854"/>
      <c r="BA70" s="1854"/>
      <c r="BB70" s="1854"/>
      <c r="BC70" s="1854"/>
      <c r="BD70" s="1854"/>
      <c r="BE70" s="1860"/>
      <c r="BM70" s="1867" t="s">
        <v>678</v>
      </c>
    </row>
    <row r="71" spans="1:65" ht="15.75" customHeight="1" thickBot="1">
      <c r="A71" s="1854"/>
      <c r="B71" s="3033" t="s">
        <v>2579</v>
      </c>
      <c r="C71" s="3034"/>
      <c r="D71" s="3034"/>
      <c r="E71" s="3034"/>
      <c r="F71" s="3034"/>
      <c r="G71" s="3034"/>
      <c r="H71" s="3034"/>
      <c r="I71" s="3034"/>
      <c r="J71" s="3034"/>
      <c r="K71" s="3034"/>
      <c r="L71" s="3034"/>
      <c r="M71" s="3034"/>
      <c r="N71" s="3034"/>
      <c r="O71" s="3092">
        <v>0</v>
      </c>
      <c r="P71" s="3092"/>
      <c r="Q71" s="3092"/>
      <c r="R71" s="3092"/>
      <c r="S71" s="3092"/>
      <c r="T71" s="3092"/>
      <c r="U71" s="3092"/>
      <c r="V71" s="3092"/>
      <c r="W71" s="3092"/>
      <c r="X71" s="3092"/>
      <c r="Y71" s="3092"/>
      <c r="Z71" s="3092"/>
      <c r="AA71" s="3093"/>
      <c r="AB71" s="1854"/>
      <c r="AC71" s="3096" t="s">
        <v>1888</v>
      </c>
      <c r="AD71" s="3097"/>
      <c r="AE71" s="3097"/>
      <c r="AF71" s="3090" t="s">
        <v>2613</v>
      </c>
      <c r="AG71" s="3090"/>
      <c r="AH71" s="3090"/>
      <c r="AI71" s="3090"/>
      <c r="AJ71" s="3090"/>
      <c r="AK71" s="3090"/>
      <c r="AL71" s="3090"/>
      <c r="AM71" s="3090"/>
      <c r="AN71" s="3090"/>
      <c r="AO71" s="3090"/>
      <c r="AP71" s="3090"/>
      <c r="AQ71" s="3090"/>
      <c r="AR71" s="3090"/>
      <c r="AS71" s="3090"/>
      <c r="AT71" s="3090"/>
      <c r="AU71" s="3091"/>
      <c r="AV71" s="1854"/>
      <c r="AW71" s="1854"/>
      <c r="AX71" s="1854"/>
      <c r="AY71" s="1854"/>
      <c r="AZ71" s="1854"/>
      <c r="BA71" s="1854"/>
      <c r="BB71" s="1854"/>
      <c r="BC71" s="1854"/>
      <c r="BD71" s="1854"/>
      <c r="BE71" s="1860"/>
      <c r="BM71" s="1851" t="s">
        <v>2580</v>
      </c>
    </row>
    <row r="72" spans="1:65" ht="15.75" customHeight="1">
      <c r="A72" s="1854"/>
      <c r="B72" s="3033" t="s">
        <v>2581</v>
      </c>
      <c r="C72" s="3034"/>
      <c r="D72" s="3034"/>
      <c r="E72" s="3034"/>
      <c r="F72" s="3034"/>
      <c r="G72" s="3034"/>
      <c r="H72" s="3034"/>
      <c r="I72" s="3034"/>
      <c r="J72" s="3034"/>
      <c r="K72" s="3034"/>
      <c r="L72" s="3034"/>
      <c r="M72" s="3034"/>
      <c r="N72" s="3034"/>
      <c r="O72" s="3092">
        <v>0</v>
      </c>
      <c r="P72" s="3092"/>
      <c r="Q72" s="3092"/>
      <c r="R72" s="3092"/>
      <c r="S72" s="3092"/>
      <c r="T72" s="3092"/>
      <c r="U72" s="3092"/>
      <c r="V72" s="3092"/>
      <c r="W72" s="3092"/>
      <c r="X72" s="3092"/>
      <c r="Y72" s="3092"/>
      <c r="Z72" s="3092"/>
      <c r="AA72" s="3093"/>
      <c r="AB72" s="1854"/>
      <c r="AC72" s="3100" t="s">
        <v>2582</v>
      </c>
      <c r="AD72" s="3101"/>
      <c r="AE72" s="3101"/>
      <c r="AF72" s="3101"/>
      <c r="AG72" s="3101"/>
      <c r="AH72" s="3101"/>
      <c r="AI72" s="3101"/>
      <c r="AJ72" s="3101"/>
      <c r="AK72" s="3101"/>
      <c r="AL72" s="3101"/>
      <c r="AM72" s="3101"/>
      <c r="AN72" s="3101"/>
      <c r="AO72" s="3101"/>
      <c r="AP72" s="3101"/>
      <c r="AQ72" s="3101"/>
      <c r="AR72" s="3101"/>
      <c r="AS72" s="3101"/>
      <c r="AT72" s="3101"/>
      <c r="AU72" s="3101"/>
      <c r="AV72" s="3016"/>
      <c r="AW72" s="3016"/>
      <c r="AX72" s="3016"/>
      <c r="AY72" s="3016"/>
      <c r="AZ72" s="3016"/>
      <c r="BA72" s="3016"/>
      <c r="BB72" s="3016"/>
      <c r="BC72" s="3017"/>
      <c r="BD72" s="1854"/>
      <c r="BE72" s="1860"/>
    </row>
    <row r="73" spans="1:65" ht="15.75" customHeight="1">
      <c r="A73" s="1854"/>
      <c r="B73" s="3038" t="s">
        <v>2583</v>
      </c>
      <c r="C73" s="3039"/>
      <c r="D73" s="3039"/>
      <c r="E73" s="3039"/>
      <c r="F73" s="3039"/>
      <c r="G73" s="3039"/>
      <c r="H73" s="3039"/>
      <c r="I73" s="3039"/>
      <c r="J73" s="3039"/>
      <c r="K73" s="3039"/>
      <c r="L73" s="3039"/>
      <c r="M73" s="3039"/>
      <c r="N73" s="3039"/>
      <c r="O73" s="3092">
        <v>0</v>
      </c>
      <c r="P73" s="3092"/>
      <c r="Q73" s="3092"/>
      <c r="R73" s="3092"/>
      <c r="S73" s="3092"/>
      <c r="T73" s="3092"/>
      <c r="U73" s="3092"/>
      <c r="V73" s="3092"/>
      <c r="W73" s="3092"/>
      <c r="X73" s="3092"/>
      <c r="Y73" s="3092"/>
      <c r="Z73" s="3092"/>
      <c r="AA73" s="3093"/>
      <c r="AB73" s="1854"/>
      <c r="AC73" s="3102" t="s">
        <v>2253</v>
      </c>
      <c r="AD73" s="3103"/>
      <c r="AE73" s="3103"/>
      <c r="AF73" s="3103"/>
      <c r="AG73" s="3103"/>
      <c r="AH73" s="3103"/>
      <c r="AI73" s="3103"/>
      <c r="AJ73" s="3103"/>
      <c r="AK73" s="3103"/>
      <c r="AL73" s="3103"/>
      <c r="AM73" s="3103"/>
      <c r="AN73" s="3103"/>
      <c r="AO73" s="3103"/>
      <c r="AP73" s="3103"/>
      <c r="AQ73" s="3103"/>
      <c r="AR73" s="3103"/>
      <c r="AS73" s="3103"/>
      <c r="AT73" s="3103"/>
      <c r="AU73" s="3103"/>
      <c r="AV73" s="3103"/>
      <c r="AW73" s="3103"/>
      <c r="AX73" s="3103"/>
      <c r="AY73" s="3103"/>
      <c r="AZ73" s="3103"/>
      <c r="BA73" s="3103"/>
      <c r="BB73" s="3103"/>
      <c r="BC73" s="3104"/>
      <c r="BD73" s="1854"/>
      <c r="BE73" s="1860"/>
    </row>
    <row r="74" spans="1:65" ht="15.75" customHeight="1">
      <c r="A74" s="1854"/>
      <c r="B74" s="3108"/>
      <c r="C74" s="3053"/>
      <c r="D74" s="3053"/>
      <c r="E74" s="3053"/>
      <c r="F74" s="3053"/>
      <c r="G74" s="3053"/>
      <c r="H74" s="3053"/>
      <c r="I74" s="3053"/>
      <c r="J74" s="3053"/>
      <c r="K74" s="3053"/>
      <c r="L74" s="3053"/>
      <c r="M74" s="3053"/>
      <c r="N74" s="3053"/>
      <c r="O74" s="3092"/>
      <c r="P74" s="3092"/>
      <c r="Q74" s="3092"/>
      <c r="R74" s="3092"/>
      <c r="S74" s="3092"/>
      <c r="T74" s="3092"/>
      <c r="U74" s="3092"/>
      <c r="V74" s="3092"/>
      <c r="W74" s="3092"/>
      <c r="X74" s="3092"/>
      <c r="Y74" s="3092"/>
      <c r="Z74" s="3092"/>
      <c r="AA74" s="3093"/>
      <c r="AB74" s="1854"/>
      <c r="AC74" s="3102"/>
      <c r="AD74" s="3103"/>
      <c r="AE74" s="3103"/>
      <c r="AF74" s="3103"/>
      <c r="AG74" s="3103"/>
      <c r="AH74" s="3103"/>
      <c r="AI74" s="3103"/>
      <c r="AJ74" s="3103"/>
      <c r="AK74" s="3103"/>
      <c r="AL74" s="3103"/>
      <c r="AM74" s="3103"/>
      <c r="AN74" s="3103"/>
      <c r="AO74" s="3103"/>
      <c r="AP74" s="3103"/>
      <c r="AQ74" s="3103"/>
      <c r="AR74" s="3103"/>
      <c r="AS74" s="3103"/>
      <c r="AT74" s="3103"/>
      <c r="AU74" s="3103"/>
      <c r="AV74" s="3103"/>
      <c r="AW74" s="3103"/>
      <c r="AX74" s="3103"/>
      <c r="AY74" s="3103"/>
      <c r="AZ74" s="3103"/>
      <c r="BA74" s="3103"/>
      <c r="BB74" s="3103"/>
      <c r="BC74" s="3104"/>
      <c r="BD74" s="1854"/>
      <c r="BE74" s="1860"/>
    </row>
    <row r="75" spans="1:65" ht="15.75" customHeight="1" thickBot="1">
      <c r="A75" s="1854"/>
      <c r="B75" s="3109" t="s">
        <v>125</v>
      </c>
      <c r="C75" s="3110"/>
      <c r="D75" s="3110"/>
      <c r="E75" s="3110"/>
      <c r="F75" s="3110"/>
      <c r="G75" s="3110"/>
      <c r="H75" s="3110"/>
      <c r="I75" s="3110"/>
      <c r="J75" s="3110"/>
      <c r="K75" s="3110"/>
      <c r="L75" s="3110"/>
      <c r="M75" s="3110"/>
      <c r="N75" s="3110"/>
      <c r="O75" s="3111">
        <f>SUM(O70:AA74)</f>
        <v>0</v>
      </c>
      <c r="P75" s="3111"/>
      <c r="Q75" s="3111"/>
      <c r="R75" s="3111"/>
      <c r="S75" s="3111"/>
      <c r="T75" s="3111"/>
      <c r="U75" s="3111"/>
      <c r="V75" s="3111"/>
      <c r="W75" s="3111"/>
      <c r="X75" s="3111"/>
      <c r="Y75" s="3111"/>
      <c r="Z75" s="3111"/>
      <c r="AA75" s="3112"/>
      <c r="AB75" s="1854"/>
      <c r="AC75" s="3102"/>
      <c r="AD75" s="3103"/>
      <c r="AE75" s="3103"/>
      <c r="AF75" s="3103"/>
      <c r="AG75" s="3103"/>
      <c r="AH75" s="3103"/>
      <c r="AI75" s="3103"/>
      <c r="AJ75" s="3103"/>
      <c r="AK75" s="3103"/>
      <c r="AL75" s="3103"/>
      <c r="AM75" s="3103"/>
      <c r="AN75" s="3103"/>
      <c r="AO75" s="3103"/>
      <c r="AP75" s="3103"/>
      <c r="AQ75" s="3103"/>
      <c r="AR75" s="3103"/>
      <c r="AS75" s="3103"/>
      <c r="AT75" s="3103"/>
      <c r="AU75" s="3103"/>
      <c r="AV75" s="3103"/>
      <c r="AW75" s="3103"/>
      <c r="AX75" s="3103"/>
      <c r="AY75" s="3103"/>
      <c r="AZ75" s="3103"/>
      <c r="BA75" s="3103"/>
      <c r="BB75" s="3103"/>
      <c r="BC75" s="3104"/>
      <c r="BD75" s="1854"/>
      <c r="BE75" s="1860"/>
    </row>
    <row r="76" spans="1:65" ht="15.75" customHeight="1">
      <c r="A76" s="1854"/>
      <c r="B76" s="1854"/>
      <c r="C76" s="1854"/>
      <c r="D76" s="1854"/>
      <c r="E76" s="1854"/>
      <c r="F76" s="1854"/>
      <c r="G76" s="1854"/>
      <c r="H76" s="1854"/>
      <c r="I76" s="1854"/>
      <c r="J76" s="1854"/>
      <c r="K76" s="1854"/>
      <c r="L76" s="1854"/>
      <c r="M76" s="1854"/>
      <c r="N76" s="1854"/>
      <c r="O76" s="1854"/>
      <c r="P76" s="1854"/>
      <c r="Q76" s="1854"/>
      <c r="R76" s="1854"/>
      <c r="S76" s="1854"/>
      <c r="T76" s="1854"/>
      <c r="U76" s="1854"/>
      <c r="V76" s="1854"/>
      <c r="W76" s="1854"/>
      <c r="X76" s="1854"/>
      <c r="Y76" s="1854"/>
      <c r="Z76" s="1854"/>
      <c r="AA76" s="1854"/>
      <c r="AB76" s="1854"/>
      <c r="AC76" s="3102"/>
      <c r="AD76" s="3103"/>
      <c r="AE76" s="3103"/>
      <c r="AF76" s="3103"/>
      <c r="AG76" s="3103"/>
      <c r="AH76" s="3103"/>
      <c r="AI76" s="3103"/>
      <c r="AJ76" s="3103"/>
      <c r="AK76" s="3103"/>
      <c r="AL76" s="3103"/>
      <c r="AM76" s="3103"/>
      <c r="AN76" s="3103"/>
      <c r="AO76" s="3103"/>
      <c r="AP76" s="3103"/>
      <c r="AQ76" s="3103"/>
      <c r="AR76" s="3103"/>
      <c r="AS76" s="3103"/>
      <c r="AT76" s="3103"/>
      <c r="AU76" s="3103"/>
      <c r="AV76" s="3103"/>
      <c r="AW76" s="3103"/>
      <c r="AX76" s="3103"/>
      <c r="AY76" s="3103"/>
      <c r="AZ76" s="3103"/>
      <c r="BA76" s="3103"/>
      <c r="BB76" s="3103"/>
      <c r="BC76" s="3104"/>
      <c r="BD76" s="1854"/>
      <c r="BE76" s="1860"/>
    </row>
    <row r="77" spans="1:65" ht="15.75" customHeight="1" thickBot="1">
      <c r="A77" s="1854"/>
      <c r="B77" s="1868" t="s">
        <v>1889</v>
      </c>
      <c r="C77" s="1869"/>
      <c r="D77" s="1869"/>
      <c r="E77" s="1869"/>
      <c r="F77" s="1869"/>
      <c r="G77" s="1869"/>
      <c r="H77" s="1869"/>
      <c r="I77" s="1869"/>
      <c r="J77" s="1869"/>
      <c r="K77" s="1869"/>
      <c r="L77" s="1869"/>
      <c r="M77" s="1869"/>
      <c r="N77" s="1869"/>
      <c r="O77" s="1869"/>
      <c r="P77" s="1869"/>
      <c r="Q77" s="1854"/>
      <c r="R77" s="1854"/>
      <c r="S77" s="1854"/>
      <c r="T77" s="1854"/>
      <c r="U77" s="1854"/>
      <c r="V77" s="1854"/>
      <c r="W77" s="1854"/>
      <c r="X77" s="1854"/>
      <c r="Y77" s="1854"/>
      <c r="Z77" s="1854"/>
      <c r="AA77" s="1854"/>
      <c r="AB77" s="1854"/>
      <c r="AC77" s="3105"/>
      <c r="AD77" s="3106"/>
      <c r="AE77" s="3106"/>
      <c r="AF77" s="3106"/>
      <c r="AG77" s="3106"/>
      <c r="AH77" s="3106"/>
      <c r="AI77" s="3106"/>
      <c r="AJ77" s="3106"/>
      <c r="AK77" s="3106"/>
      <c r="AL77" s="3106"/>
      <c r="AM77" s="3106"/>
      <c r="AN77" s="3106"/>
      <c r="AO77" s="3106"/>
      <c r="AP77" s="3106"/>
      <c r="AQ77" s="3106"/>
      <c r="AR77" s="3106"/>
      <c r="AS77" s="3106"/>
      <c r="AT77" s="3106"/>
      <c r="AU77" s="3106"/>
      <c r="AV77" s="3106"/>
      <c r="AW77" s="3106"/>
      <c r="AX77" s="3106"/>
      <c r="AY77" s="3106"/>
      <c r="AZ77" s="3106"/>
      <c r="BA77" s="3106"/>
      <c r="BB77" s="3106"/>
      <c r="BC77" s="3107"/>
      <c r="BD77" s="1854"/>
      <c r="BE77" s="1860"/>
    </row>
    <row r="78" spans="1:65" ht="15.75" customHeight="1" thickBot="1">
      <c r="A78" s="1854"/>
      <c r="B78" s="1854"/>
      <c r="C78" s="1854"/>
      <c r="D78" s="1854"/>
      <c r="E78" s="1854"/>
      <c r="F78" s="1854"/>
      <c r="G78" s="1854"/>
      <c r="H78" s="1854"/>
      <c r="I78" s="1854"/>
      <c r="J78" s="1854"/>
      <c r="K78" s="1854"/>
      <c r="L78" s="1854"/>
      <c r="M78" s="1854"/>
      <c r="N78" s="1854"/>
      <c r="O78" s="1854"/>
      <c r="P78" s="1854"/>
      <c r="Q78" s="1854"/>
      <c r="R78" s="1854"/>
      <c r="S78" s="1854"/>
      <c r="T78" s="1854"/>
      <c r="U78" s="1854"/>
      <c r="V78" s="1854"/>
      <c r="W78" s="1854"/>
      <c r="X78" s="1854"/>
      <c r="Y78" s="1854"/>
      <c r="Z78" s="1854"/>
      <c r="AA78" s="1854"/>
      <c r="AB78" s="1854"/>
      <c r="AC78" s="1854"/>
      <c r="AD78" s="1854"/>
      <c r="AE78" s="1854"/>
      <c r="AF78" s="1854"/>
      <c r="AG78" s="1854"/>
      <c r="AH78" s="1854"/>
      <c r="AI78" s="1854"/>
      <c r="AJ78" s="1854"/>
      <c r="AK78" s="1854"/>
      <c r="AL78" s="1854"/>
      <c r="AM78" s="1854"/>
      <c r="AN78" s="1854"/>
      <c r="AO78" s="1854"/>
      <c r="AP78" s="1854"/>
      <c r="AQ78" s="1854"/>
      <c r="AR78" s="1854"/>
      <c r="AS78" s="1854"/>
      <c r="AT78" s="1854"/>
      <c r="AU78" s="1854"/>
      <c r="AV78" s="1854"/>
      <c r="AW78" s="1854"/>
      <c r="AX78" s="1854"/>
      <c r="AY78" s="1854"/>
      <c r="AZ78" s="1854"/>
      <c r="BA78" s="1854"/>
      <c r="BB78" s="1854"/>
      <c r="BC78" s="1854"/>
      <c r="BD78" s="1854"/>
      <c r="BE78" s="1860"/>
    </row>
    <row r="79" spans="1:65" ht="15.75" customHeight="1">
      <c r="A79" s="1854"/>
      <c r="B79" s="3113" t="s">
        <v>2238</v>
      </c>
      <c r="C79" s="3114"/>
      <c r="D79" s="3114"/>
      <c r="E79" s="3114"/>
      <c r="F79" s="3114"/>
      <c r="G79" s="3114"/>
      <c r="H79" s="3114"/>
      <c r="I79" s="3114"/>
      <c r="J79" s="3114"/>
      <c r="K79" s="3114"/>
      <c r="L79" s="3114"/>
      <c r="M79" s="3114"/>
      <c r="N79" s="3114"/>
      <c r="O79" s="3114"/>
      <c r="P79" s="3114"/>
      <c r="Q79" s="3114"/>
      <c r="R79" s="3114"/>
      <c r="S79" s="3114"/>
      <c r="T79" s="3114"/>
      <c r="U79" s="3114"/>
      <c r="V79" s="3114"/>
      <c r="W79" s="3114"/>
      <c r="X79" s="3114"/>
      <c r="Y79" s="3114"/>
      <c r="Z79" s="3114"/>
      <c r="AA79" s="3114"/>
      <c r="AB79" s="3114"/>
      <c r="AC79" s="3114"/>
      <c r="AD79" s="3114"/>
      <c r="AE79" s="3114"/>
      <c r="AF79" s="3114"/>
      <c r="AG79" s="3114"/>
      <c r="AH79" s="3115"/>
      <c r="AI79" s="1854"/>
      <c r="AJ79" s="3116" t="s">
        <v>2584</v>
      </c>
      <c r="AK79" s="3117"/>
      <c r="AL79" s="3117"/>
      <c r="AM79" s="3117"/>
      <c r="AN79" s="3117"/>
      <c r="AO79" s="3117"/>
      <c r="AP79" s="3117"/>
      <c r="AQ79" s="3117"/>
      <c r="AR79" s="3117"/>
      <c r="AS79" s="3117"/>
      <c r="AT79" s="3117"/>
      <c r="AU79" s="3117"/>
      <c r="AV79" s="3117"/>
      <c r="AW79" s="3117"/>
      <c r="AX79" s="3117"/>
      <c r="AY79" s="3120" t="s">
        <v>554</v>
      </c>
      <c r="AZ79" s="3120"/>
      <c r="BA79" s="3120"/>
      <c r="BB79" s="3121"/>
      <c r="BC79" s="1854"/>
      <c r="BD79" s="1854"/>
      <c r="BE79" s="1860"/>
    </row>
    <row r="80" spans="1:65" ht="15.75" customHeight="1">
      <c r="A80" s="1854"/>
      <c r="B80" s="3046"/>
      <c r="C80" s="3047"/>
      <c r="D80" s="3047"/>
      <c r="E80" s="3047"/>
      <c r="F80" s="3047"/>
      <c r="G80" s="3047"/>
      <c r="H80" s="3047"/>
      <c r="I80" s="3047" t="s">
        <v>1890</v>
      </c>
      <c r="J80" s="3047"/>
      <c r="K80" s="3047"/>
      <c r="L80" s="3047"/>
      <c r="M80" s="3047"/>
      <c r="N80" s="3047"/>
      <c r="O80" s="3047" t="s">
        <v>1891</v>
      </c>
      <c r="P80" s="3047"/>
      <c r="Q80" s="3047"/>
      <c r="R80" s="3047"/>
      <c r="S80" s="3047"/>
      <c r="T80" s="3047"/>
      <c r="U80" s="3047"/>
      <c r="V80" s="3124" t="s">
        <v>2254</v>
      </c>
      <c r="W80" s="3124"/>
      <c r="X80" s="3124"/>
      <c r="Y80" s="3124"/>
      <c r="Z80" s="3124"/>
      <c r="AA80" s="3124"/>
      <c r="AB80" s="3023" t="s">
        <v>1892</v>
      </c>
      <c r="AC80" s="3023"/>
      <c r="AD80" s="3023"/>
      <c r="AE80" s="3023"/>
      <c r="AF80" s="3023"/>
      <c r="AG80" s="3023"/>
      <c r="AH80" s="3024"/>
      <c r="AI80" s="1854"/>
      <c r="AJ80" s="3118"/>
      <c r="AK80" s="3119"/>
      <c r="AL80" s="3119"/>
      <c r="AM80" s="3119"/>
      <c r="AN80" s="3119"/>
      <c r="AO80" s="3119"/>
      <c r="AP80" s="3119"/>
      <c r="AQ80" s="3119"/>
      <c r="AR80" s="3119"/>
      <c r="AS80" s="3119"/>
      <c r="AT80" s="3119"/>
      <c r="AU80" s="3119"/>
      <c r="AV80" s="3119"/>
      <c r="AW80" s="3119"/>
      <c r="AX80" s="3119"/>
      <c r="AY80" s="3122"/>
      <c r="AZ80" s="3122"/>
      <c r="BA80" s="3122"/>
      <c r="BB80" s="3123"/>
      <c r="BC80" s="1854"/>
      <c r="BD80" s="1854"/>
      <c r="BE80" s="1860"/>
    </row>
    <row r="81" spans="1:57" ht="15.75" customHeight="1">
      <c r="A81" s="1854"/>
      <c r="B81" s="3046"/>
      <c r="C81" s="3047"/>
      <c r="D81" s="3047"/>
      <c r="E81" s="3047"/>
      <c r="F81" s="3047"/>
      <c r="G81" s="3047"/>
      <c r="H81" s="3047"/>
      <c r="I81" s="3047"/>
      <c r="J81" s="3047"/>
      <c r="K81" s="3047"/>
      <c r="L81" s="3047"/>
      <c r="M81" s="3047"/>
      <c r="N81" s="3047"/>
      <c r="O81" s="3047"/>
      <c r="P81" s="3047"/>
      <c r="Q81" s="3047"/>
      <c r="R81" s="3047"/>
      <c r="S81" s="3047"/>
      <c r="T81" s="3047"/>
      <c r="U81" s="3047"/>
      <c r="V81" s="3124"/>
      <c r="W81" s="3124"/>
      <c r="X81" s="3124"/>
      <c r="Y81" s="3124"/>
      <c r="Z81" s="3124"/>
      <c r="AA81" s="3124"/>
      <c r="AB81" s="3023"/>
      <c r="AC81" s="3023"/>
      <c r="AD81" s="3023"/>
      <c r="AE81" s="3023"/>
      <c r="AF81" s="3023"/>
      <c r="AG81" s="3023"/>
      <c r="AH81" s="3024"/>
      <c r="AI81" s="1854"/>
      <c r="AJ81" s="3118"/>
      <c r="AK81" s="3119"/>
      <c r="AL81" s="3119"/>
      <c r="AM81" s="3119"/>
      <c r="AN81" s="3119"/>
      <c r="AO81" s="3119"/>
      <c r="AP81" s="3119"/>
      <c r="AQ81" s="3119"/>
      <c r="AR81" s="3119"/>
      <c r="AS81" s="3119"/>
      <c r="AT81" s="3119"/>
      <c r="AU81" s="3119"/>
      <c r="AV81" s="3119"/>
      <c r="AW81" s="3119"/>
      <c r="AX81" s="3119"/>
      <c r="AY81" s="3122"/>
      <c r="AZ81" s="3122"/>
      <c r="BA81" s="3122"/>
      <c r="BB81" s="3123"/>
      <c r="BC81" s="1854"/>
      <c r="BD81" s="1854"/>
      <c r="BE81" s="1860"/>
    </row>
    <row r="82" spans="1:57" ht="15.75" customHeight="1">
      <c r="A82" s="1854"/>
      <c r="B82" s="3046" t="s">
        <v>2239</v>
      </c>
      <c r="C82" s="3047"/>
      <c r="D82" s="3047"/>
      <c r="E82" s="3047"/>
      <c r="F82" s="3047"/>
      <c r="G82" s="3047"/>
      <c r="H82" s="3047"/>
      <c r="I82" s="3125">
        <v>4</v>
      </c>
      <c r="J82" s="3125"/>
      <c r="K82" s="3125"/>
      <c r="L82" s="3125"/>
      <c r="M82" s="3125"/>
      <c r="N82" s="3125"/>
      <c r="O82" s="3125">
        <v>2</v>
      </c>
      <c r="P82" s="3125"/>
      <c r="Q82" s="3125"/>
      <c r="R82" s="3125"/>
      <c r="S82" s="3125"/>
      <c r="T82" s="3125"/>
      <c r="U82" s="3125"/>
      <c r="V82" s="3125">
        <v>4</v>
      </c>
      <c r="W82" s="3125"/>
      <c r="X82" s="3125"/>
      <c r="Y82" s="3125"/>
      <c r="Z82" s="3125"/>
      <c r="AA82" s="3125"/>
      <c r="AB82" s="3125">
        <v>0</v>
      </c>
      <c r="AC82" s="3125"/>
      <c r="AD82" s="3125"/>
      <c r="AE82" s="3125"/>
      <c r="AF82" s="3125"/>
      <c r="AG82" s="3125"/>
      <c r="AH82" s="3134"/>
      <c r="AI82" s="1854"/>
      <c r="AJ82" s="3118"/>
      <c r="AK82" s="3119"/>
      <c r="AL82" s="3119"/>
      <c r="AM82" s="3119"/>
      <c r="AN82" s="3119"/>
      <c r="AO82" s="3119"/>
      <c r="AP82" s="3119"/>
      <c r="AQ82" s="3119"/>
      <c r="AR82" s="3119"/>
      <c r="AS82" s="3119"/>
      <c r="AT82" s="3119"/>
      <c r="AU82" s="3119"/>
      <c r="AV82" s="3119"/>
      <c r="AW82" s="3119"/>
      <c r="AX82" s="3119"/>
      <c r="AY82" s="3122"/>
      <c r="AZ82" s="3122"/>
      <c r="BA82" s="3122"/>
      <c r="BB82" s="3123"/>
      <c r="BC82" s="1854"/>
      <c r="BD82" s="1854"/>
      <c r="BE82" s="1860"/>
    </row>
    <row r="83" spans="1:57" ht="15.75" customHeight="1">
      <c r="A83" s="1854"/>
      <c r="B83" s="3046" t="s">
        <v>2240</v>
      </c>
      <c r="C83" s="3047"/>
      <c r="D83" s="3047"/>
      <c r="E83" s="3047"/>
      <c r="F83" s="3047"/>
      <c r="G83" s="3047"/>
      <c r="H83" s="3047"/>
      <c r="I83" s="3125">
        <v>0</v>
      </c>
      <c r="J83" s="3125"/>
      <c r="K83" s="3125"/>
      <c r="L83" s="3125"/>
      <c r="M83" s="3125"/>
      <c r="N83" s="3125"/>
      <c r="O83" s="3125">
        <v>0</v>
      </c>
      <c r="P83" s="3125"/>
      <c r="Q83" s="3125"/>
      <c r="R83" s="3125"/>
      <c r="S83" s="3125"/>
      <c r="T83" s="3125"/>
      <c r="U83" s="3125"/>
      <c r="V83" s="3125">
        <v>0</v>
      </c>
      <c r="W83" s="3125"/>
      <c r="X83" s="3125"/>
      <c r="Y83" s="3125"/>
      <c r="Z83" s="3125"/>
      <c r="AA83" s="3125"/>
      <c r="AB83" s="3125">
        <v>0</v>
      </c>
      <c r="AC83" s="3125"/>
      <c r="AD83" s="3125"/>
      <c r="AE83" s="3125"/>
      <c r="AF83" s="3125"/>
      <c r="AG83" s="3125"/>
      <c r="AH83" s="3134"/>
      <c r="AI83" s="1854"/>
      <c r="AJ83" s="3126" t="s">
        <v>2585</v>
      </c>
      <c r="AK83" s="3127"/>
      <c r="AL83" s="3127"/>
      <c r="AM83" s="3127"/>
      <c r="AN83" s="3127"/>
      <c r="AO83" s="3127"/>
      <c r="AP83" s="3127"/>
      <c r="AQ83" s="3127"/>
      <c r="AR83" s="3127"/>
      <c r="AS83" s="3127"/>
      <c r="AT83" s="3127"/>
      <c r="AU83" s="3127"/>
      <c r="AV83" s="3127"/>
      <c r="AW83" s="3127"/>
      <c r="AX83" s="3127"/>
      <c r="AY83" s="3127"/>
      <c r="AZ83" s="3127"/>
      <c r="BA83" s="3127"/>
      <c r="BB83" s="3128"/>
      <c r="BC83" s="1854"/>
      <c r="BD83" s="1854"/>
      <c r="BE83" s="1860"/>
    </row>
    <row r="84" spans="1:57" ht="15.75" customHeight="1" thickBot="1">
      <c r="A84" s="1854"/>
      <c r="B84" s="3067" t="s">
        <v>1893</v>
      </c>
      <c r="C84" s="3068"/>
      <c r="D84" s="3068"/>
      <c r="E84" s="3068"/>
      <c r="F84" s="3068"/>
      <c r="G84" s="3068"/>
      <c r="H84" s="3068"/>
      <c r="I84" s="3132">
        <v>4</v>
      </c>
      <c r="J84" s="3132"/>
      <c r="K84" s="3132"/>
      <c r="L84" s="3132"/>
      <c r="M84" s="3132"/>
      <c r="N84" s="3132"/>
      <c r="O84" s="3132">
        <v>2</v>
      </c>
      <c r="P84" s="3132"/>
      <c r="Q84" s="3132"/>
      <c r="R84" s="3132"/>
      <c r="S84" s="3132"/>
      <c r="T84" s="3132"/>
      <c r="U84" s="3132"/>
      <c r="V84" s="3132">
        <v>4</v>
      </c>
      <c r="W84" s="3132"/>
      <c r="X84" s="3132"/>
      <c r="Y84" s="3132"/>
      <c r="Z84" s="3132"/>
      <c r="AA84" s="3132"/>
      <c r="AB84" s="3132">
        <v>0</v>
      </c>
      <c r="AC84" s="3132"/>
      <c r="AD84" s="3132"/>
      <c r="AE84" s="3132"/>
      <c r="AF84" s="3132"/>
      <c r="AG84" s="3132"/>
      <c r="AH84" s="3133"/>
      <c r="AI84" s="1854"/>
      <c r="AJ84" s="3129"/>
      <c r="AK84" s="3130"/>
      <c r="AL84" s="3130"/>
      <c r="AM84" s="3130"/>
      <c r="AN84" s="3130"/>
      <c r="AO84" s="3130"/>
      <c r="AP84" s="3130"/>
      <c r="AQ84" s="3130"/>
      <c r="AR84" s="3130"/>
      <c r="AS84" s="3130"/>
      <c r="AT84" s="3130"/>
      <c r="AU84" s="3130"/>
      <c r="AV84" s="3130"/>
      <c r="AW84" s="3130"/>
      <c r="AX84" s="3130"/>
      <c r="AY84" s="3130"/>
      <c r="AZ84" s="3130"/>
      <c r="BA84" s="3130"/>
      <c r="BB84" s="3131"/>
      <c r="BC84" s="1854"/>
      <c r="BD84" s="1854"/>
      <c r="BE84" s="1860"/>
    </row>
    <row r="85" spans="1:57" ht="15.75" customHeight="1">
      <c r="A85" s="1854"/>
      <c r="B85" s="1854"/>
      <c r="C85" s="1854"/>
      <c r="D85" s="1854"/>
      <c r="E85" s="1854"/>
      <c r="F85" s="1854"/>
      <c r="G85" s="1854"/>
      <c r="H85" s="1854"/>
      <c r="I85" s="1854"/>
      <c r="J85" s="1854"/>
      <c r="K85" s="1854"/>
      <c r="L85" s="1854"/>
      <c r="M85" s="1854"/>
      <c r="N85" s="1854"/>
      <c r="O85" s="1854"/>
      <c r="P85" s="1854"/>
      <c r="Q85" s="1854"/>
      <c r="R85" s="1854"/>
      <c r="S85" s="1854"/>
      <c r="T85" s="1854"/>
      <c r="U85" s="1854"/>
      <c r="V85" s="1854"/>
      <c r="W85" s="1854"/>
      <c r="X85" s="1854"/>
      <c r="Y85" s="1854"/>
      <c r="Z85" s="1854"/>
      <c r="AA85" s="1854"/>
      <c r="AB85" s="1854"/>
      <c r="AC85" s="1854"/>
      <c r="AD85" s="1854"/>
      <c r="AE85" s="1854"/>
      <c r="AF85" s="1854"/>
      <c r="AG85" s="1854"/>
      <c r="AH85" s="1854"/>
      <c r="AI85" s="1854"/>
      <c r="AJ85" s="1854"/>
      <c r="AK85" s="1854"/>
      <c r="AL85" s="1854"/>
      <c r="AM85" s="1854"/>
      <c r="AN85" s="1854"/>
      <c r="AO85" s="1854"/>
      <c r="AP85" s="1854"/>
      <c r="AQ85" s="1854"/>
      <c r="AR85" s="1854"/>
      <c r="AS85" s="1854"/>
      <c r="AT85" s="1854"/>
      <c r="AU85" s="1854"/>
      <c r="AV85" s="1854"/>
      <c r="AW85" s="1854"/>
      <c r="AX85" s="1854"/>
      <c r="AY85" s="1854"/>
      <c r="AZ85" s="1854"/>
      <c r="BA85" s="1854"/>
      <c r="BB85" s="1854"/>
      <c r="BC85" s="1854"/>
      <c r="BD85" s="1854"/>
      <c r="BE85" s="1860"/>
    </row>
    <row r="86" spans="1:57" ht="15.75" customHeight="1">
      <c r="A86" s="1854"/>
      <c r="B86" s="1864" t="s">
        <v>1894</v>
      </c>
      <c r="P86" s="1854"/>
      <c r="Q86" s="1854"/>
      <c r="R86" s="1854"/>
      <c r="S86" s="1854" t="s">
        <v>251</v>
      </c>
      <c r="T86" s="1854"/>
      <c r="U86" s="1854"/>
      <c r="V86" s="1854"/>
      <c r="W86" s="1854"/>
      <c r="X86" s="1854"/>
      <c r="Y86" s="1854"/>
      <c r="Z86" s="1854"/>
      <c r="AA86" s="1854"/>
      <c r="AB86" s="1854"/>
      <c r="AC86" s="1854"/>
      <c r="AD86" s="1854"/>
      <c r="AE86" s="1854"/>
      <c r="AF86" s="1854"/>
      <c r="AG86" s="1854"/>
      <c r="AH86" s="1854"/>
      <c r="AI86" s="1854"/>
      <c r="AJ86" s="1854"/>
      <c r="AK86" s="1854"/>
      <c r="AL86" s="1854"/>
      <c r="AM86" s="1854"/>
      <c r="AN86" s="1854"/>
      <c r="AO86" s="1854"/>
      <c r="AP86" s="1854"/>
      <c r="AQ86" s="1854"/>
      <c r="AR86" s="1854"/>
      <c r="AS86" s="1854"/>
      <c r="AT86" s="1854"/>
      <c r="AU86" s="1854"/>
      <c r="AV86" s="1854"/>
      <c r="AW86" s="1854"/>
      <c r="AX86" s="1854"/>
      <c r="AY86" s="1854"/>
      <c r="AZ86" s="1854"/>
      <c r="BA86" s="1854"/>
      <c r="BB86" s="1854"/>
      <c r="BC86" s="1854"/>
      <c r="BD86" s="1854"/>
      <c r="BE86" s="1860"/>
    </row>
    <row r="87" spans="1:57" ht="15.75" customHeight="1" thickBot="1">
      <c r="A87" s="1854"/>
      <c r="B87" s="1854"/>
      <c r="C87" s="1854"/>
      <c r="D87" s="1854"/>
      <c r="E87" s="1854"/>
      <c r="F87" s="1854"/>
      <c r="G87" s="1854"/>
      <c r="H87" s="1854"/>
      <c r="I87" s="1854"/>
      <c r="J87" s="1854"/>
      <c r="K87" s="1854"/>
      <c r="L87" s="1854"/>
      <c r="M87" s="1854"/>
      <c r="N87" s="1854"/>
      <c r="O87" s="1854"/>
      <c r="P87" s="1870"/>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c r="AL87" s="1854"/>
      <c r="AM87" s="1854"/>
      <c r="AN87" s="1854"/>
      <c r="AO87" s="1854"/>
      <c r="AP87" s="1854"/>
      <c r="AQ87" s="1854"/>
      <c r="AR87" s="1854"/>
      <c r="AS87" s="1854"/>
      <c r="AT87" s="1854"/>
      <c r="AU87" s="1854"/>
      <c r="AV87" s="1854"/>
      <c r="AW87" s="1854"/>
      <c r="AX87" s="1854"/>
      <c r="AY87" s="1854"/>
      <c r="AZ87" s="1854"/>
      <c r="BA87" s="1854"/>
      <c r="BB87" s="1854"/>
      <c r="BC87" s="1854"/>
      <c r="BD87" s="1854"/>
      <c r="BE87" s="1860"/>
    </row>
    <row r="88" spans="1:57" ht="15.75" customHeight="1">
      <c r="A88" s="1854"/>
      <c r="B88" s="3098" t="s">
        <v>1895</v>
      </c>
      <c r="C88" s="3099"/>
      <c r="D88" s="3099"/>
      <c r="E88" s="3099"/>
      <c r="F88" s="3099"/>
      <c r="G88" s="3099"/>
      <c r="H88" s="3099"/>
      <c r="I88" s="3099"/>
      <c r="J88" s="3099"/>
      <c r="K88" s="3099"/>
      <c r="L88" s="3099"/>
      <c r="M88" s="3099"/>
      <c r="N88" s="3099"/>
      <c r="O88" s="3099"/>
      <c r="P88" s="3099"/>
      <c r="Q88" s="3099"/>
      <c r="R88" s="3099"/>
      <c r="S88" s="3099"/>
      <c r="T88" s="3099"/>
      <c r="U88" s="3099"/>
      <c r="V88" s="3099"/>
      <c r="W88" s="3099"/>
      <c r="X88" s="3099"/>
      <c r="Y88" s="3099"/>
      <c r="Z88" s="3099"/>
      <c r="AA88" s="3099"/>
      <c r="AB88" s="3099"/>
      <c r="AC88" s="3099"/>
      <c r="AD88" s="3099"/>
      <c r="AE88" s="3099"/>
      <c r="AF88" s="3099"/>
      <c r="AG88" s="3099"/>
      <c r="AH88" s="3135"/>
      <c r="AI88" s="1854"/>
      <c r="AJ88" s="3116" t="s">
        <v>2586</v>
      </c>
      <c r="AK88" s="3117"/>
      <c r="AL88" s="3117"/>
      <c r="AM88" s="3117"/>
      <c r="AN88" s="3117"/>
      <c r="AO88" s="3117"/>
      <c r="AP88" s="3117"/>
      <c r="AQ88" s="3117"/>
      <c r="AR88" s="3117"/>
      <c r="AS88" s="3117"/>
      <c r="AT88" s="3117"/>
      <c r="AU88" s="3117"/>
      <c r="AV88" s="3117"/>
      <c r="AW88" s="3117"/>
      <c r="AX88" s="3117"/>
      <c r="AY88" s="3120" t="s">
        <v>554</v>
      </c>
      <c r="AZ88" s="3120"/>
      <c r="BA88" s="3120"/>
      <c r="BB88" s="3121"/>
      <c r="BC88" s="1854"/>
      <c r="BD88" s="1854"/>
      <c r="BE88" s="1860"/>
    </row>
    <row r="89" spans="1:57" ht="16.5" customHeight="1">
      <c r="A89" s="1854"/>
      <c r="B89" s="3046"/>
      <c r="C89" s="3047"/>
      <c r="D89" s="3047"/>
      <c r="E89" s="3047"/>
      <c r="F89" s="3047"/>
      <c r="G89" s="3047"/>
      <c r="H89" s="3047"/>
      <c r="I89" s="3047" t="s">
        <v>1890</v>
      </c>
      <c r="J89" s="3047"/>
      <c r="K89" s="3047"/>
      <c r="L89" s="3047"/>
      <c r="M89" s="3047"/>
      <c r="N89" s="3047"/>
      <c r="O89" s="3047" t="s">
        <v>1891</v>
      </c>
      <c r="P89" s="3047"/>
      <c r="Q89" s="3047"/>
      <c r="R89" s="3047"/>
      <c r="S89" s="3047"/>
      <c r="T89" s="3047"/>
      <c r="U89" s="3047"/>
      <c r="V89" s="3124" t="s">
        <v>2254</v>
      </c>
      <c r="W89" s="3124"/>
      <c r="X89" s="3124"/>
      <c r="Y89" s="3124"/>
      <c r="Z89" s="3124"/>
      <c r="AA89" s="3124"/>
      <c r="AB89" s="3023" t="s">
        <v>1892</v>
      </c>
      <c r="AC89" s="3023"/>
      <c r="AD89" s="3023"/>
      <c r="AE89" s="3023"/>
      <c r="AF89" s="3023"/>
      <c r="AG89" s="3023"/>
      <c r="AH89" s="3024"/>
      <c r="AI89" s="1854"/>
      <c r="AJ89" s="3118"/>
      <c r="AK89" s="3119"/>
      <c r="AL89" s="3119"/>
      <c r="AM89" s="3119"/>
      <c r="AN89" s="3119"/>
      <c r="AO89" s="3119"/>
      <c r="AP89" s="3119"/>
      <c r="AQ89" s="3119"/>
      <c r="AR89" s="3119"/>
      <c r="AS89" s="3119"/>
      <c r="AT89" s="3119"/>
      <c r="AU89" s="3119"/>
      <c r="AV89" s="3119"/>
      <c r="AW89" s="3119"/>
      <c r="AX89" s="3119"/>
      <c r="AY89" s="3122"/>
      <c r="AZ89" s="3122"/>
      <c r="BA89" s="3122"/>
      <c r="BB89" s="3123"/>
      <c r="BC89" s="1854"/>
      <c r="BD89" s="1854"/>
      <c r="BE89" s="1860"/>
    </row>
    <row r="90" spans="1:57" ht="16.5" customHeight="1">
      <c r="A90" s="1854"/>
      <c r="B90" s="3046"/>
      <c r="C90" s="3047"/>
      <c r="D90" s="3047"/>
      <c r="E90" s="3047"/>
      <c r="F90" s="3047"/>
      <c r="G90" s="3047"/>
      <c r="H90" s="3047"/>
      <c r="I90" s="3047"/>
      <c r="J90" s="3047"/>
      <c r="K90" s="3047"/>
      <c r="L90" s="3047"/>
      <c r="M90" s="3047"/>
      <c r="N90" s="3047"/>
      <c r="O90" s="3047"/>
      <c r="P90" s="3047"/>
      <c r="Q90" s="3047"/>
      <c r="R90" s="3047"/>
      <c r="S90" s="3047"/>
      <c r="T90" s="3047"/>
      <c r="U90" s="3047"/>
      <c r="V90" s="3124"/>
      <c r="W90" s="3124"/>
      <c r="X90" s="3124"/>
      <c r="Y90" s="3124"/>
      <c r="Z90" s="3124"/>
      <c r="AA90" s="3124"/>
      <c r="AB90" s="3023"/>
      <c r="AC90" s="3023"/>
      <c r="AD90" s="3023"/>
      <c r="AE90" s="3023"/>
      <c r="AF90" s="3023"/>
      <c r="AG90" s="3023"/>
      <c r="AH90" s="3024"/>
      <c r="AI90" s="1854"/>
      <c r="AJ90" s="3118"/>
      <c r="AK90" s="3119"/>
      <c r="AL90" s="3119"/>
      <c r="AM90" s="3119"/>
      <c r="AN90" s="3119"/>
      <c r="AO90" s="3119"/>
      <c r="AP90" s="3119"/>
      <c r="AQ90" s="3119"/>
      <c r="AR90" s="3119"/>
      <c r="AS90" s="3119"/>
      <c r="AT90" s="3119"/>
      <c r="AU90" s="3119"/>
      <c r="AV90" s="3119"/>
      <c r="AW90" s="3119"/>
      <c r="AX90" s="3119"/>
      <c r="AY90" s="3122"/>
      <c r="AZ90" s="3122"/>
      <c r="BA90" s="3122"/>
      <c r="BB90" s="3123"/>
      <c r="BC90" s="1854"/>
      <c r="BD90" s="1854"/>
      <c r="BE90" s="1860"/>
    </row>
    <row r="91" spans="1:57" ht="15.75" customHeight="1">
      <c r="A91" s="1854"/>
      <c r="B91" s="3046" t="s">
        <v>2239</v>
      </c>
      <c r="C91" s="3047"/>
      <c r="D91" s="3047"/>
      <c r="E91" s="3047"/>
      <c r="F91" s="3047"/>
      <c r="G91" s="3047"/>
      <c r="H91" s="3047"/>
      <c r="I91" s="3125">
        <v>4</v>
      </c>
      <c r="J91" s="3125"/>
      <c r="K91" s="3125"/>
      <c r="L91" s="3125"/>
      <c r="M91" s="3125"/>
      <c r="N91" s="3125"/>
      <c r="O91" s="3125">
        <v>2</v>
      </c>
      <c r="P91" s="3125"/>
      <c r="Q91" s="3125"/>
      <c r="R91" s="3125"/>
      <c r="S91" s="3125"/>
      <c r="T91" s="3125"/>
      <c r="U91" s="3125"/>
      <c r="V91" s="3125">
        <v>4</v>
      </c>
      <c r="W91" s="3125"/>
      <c r="X91" s="3125"/>
      <c r="Y91" s="3125"/>
      <c r="Z91" s="3125"/>
      <c r="AA91" s="3125"/>
      <c r="AB91" s="3125">
        <v>0</v>
      </c>
      <c r="AC91" s="3125"/>
      <c r="AD91" s="3125"/>
      <c r="AE91" s="3125"/>
      <c r="AF91" s="3125"/>
      <c r="AG91" s="3125"/>
      <c r="AH91" s="3134"/>
      <c r="AI91" s="1854"/>
      <c r="AJ91" s="3118"/>
      <c r="AK91" s="3119"/>
      <c r="AL91" s="3119"/>
      <c r="AM91" s="3119"/>
      <c r="AN91" s="3119"/>
      <c r="AO91" s="3119"/>
      <c r="AP91" s="3119"/>
      <c r="AQ91" s="3119"/>
      <c r="AR91" s="3119"/>
      <c r="AS91" s="3119"/>
      <c r="AT91" s="3119"/>
      <c r="AU91" s="3119"/>
      <c r="AV91" s="3119"/>
      <c r="AW91" s="3119"/>
      <c r="AX91" s="3119"/>
      <c r="AY91" s="3122"/>
      <c r="AZ91" s="3122"/>
      <c r="BA91" s="3122"/>
      <c r="BB91" s="3123"/>
      <c r="BC91" s="1854"/>
      <c r="BD91" s="1854"/>
      <c r="BE91" s="1860"/>
    </row>
    <row r="92" spans="1:57" ht="15.75" customHeight="1">
      <c r="A92" s="1854"/>
      <c r="B92" s="3046" t="s">
        <v>2240</v>
      </c>
      <c r="C92" s="3047"/>
      <c r="D92" s="3047"/>
      <c r="E92" s="3047"/>
      <c r="F92" s="3047"/>
      <c r="G92" s="3047"/>
      <c r="H92" s="3047"/>
      <c r="I92" s="3125">
        <v>0</v>
      </c>
      <c r="J92" s="3125"/>
      <c r="K92" s="3125"/>
      <c r="L92" s="3125"/>
      <c r="M92" s="3125"/>
      <c r="N92" s="3125"/>
      <c r="O92" s="3125">
        <v>0</v>
      </c>
      <c r="P92" s="3125"/>
      <c r="Q92" s="3125"/>
      <c r="R92" s="3125"/>
      <c r="S92" s="3125"/>
      <c r="T92" s="3125"/>
      <c r="U92" s="3125"/>
      <c r="V92" s="3125">
        <v>0</v>
      </c>
      <c r="W92" s="3125"/>
      <c r="X92" s="3125"/>
      <c r="Y92" s="3125"/>
      <c r="Z92" s="3125"/>
      <c r="AA92" s="3125"/>
      <c r="AB92" s="3125">
        <v>0</v>
      </c>
      <c r="AC92" s="3125"/>
      <c r="AD92" s="3125"/>
      <c r="AE92" s="3125"/>
      <c r="AF92" s="3125"/>
      <c r="AG92" s="3125"/>
      <c r="AH92" s="3134"/>
      <c r="AI92" s="1854"/>
      <c r="AJ92" s="3126" t="s">
        <v>2255</v>
      </c>
      <c r="AK92" s="3127"/>
      <c r="AL92" s="3127"/>
      <c r="AM92" s="3127"/>
      <c r="AN92" s="3127"/>
      <c r="AO92" s="3127"/>
      <c r="AP92" s="3127"/>
      <c r="AQ92" s="3127"/>
      <c r="AR92" s="3127"/>
      <c r="AS92" s="3127"/>
      <c r="AT92" s="3127"/>
      <c r="AU92" s="3127"/>
      <c r="AV92" s="3127"/>
      <c r="AW92" s="3127"/>
      <c r="AX92" s="3127"/>
      <c r="AY92" s="3127"/>
      <c r="AZ92" s="3127"/>
      <c r="BA92" s="3127"/>
      <c r="BB92" s="3128"/>
      <c r="BC92" s="1854"/>
      <c r="BD92" s="1854"/>
      <c r="BE92" s="1860"/>
    </row>
    <row r="93" spans="1:57" ht="15.75" customHeight="1" thickBot="1">
      <c r="A93" s="1854"/>
      <c r="B93" s="3067" t="s">
        <v>1893</v>
      </c>
      <c r="C93" s="3068"/>
      <c r="D93" s="3068"/>
      <c r="E93" s="3068"/>
      <c r="F93" s="3068"/>
      <c r="G93" s="3068"/>
      <c r="H93" s="3068"/>
      <c r="I93" s="3132">
        <v>4</v>
      </c>
      <c r="J93" s="3132"/>
      <c r="K93" s="3132"/>
      <c r="L93" s="3132"/>
      <c r="M93" s="3132"/>
      <c r="N93" s="3132"/>
      <c r="O93" s="3132">
        <v>2</v>
      </c>
      <c r="P93" s="3132"/>
      <c r="Q93" s="3132"/>
      <c r="R93" s="3132"/>
      <c r="S93" s="3132"/>
      <c r="T93" s="3132"/>
      <c r="U93" s="3132"/>
      <c r="V93" s="3132">
        <v>4</v>
      </c>
      <c r="W93" s="3132"/>
      <c r="X93" s="3132"/>
      <c r="Y93" s="3132"/>
      <c r="Z93" s="3132"/>
      <c r="AA93" s="3132"/>
      <c r="AB93" s="3132">
        <v>0</v>
      </c>
      <c r="AC93" s="3132"/>
      <c r="AD93" s="3132"/>
      <c r="AE93" s="3132"/>
      <c r="AF93" s="3132"/>
      <c r="AG93" s="3132"/>
      <c r="AH93" s="3133"/>
      <c r="AI93" s="1854"/>
      <c r="AJ93" s="3129"/>
      <c r="AK93" s="3130"/>
      <c r="AL93" s="3130"/>
      <c r="AM93" s="3130"/>
      <c r="AN93" s="3130"/>
      <c r="AO93" s="3130"/>
      <c r="AP93" s="3130"/>
      <c r="AQ93" s="3130"/>
      <c r="AR93" s="3130"/>
      <c r="AS93" s="3130"/>
      <c r="AT93" s="3130"/>
      <c r="AU93" s="3130"/>
      <c r="AV93" s="3130"/>
      <c r="AW93" s="3130"/>
      <c r="AX93" s="3130"/>
      <c r="AY93" s="3130"/>
      <c r="AZ93" s="3130"/>
      <c r="BA93" s="3130"/>
      <c r="BB93" s="3131"/>
      <c r="BC93" s="1854"/>
      <c r="BD93" s="1854"/>
      <c r="BE93" s="1860"/>
    </row>
    <row r="94" spans="1:57" ht="15.75" customHeight="1">
      <c r="A94" s="1854"/>
      <c r="B94" s="1854"/>
      <c r="C94" s="1854"/>
      <c r="D94" s="1854"/>
      <c r="E94" s="1854"/>
      <c r="F94" s="1854"/>
      <c r="G94" s="1854"/>
      <c r="H94" s="1854"/>
      <c r="I94" s="1854"/>
      <c r="J94" s="1854"/>
      <c r="K94" s="1854"/>
      <c r="L94" s="1854"/>
      <c r="M94" s="1854"/>
      <c r="N94" s="1854"/>
      <c r="O94" s="1854"/>
      <c r="P94" s="1854"/>
      <c r="Q94" s="1854"/>
      <c r="R94" s="1854"/>
      <c r="S94" s="1854"/>
      <c r="T94" s="1854"/>
      <c r="U94" s="1854" t="s">
        <v>251</v>
      </c>
      <c r="V94" s="1854"/>
      <c r="W94" s="1854"/>
      <c r="X94" s="1854"/>
      <c r="Y94" s="1854"/>
      <c r="Z94" s="1854"/>
      <c r="AA94" s="1854"/>
      <c r="AB94" s="1854"/>
      <c r="AC94" s="1854"/>
      <c r="AD94" s="1854"/>
      <c r="AE94" s="1854"/>
      <c r="AF94" s="1854"/>
      <c r="AG94" s="1854"/>
      <c r="AH94" s="1854"/>
      <c r="AI94" s="1854"/>
      <c r="AJ94" s="1854"/>
      <c r="AK94" s="1854"/>
      <c r="AL94" s="1854"/>
      <c r="AM94" s="1854"/>
      <c r="AN94" s="1854"/>
      <c r="AO94" s="1854"/>
      <c r="AP94" s="1854"/>
      <c r="AQ94" s="1854"/>
      <c r="AR94" s="1854"/>
      <c r="AS94" s="1854"/>
      <c r="AT94" s="1854"/>
      <c r="AU94" s="1854"/>
      <c r="AV94" s="1854"/>
      <c r="AW94" s="1854"/>
      <c r="AX94" s="1854"/>
      <c r="AY94" s="1854"/>
      <c r="AZ94" s="1854"/>
      <c r="BA94" s="1854"/>
      <c r="BB94" s="1854"/>
      <c r="BC94" s="1854"/>
      <c r="BD94" s="1854"/>
      <c r="BE94" s="1860"/>
    </row>
    <row r="95" spans="1:57" ht="15.75" customHeight="1" thickBot="1">
      <c r="A95" s="1854"/>
      <c r="B95" s="1864" t="s">
        <v>1896</v>
      </c>
      <c r="R95" s="1854"/>
      <c r="S95" s="1854"/>
      <c r="T95" s="1854"/>
      <c r="U95" s="1854"/>
      <c r="V95" s="1854"/>
      <c r="W95" s="1854"/>
      <c r="X95" s="1854"/>
      <c r="Y95" s="1854"/>
      <c r="Z95" s="1854"/>
      <c r="AA95" s="1854"/>
      <c r="AB95" s="1854"/>
      <c r="AC95" s="1854"/>
      <c r="AD95" s="1854"/>
      <c r="AE95" s="1854"/>
      <c r="AF95" s="1854"/>
      <c r="AG95" s="1854"/>
      <c r="AH95" s="1854"/>
      <c r="AI95" s="1854"/>
      <c r="AJ95" s="1854"/>
      <c r="AK95" s="1854"/>
      <c r="AL95" s="1854"/>
      <c r="AM95" s="1854"/>
      <c r="AN95" s="1854"/>
      <c r="AO95" s="1854"/>
      <c r="AP95" s="1854"/>
      <c r="AQ95" s="1854"/>
      <c r="AR95" s="1854"/>
      <c r="AS95" s="1854"/>
      <c r="AT95" s="1854"/>
      <c r="AU95" s="1854"/>
      <c r="AV95" s="1854"/>
      <c r="AW95" s="1854"/>
      <c r="AX95" s="1854"/>
      <c r="AY95" s="1854"/>
      <c r="AZ95" s="1854"/>
      <c r="BA95" s="1854"/>
      <c r="BB95" s="1854"/>
      <c r="BC95" s="1854"/>
      <c r="BD95" s="1854"/>
      <c r="BE95" s="1860"/>
    </row>
    <row r="96" spans="1:57" ht="15.75" customHeight="1" thickBot="1">
      <c r="A96" s="1854"/>
      <c r="B96" s="1854"/>
      <c r="C96" s="1854"/>
      <c r="D96" s="1854"/>
      <c r="E96" s="1854"/>
      <c r="F96" s="1854"/>
      <c r="G96" s="1854"/>
      <c r="H96" s="1854"/>
      <c r="I96" s="1854"/>
      <c r="J96" s="1854"/>
      <c r="K96" s="1854"/>
      <c r="L96" s="1854"/>
      <c r="M96" s="1854"/>
      <c r="N96" s="1854"/>
      <c r="O96" s="1854"/>
      <c r="P96" s="1870"/>
      <c r="Q96" s="1854"/>
      <c r="R96" s="1854"/>
      <c r="S96" s="1854"/>
      <c r="T96" s="1854"/>
      <c r="U96" s="1854"/>
      <c r="V96" s="1854"/>
      <c r="W96" s="1854"/>
      <c r="X96" s="3116" t="s">
        <v>2241</v>
      </c>
      <c r="Y96" s="3117"/>
      <c r="Z96" s="3117"/>
      <c r="AA96" s="3117"/>
      <c r="AB96" s="3117"/>
      <c r="AC96" s="3117"/>
      <c r="AD96" s="3117"/>
      <c r="AE96" s="3117"/>
      <c r="AF96" s="3117"/>
      <c r="AG96" s="3117"/>
      <c r="AH96" s="3117"/>
      <c r="AI96" s="3117"/>
      <c r="AJ96" s="3117"/>
      <c r="AK96" s="3117"/>
      <c r="AL96" s="3117"/>
      <c r="AM96" s="3117"/>
      <c r="AN96" s="3117"/>
      <c r="AO96" s="3117"/>
      <c r="AP96" s="3117"/>
      <c r="AQ96" s="3117"/>
      <c r="AR96" s="3117"/>
      <c r="AS96" s="3117"/>
      <c r="AT96" s="3117"/>
      <c r="AU96" s="3117"/>
      <c r="AV96" s="3117"/>
      <c r="AW96" s="3117"/>
      <c r="AX96" s="3117"/>
      <c r="AY96" s="3117"/>
      <c r="AZ96" s="3117"/>
      <c r="BA96" s="3117"/>
      <c r="BB96" s="3117"/>
      <c r="BC96" s="3117"/>
      <c r="BD96" s="3142"/>
      <c r="BE96" s="1860"/>
    </row>
    <row r="97" spans="1:57" ht="15.75" customHeight="1">
      <c r="A97" s="1854"/>
      <c r="B97" s="3144" t="s">
        <v>1752</v>
      </c>
      <c r="C97" s="3145"/>
      <c r="D97" s="3145"/>
      <c r="E97" s="3145"/>
      <c r="F97" s="3145"/>
      <c r="G97" s="3145"/>
      <c r="H97" s="3145"/>
      <c r="I97" s="3145"/>
      <c r="J97" s="3145"/>
      <c r="K97" s="3145"/>
      <c r="L97" s="3145"/>
      <c r="M97" s="3145"/>
      <c r="N97" s="3145"/>
      <c r="O97" s="3145"/>
      <c r="P97" s="3145"/>
      <c r="Q97" s="3145"/>
      <c r="R97" s="3145"/>
      <c r="S97" s="3145"/>
      <c r="T97" s="3145"/>
      <c r="U97" s="3146"/>
      <c r="V97" s="1854"/>
      <c r="W97" s="1854"/>
      <c r="X97" s="3118"/>
      <c r="Y97" s="3119"/>
      <c r="Z97" s="3119"/>
      <c r="AA97" s="3119"/>
      <c r="AB97" s="3119"/>
      <c r="AC97" s="3119"/>
      <c r="AD97" s="3119"/>
      <c r="AE97" s="3119"/>
      <c r="AF97" s="3119"/>
      <c r="AG97" s="3119"/>
      <c r="AH97" s="3119"/>
      <c r="AI97" s="3119"/>
      <c r="AJ97" s="3119"/>
      <c r="AK97" s="3119"/>
      <c r="AL97" s="3119"/>
      <c r="AM97" s="3119"/>
      <c r="AN97" s="3119"/>
      <c r="AO97" s="3119"/>
      <c r="AP97" s="3119"/>
      <c r="AQ97" s="3119"/>
      <c r="AR97" s="3119"/>
      <c r="AS97" s="3119"/>
      <c r="AT97" s="3119"/>
      <c r="AU97" s="3119"/>
      <c r="AV97" s="3119"/>
      <c r="AW97" s="3119"/>
      <c r="AX97" s="3119"/>
      <c r="AY97" s="3119"/>
      <c r="AZ97" s="3119"/>
      <c r="BA97" s="3119"/>
      <c r="BB97" s="3119"/>
      <c r="BC97" s="3119"/>
      <c r="BD97" s="3143"/>
      <c r="BE97" s="1860"/>
    </row>
    <row r="98" spans="1:57" ht="15.75" customHeight="1">
      <c r="A98" s="1854"/>
      <c r="B98" s="3138"/>
      <c r="C98" s="3139"/>
      <c r="D98" s="3139"/>
      <c r="E98" s="3139"/>
      <c r="F98" s="3139"/>
      <c r="G98" s="3139"/>
      <c r="H98" s="3139"/>
      <c r="I98" s="3047" t="s">
        <v>2242</v>
      </c>
      <c r="J98" s="3047"/>
      <c r="K98" s="3047"/>
      <c r="L98" s="3047"/>
      <c r="M98" s="3047"/>
      <c r="N98" s="3047"/>
      <c r="O98" s="3147" t="s">
        <v>2243</v>
      </c>
      <c r="P98" s="3147"/>
      <c r="Q98" s="3147"/>
      <c r="R98" s="3147"/>
      <c r="S98" s="3147"/>
      <c r="T98" s="3147"/>
      <c r="U98" s="3148"/>
      <c r="V98" s="1854"/>
      <c r="W98" s="1854"/>
      <c r="X98" s="3149" t="s">
        <v>2780</v>
      </c>
      <c r="Y98" s="3103"/>
      <c r="Z98" s="3103"/>
      <c r="AA98" s="3103"/>
      <c r="AB98" s="3103"/>
      <c r="AC98" s="3103"/>
      <c r="AD98" s="3103"/>
      <c r="AE98" s="3103"/>
      <c r="AF98" s="3103"/>
      <c r="AG98" s="3103"/>
      <c r="AH98" s="3103"/>
      <c r="AI98" s="3103"/>
      <c r="AJ98" s="3103"/>
      <c r="AK98" s="3103"/>
      <c r="AL98" s="3103"/>
      <c r="AM98" s="3103"/>
      <c r="AN98" s="3103"/>
      <c r="AO98" s="3103"/>
      <c r="AP98" s="3103"/>
      <c r="AQ98" s="3103"/>
      <c r="AR98" s="3103"/>
      <c r="AS98" s="3103"/>
      <c r="AT98" s="3103"/>
      <c r="AU98" s="3103"/>
      <c r="AV98" s="3103"/>
      <c r="AW98" s="3103"/>
      <c r="AX98" s="3103"/>
      <c r="AY98" s="3103"/>
      <c r="AZ98" s="3103"/>
      <c r="BA98" s="3103"/>
      <c r="BB98" s="3103"/>
      <c r="BC98" s="3103"/>
      <c r="BD98" s="3104"/>
      <c r="BE98" s="1860"/>
    </row>
    <row r="99" spans="1:57" ht="15.75" customHeight="1">
      <c r="A99" s="1854"/>
      <c r="B99" s="3150" t="s">
        <v>2244</v>
      </c>
      <c r="C99" s="3151"/>
      <c r="D99" s="3151"/>
      <c r="E99" s="3151"/>
      <c r="F99" s="3151"/>
      <c r="G99" s="3151"/>
      <c r="H99" s="3151"/>
      <c r="I99" s="3125">
        <v>91</v>
      </c>
      <c r="J99" s="3125"/>
      <c r="K99" s="3125"/>
      <c r="L99" s="3125"/>
      <c r="M99" s="3125"/>
      <c r="N99" s="3125"/>
      <c r="O99" s="3125">
        <v>0</v>
      </c>
      <c r="P99" s="3125"/>
      <c r="Q99" s="3125"/>
      <c r="R99" s="3125"/>
      <c r="S99" s="3125"/>
      <c r="T99" s="3125"/>
      <c r="U99" s="3134"/>
      <c r="V99" s="1854"/>
      <c r="W99" s="1854"/>
      <c r="X99" s="3102"/>
      <c r="Y99" s="3103"/>
      <c r="Z99" s="3103"/>
      <c r="AA99" s="3103"/>
      <c r="AB99" s="3103"/>
      <c r="AC99" s="3103"/>
      <c r="AD99" s="3103"/>
      <c r="AE99" s="3103"/>
      <c r="AF99" s="3103"/>
      <c r="AG99" s="3103"/>
      <c r="AH99" s="3103"/>
      <c r="AI99" s="3103"/>
      <c r="AJ99" s="3103"/>
      <c r="AK99" s="3103"/>
      <c r="AL99" s="3103"/>
      <c r="AM99" s="3103"/>
      <c r="AN99" s="3103"/>
      <c r="AO99" s="3103"/>
      <c r="AP99" s="3103"/>
      <c r="AQ99" s="3103"/>
      <c r="AR99" s="3103"/>
      <c r="AS99" s="3103"/>
      <c r="AT99" s="3103"/>
      <c r="AU99" s="3103"/>
      <c r="AV99" s="3103"/>
      <c r="AW99" s="3103"/>
      <c r="AX99" s="3103"/>
      <c r="AY99" s="3103"/>
      <c r="AZ99" s="3103"/>
      <c r="BA99" s="3103"/>
      <c r="BB99" s="3103"/>
      <c r="BC99" s="3103"/>
      <c r="BD99" s="3104"/>
      <c r="BE99" s="1860"/>
    </row>
    <row r="100" spans="1:57" ht="15.75" customHeight="1" thickBot="1">
      <c r="A100" s="1854"/>
      <c r="B100" s="3152" t="s">
        <v>2245</v>
      </c>
      <c r="C100" s="3153"/>
      <c r="D100" s="3153"/>
      <c r="E100" s="3153"/>
      <c r="F100" s="3153"/>
      <c r="G100" s="3153"/>
      <c r="H100" s="3153"/>
      <c r="I100" s="3132">
        <v>0</v>
      </c>
      <c r="J100" s="3132"/>
      <c r="K100" s="3132"/>
      <c r="L100" s="3132"/>
      <c r="M100" s="3132"/>
      <c r="N100" s="3132"/>
      <c r="O100" s="3136"/>
      <c r="P100" s="3136"/>
      <c r="Q100" s="3136"/>
      <c r="R100" s="3136"/>
      <c r="S100" s="3136"/>
      <c r="T100" s="3136"/>
      <c r="U100" s="3137"/>
      <c r="V100" s="1854"/>
      <c r="W100" s="1854"/>
      <c r="X100" s="3102"/>
      <c r="Y100" s="3103"/>
      <c r="Z100" s="3103"/>
      <c r="AA100" s="3103"/>
      <c r="AB100" s="3103"/>
      <c r="AC100" s="3103"/>
      <c r="AD100" s="3103"/>
      <c r="AE100" s="3103"/>
      <c r="AF100" s="3103"/>
      <c r="AG100" s="3103"/>
      <c r="AH100" s="3103"/>
      <c r="AI100" s="3103"/>
      <c r="AJ100" s="3103"/>
      <c r="AK100" s="3103"/>
      <c r="AL100" s="3103"/>
      <c r="AM100" s="3103"/>
      <c r="AN100" s="3103"/>
      <c r="AO100" s="3103"/>
      <c r="AP100" s="3103"/>
      <c r="AQ100" s="3103"/>
      <c r="AR100" s="3103"/>
      <c r="AS100" s="3103"/>
      <c r="AT100" s="3103"/>
      <c r="AU100" s="3103"/>
      <c r="AV100" s="3103"/>
      <c r="AW100" s="3103"/>
      <c r="AX100" s="3103"/>
      <c r="AY100" s="3103"/>
      <c r="AZ100" s="3103"/>
      <c r="BA100" s="3103"/>
      <c r="BB100" s="3103"/>
      <c r="BC100" s="3103"/>
      <c r="BD100" s="3104"/>
      <c r="BE100" s="1860"/>
    </row>
    <row r="101" spans="1:57" ht="15.75" customHeight="1">
      <c r="A101" s="1854"/>
      <c r="B101" s="1854"/>
      <c r="C101" s="1854"/>
      <c r="D101" s="1854"/>
      <c r="E101" s="1854"/>
      <c r="F101" s="1854"/>
      <c r="G101" s="1854"/>
      <c r="H101" s="1854"/>
      <c r="I101" s="1854"/>
      <c r="J101" s="1854"/>
      <c r="K101" s="1854"/>
      <c r="L101" s="1854"/>
      <c r="M101" s="1854"/>
      <c r="N101" s="1854"/>
      <c r="O101" s="1854"/>
      <c r="P101" s="1854"/>
      <c r="Q101" s="1854"/>
      <c r="R101" s="1854"/>
      <c r="S101" s="1854"/>
      <c r="T101" s="1854"/>
      <c r="U101" s="1854"/>
      <c r="V101" s="1854"/>
      <c r="W101" s="1854"/>
      <c r="X101" s="3102"/>
      <c r="Y101" s="3103"/>
      <c r="Z101" s="3103"/>
      <c r="AA101" s="3103"/>
      <c r="AB101" s="3103"/>
      <c r="AC101" s="3103"/>
      <c r="AD101" s="3103"/>
      <c r="AE101" s="3103"/>
      <c r="AF101" s="3103"/>
      <c r="AG101" s="3103"/>
      <c r="AH101" s="3103"/>
      <c r="AI101" s="3103"/>
      <c r="AJ101" s="3103"/>
      <c r="AK101" s="3103"/>
      <c r="AL101" s="3103"/>
      <c r="AM101" s="3103"/>
      <c r="AN101" s="3103"/>
      <c r="AO101" s="3103"/>
      <c r="AP101" s="3103"/>
      <c r="AQ101" s="3103"/>
      <c r="AR101" s="3103"/>
      <c r="AS101" s="3103"/>
      <c r="AT101" s="3103"/>
      <c r="AU101" s="3103"/>
      <c r="AV101" s="3103"/>
      <c r="AW101" s="3103"/>
      <c r="AX101" s="3103"/>
      <c r="AY101" s="3103"/>
      <c r="AZ101" s="3103"/>
      <c r="BA101" s="3103"/>
      <c r="BB101" s="3103"/>
      <c r="BC101" s="3103"/>
      <c r="BD101" s="3104"/>
      <c r="BE101" s="1860"/>
    </row>
    <row r="102" spans="1:57" ht="15.75" customHeight="1">
      <c r="A102" s="1854"/>
      <c r="B102" s="1868" t="s">
        <v>1897</v>
      </c>
      <c r="C102" s="1868"/>
      <c r="D102" s="1868"/>
      <c r="E102" s="1868"/>
      <c r="F102" s="1868"/>
      <c r="G102" s="1868"/>
      <c r="H102" s="1868"/>
      <c r="I102" s="1868"/>
      <c r="J102" s="1868"/>
      <c r="K102" s="1868"/>
      <c r="L102" s="1868"/>
      <c r="M102" s="1868"/>
      <c r="N102" s="1868"/>
      <c r="O102" s="1868"/>
      <c r="P102" s="1868"/>
      <c r="Q102" s="1861" t="s">
        <v>251</v>
      </c>
      <c r="R102" s="1861" t="s">
        <v>251</v>
      </c>
      <c r="S102" s="1854"/>
      <c r="T102" s="1854"/>
      <c r="U102" s="1854"/>
      <c r="V102" s="1854" t="s">
        <v>251</v>
      </c>
      <c r="W102" s="1854"/>
      <c r="X102" s="3102"/>
      <c r="Y102" s="3103"/>
      <c r="Z102" s="3103"/>
      <c r="AA102" s="3103"/>
      <c r="AB102" s="3103"/>
      <c r="AC102" s="3103"/>
      <c r="AD102" s="3103"/>
      <c r="AE102" s="3103"/>
      <c r="AF102" s="3103"/>
      <c r="AG102" s="3103"/>
      <c r="AH102" s="3103"/>
      <c r="AI102" s="3103"/>
      <c r="AJ102" s="3103"/>
      <c r="AK102" s="3103"/>
      <c r="AL102" s="3103"/>
      <c r="AM102" s="3103"/>
      <c r="AN102" s="3103"/>
      <c r="AO102" s="3103"/>
      <c r="AP102" s="3103"/>
      <c r="AQ102" s="3103"/>
      <c r="AR102" s="3103"/>
      <c r="AS102" s="3103"/>
      <c r="AT102" s="3103"/>
      <c r="AU102" s="3103"/>
      <c r="AV102" s="3103"/>
      <c r="AW102" s="3103"/>
      <c r="AX102" s="3103"/>
      <c r="AY102" s="3103"/>
      <c r="AZ102" s="3103"/>
      <c r="BA102" s="3103"/>
      <c r="BB102" s="3103"/>
      <c r="BC102" s="3103"/>
      <c r="BD102" s="3104"/>
      <c r="BE102" s="1860"/>
    </row>
    <row r="103" spans="1:57" ht="15.75" customHeight="1" thickBot="1">
      <c r="A103" s="1854"/>
      <c r="B103" s="1854"/>
      <c r="C103" s="1854"/>
      <c r="D103" s="1854"/>
      <c r="E103" s="1854"/>
      <c r="F103" s="1854"/>
      <c r="G103" s="1854"/>
      <c r="H103" s="1854"/>
      <c r="I103" s="1854"/>
      <c r="J103" s="1854"/>
      <c r="K103" s="1854"/>
      <c r="L103" s="1854"/>
      <c r="M103" s="1854"/>
      <c r="N103" s="1854"/>
      <c r="O103" s="1854"/>
      <c r="P103" s="1854"/>
      <c r="Q103" s="1854"/>
      <c r="R103" s="1854"/>
      <c r="S103" s="1854"/>
      <c r="T103" s="1854"/>
      <c r="U103" s="1854"/>
      <c r="V103" s="1854"/>
      <c r="W103" s="1854"/>
      <c r="X103" s="3102"/>
      <c r="Y103" s="3103"/>
      <c r="Z103" s="3103"/>
      <c r="AA103" s="3103"/>
      <c r="AB103" s="3103"/>
      <c r="AC103" s="3103"/>
      <c r="AD103" s="3103"/>
      <c r="AE103" s="3103"/>
      <c r="AF103" s="3103"/>
      <c r="AG103" s="3103"/>
      <c r="AH103" s="3103"/>
      <c r="AI103" s="3103"/>
      <c r="AJ103" s="3103"/>
      <c r="AK103" s="3103"/>
      <c r="AL103" s="3103"/>
      <c r="AM103" s="3103"/>
      <c r="AN103" s="3103"/>
      <c r="AO103" s="3103"/>
      <c r="AP103" s="3103"/>
      <c r="AQ103" s="3103"/>
      <c r="AR103" s="3103"/>
      <c r="AS103" s="3103"/>
      <c r="AT103" s="3103"/>
      <c r="AU103" s="3103"/>
      <c r="AV103" s="3103"/>
      <c r="AW103" s="3103"/>
      <c r="AX103" s="3103"/>
      <c r="AY103" s="3103"/>
      <c r="AZ103" s="3103"/>
      <c r="BA103" s="3103"/>
      <c r="BB103" s="3103"/>
      <c r="BC103" s="3103"/>
      <c r="BD103" s="3104"/>
      <c r="BE103" s="1860"/>
    </row>
    <row r="104" spans="1:57" ht="15.75" customHeight="1">
      <c r="A104" s="1854"/>
      <c r="B104" s="2977" t="s">
        <v>1898</v>
      </c>
      <c r="C104" s="2978"/>
      <c r="D104" s="2978"/>
      <c r="E104" s="2978"/>
      <c r="F104" s="2978"/>
      <c r="G104" s="2978"/>
      <c r="H104" s="2978"/>
      <c r="I104" s="2978"/>
      <c r="J104" s="2978"/>
      <c r="K104" s="2978"/>
      <c r="L104" s="2978"/>
      <c r="M104" s="2978"/>
      <c r="N104" s="2978"/>
      <c r="O104" s="2978"/>
      <c r="P104" s="2978"/>
      <c r="Q104" s="2978"/>
      <c r="R104" s="2978"/>
      <c r="S104" s="2978"/>
      <c r="T104" s="2978"/>
      <c r="U104" s="2979"/>
      <c r="V104" s="1854"/>
      <c r="W104" s="1854"/>
      <c r="X104" s="3102"/>
      <c r="Y104" s="3103"/>
      <c r="Z104" s="3103"/>
      <c r="AA104" s="3103"/>
      <c r="AB104" s="3103"/>
      <c r="AC104" s="3103"/>
      <c r="AD104" s="3103"/>
      <c r="AE104" s="3103"/>
      <c r="AF104" s="3103"/>
      <c r="AG104" s="3103"/>
      <c r="AH104" s="3103"/>
      <c r="AI104" s="3103"/>
      <c r="AJ104" s="3103"/>
      <c r="AK104" s="3103"/>
      <c r="AL104" s="3103"/>
      <c r="AM104" s="3103"/>
      <c r="AN104" s="3103"/>
      <c r="AO104" s="3103"/>
      <c r="AP104" s="3103"/>
      <c r="AQ104" s="3103"/>
      <c r="AR104" s="3103"/>
      <c r="AS104" s="3103"/>
      <c r="AT104" s="3103"/>
      <c r="AU104" s="3103"/>
      <c r="AV104" s="3103"/>
      <c r="AW104" s="3103"/>
      <c r="AX104" s="3103"/>
      <c r="AY104" s="3103"/>
      <c r="AZ104" s="3103"/>
      <c r="BA104" s="3103"/>
      <c r="BB104" s="3103"/>
      <c r="BC104" s="3103"/>
      <c r="BD104" s="3104"/>
      <c r="BE104" s="1860"/>
    </row>
    <row r="105" spans="1:57" ht="15.75" customHeight="1">
      <c r="A105" s="1854"/>
      <c r="B105" s="3138"/>
      <c r="C105" s="3139"/>
      <c r="D105" s="3139"/>
      <c r="E105" s="3139"/>
      <c r="F105" s="3139"/>
      <c r="G105" s="3139"/>
      <c r="H105" s="3139"/>
      <c r="I105" s="3140" t="s">
        <v>1891</v>
      </c>
      <c r="J105" s="3140"/>
      <c r="K105" s="3140"/>
      <c r="L105" s="3140"/>
      <c r="M105" s="3140"/>
      <c r="N105" s="3140"/>
      <c r="O105" s="3140"/>
      <c r="P105" s="3140" t="s">
        <v>2254</v>
      </c>
      <c r="Q105" s="3140"/>
      <c r="R105" s="3140"/>
      <c r="S105" s="3140"/>
      <c r="T105" s="3140"/>
      <c r="U105" s="3141"/>
      <c r="V105" s="1854"/>
      <c r="W105" s="1854"/>
      <c r="X105" s="3102"/>
      <c r="Y105" s="3103"/>
      <c r="Z105" s="3103"/>
      <c r="AA105" s="3103"/>
      <c r="AB105" s="3103"/>
      <c r="AC105" s="3103"/>
      <c r="AD105" s="3103"/>
      <c r="AE105" s="3103"/>
      <c r="AF105" s="3103"/>
      <c r="AG105" s="3103"/>
      <c r="AH105" s="3103"/>
      <c r="AI105" s="3103"/>
      <c r="AJ105" s="3103"/>
      <c r="AK105" s="3103"/>
      <c r="AL105" s="3103"/>
      <c r="AM105" s="3103"/>
      <c r="AN105" s="3103"/>
      <c r="AO105" s="3103"/>
      <c r="AP105" s="3103"/>
      <c r="AQ105" s="3103"/>
      <c r="AR105" s="3103"/>
      <c r="AS105" s="3103"/>
      <c r="AT105" s="3103"/>
      <c r="AU105" s="3103"/>
      <c r="AV105" s="3103"/>
      <c r="AW105" s="3103"/>
      <c r="AX105" s="3103"/>
      <c r="AY105" s="3103"/>
      <c r="AZ105" s="3103"/>
      <c r="BA105" s="3103"/>
      <c r="BB105" s="3103"/>
      <c r="BC105" s="3103"/>
      <c r="BD105" s="3104"/>
      <c r="BE105" s="1860"/>
    </row>
    <row r="106" spans="1:57" ht="15.75" customHeight="1">
      <c r="A106" s="1854"/>
      <c r="B106" s="3138"/>
      <c r="C106" s="3139"/>
      <c r="D106" s="3139"/>
      <c r="E106" s="3139"/>
      <c r="F106" s="3139"/>
      <c r="G106" s="3139"/>
      <c r="H106" s="3139"/>
      <c r="I106" s="3140"/>
      <c r="J106" s="3140"/>
      <c r="K106" s="3140"/>
      <c r="L106" s="3140"/>
      <c r="M106" s="3140"/>
      <c r="N106" s="3140"/>
      <c r="O106" s="3140"/>
      <c r="P106" s="3140"/>
      <c r="Q106" s="3140"/>
      <c r="R106" s="3140"/>
      <c r="S106" s="3140"/>
      <c r="T106" s="3140"/>
      <c r="U106" s="3141"/>
      <c r="V106" s="1854"/>
      <c r="W106" s="1854"/>
      <c r="X106" s="3102"/>
      <c r="Y106" s="3103"/>
      <c r="Z106" s="3103"/>
      <c r="AA106" s="3103"/>
      <c r="AB106" s="3103"/>
      <c r="AC106" s="3103"/>
      <c r="AD106" s="3103"/>
      <c r="AE106" s="3103"/>
      <c r="AF106" s="3103"/>
      <c r="AG106" s="3103"/>
      <c r="AH106" s="3103"/>
      <c r="AI106" s="3103"/>
      <c r="AJ106" s="3103"/>
      <c r="AK106" s="3103"/>
      <c r="AL106" s="3103"/>
      <c r="AM106" s="3103"/>
      <c r="AN106" s="3103"/>
      <c r="AO106" s="3103"/>
      <c r="AP106" s="3103"/>
      <c r="AQ106" s="3103"/>
      <c r="AR106" s="3103"/>
      <c r="AS106" s="3103"/>
      <c r="AT106" s="3103"/>
      <c r="AU106" s="3103"/>
      <c r="AV106" s="3103"/>
      <c r="AW106" s="3103"/>
      <c r="AX106" s="3103"/>
      <c r="AY106" s="3103"/>
      <c r="AZ106" s="3103"/>
      <c r="BA106" s="3103"/>
      <c r="BB106" s="3103"/>
      <c r="BC106" s="3103"/>
      <c r="BD106" s="3104"/>
      <c r="BE106" s="1860"/>
    </row>
    <row r="107" spans="1:57" ht="15.75" customHeight="1">
      <c r="A107" s="1854"/>
      <c r="B107" s="3150" t="s">
        <v>2244</v>
      </c>
      <c r="C107" s="3151"/>
      <c r="D107" s="3151"/>
      <c r="E107" s="3151"/>
      <c r="F107" s="3151"/>
      <c r="G107" s="3151"/>
      <c r="H107" s="3151"/>
      <c r="I107" s="3125">
        <v>0</v>
      </c>
      <c r="J107" s="3125"/>
      <c r="K107" s="3125"/>
      <c r="L107" s="3125"/>
      <c r="M107" s="3125"/>
      <c r="N107" s="3125"/>
      <c r="O107" s="3125"/>
      <c r="P107" s="3125">
        <v>0</v>
      </c>
      <c r="Q107" s="3125"/>
      <c r="R107" s="3125"/>
      <c r="S107" s="3125"/>
      <c r="T107" s="3125"/>
      <c r="U107" s="3134"/>
      <c r="V107" s="1854"/>
      <c r="W107" s="1854"/>
      <c r="X107" s="3102"/>
      <c r="Y107" s="3103"/>
      <c r="Z107" s="3103"/>
      <c r="AA107" s="3103"/>
      <c r="AB107" s="3103"/>
      <c r="AC107" s="3103"/>
      <c r="AD107" s="3103"/>
      <c r="AE107" s="3103"/>
      <c r="AF107" s="3103"/>
      <c r="AG107" s="3103"/>
      <c r="AH107" s="3103"/>
      <c r="AI107" s="3103"/>
      <c r="AJ107" s="3103"/>
      <c r="AK107" s="3103"/>
      <c r="AL107" s="3103"/>
      <c r="AM107" s="3103"/>
      <c r="AN107" s="3103"/>
      <c r="AO107" s="3103"/>
      <c r="AP107" s="3103"/>
      <c r="AQ107" s="3103"/>
      <c r="AR107" s="3103"/>
      <c r="AS107" s="3103"/>
      <c r="AT107" s="3103"/>
      <c r="AU107" s="3103"/>
      <c r="AV107" s="3103"/>
      <c r="AW107" s="3103"/>
      <c r="AX107" s="3103"/>
      <c r="AY107" s="3103"/>
      <c r="AZ107" s="3103"/>
      <c r="BA107" s="3103"/>
      <c r="BB107" s="3103"/>
      <c r="BC107" s="3103"/>
      <c r="BD107" s="3104"/>
      <c r="BE107" s="1860"/>
    </row>
    <row r="108" spans="1:57" ht="15.75" customHeight="1" thickBot="1">
      <c r="A108" s="1854"/>
      <c r="B108" s="3152" t="s">
        <v>2245</v>
      </c>
      <c r="C108" s="3153"/>
      <c r="D108" s="3153"/>
      <c r="E108" s="3153"/>
      <c r="F108" s="3153"/>
      <c r="G108" s="3153"/>
      <c r="H108" s="3153"/>
      <c r="I108" s="3132">
        <v>0</v>
      </c>
      <c r="J108" s="3132"/>
      <c r="K108" s="3132"/>
      <c r="L108" s="3132"/>
      <c r="M108" s="3132"/>
      <c r="N108" s="3132"/>
      <c r="O108" s="3132"/>
      <c r="P108" s="3132">
        <v>0</v>
      </c>
      <c r="Q108" s="3132"/>
      <c r="R108" s="3132"/>
      <c r="S108" s="3132"/>
      <c r="T108" s="3132"/>
      <c r="U108" s="3133"/>
      <c r="V108" s="1854"/>
      <c r="W108" s="1854"/>
      <c r="X108" s="3105"/>
      <c r="Y108" s="3106"/>
      <c r="Z108" s="3106"/>
      <c r="AA108" s="3106"/>
      <c r="AB108" s="3106"/>
      <c r="AC108" s="3106"/>
      <c r="AD108" s="3106"/>
      <c r="AE108" s="3106"/>
      <c r="AF108" s="3106"/>
      <c r="AG108" s="3106"/>
      <c r="AH108" s="3106"/>
      <c r="AI108" s="3106"/>
      <c r="AJ108" s="3106"/>
      <c r="AK108" s="3106"/>
      <c r="AL108" s="3106"/>
      <c r="AM108" s="3106"/>
      <c r="AN108" s="3106"/>
      <c r="AO108" s="3106"/>
      <c r="AP108" s="3106"/>
      <c r="AQ108" s="3106"/>
      <c r="AR108" s="3106"/>
      <c r="AS108" s="3106"/>
      <c r="AT108" s="3106"/>
      <c r="AU108" s="3106"/>
      <c r="AV108" s="3106"/>
      <c r="AW108" s="3106"/>
      <c r="AX108" s="3106"/>
      <c r="AY108" s="3106"/>
      <c r="AZ108" s="3106"/>
      <c r="BA108" s="3106"/>
      <c r="BB108" s="3106"/>
      <c r="BC108" s="3106"/>
      <c r="BD108" s="3107"/>
      <c r="BE108" s="1860"/>
    </row>
    <row r="109" spans="1:57" ht="15.75" customHeight="1" thickBot="1">
      <c r="A109" s="1854"/>
      <c r="B109" s="1854"/>
      <c r="C109" s="1854"/>
      <c r="D109" s="1854"/>
      <c r="E109" s="1854"/>
      <c r="F109" s="1854"/>
      <c r="G109" s="1854"/>
      <c r="H109" s="1854"/>
      <c r="I109" s="1854"/>
      <c r="J109" s="1854"/>
      <c r="K109" s="1854"/>
      <c r="L109" s="1854"/>
      <c r="M109" s="1854"/>
      <c r="N109" s="1854"/>
      <c r="O109" s="1854"/>
      <c r="P109" s="1854"/>
      <c r="Q109" s="1871"/>
      <c r="R109" s="1854"/>
      <c r="S109" s="1854"/>
      <c r="T109" s="1854"/>
      <c r="U109" s="1854"/>
      <c r="V109" s="1854"/>
      <c r="W109" s="1854"/>
      <c r="X109" s="1854"/>
      <c r="Y109" s="1854"/>
      <c r="Z109" s="1854"/>
      <c r="AA109" s="1854"/>
      <c r="AB109" s="1854"/>
      <c r="AC109" s="1854"/>
      <c r="AD109" s="1854"/>
      <c r="AE109" s="1854"/>
      <c r="AF109" s="1854"/>
      <c r="AG109" s="1854"/>
      <c r="AH109" s="1854"/>
      <c r="AI109" s="1854"/>
      <c r="AJ109" s="1854"/>
      <c r="AK109" s="1854"/>
      <c r="AL109" s="1854"/>
      <c r="AM109" s="1854"/>
      <c r="AN109" s="1854"/>
      <c r="AO109" s="1854"/>
      <c r="AP109" s="1854"/>
      <c r="AQ109" s="1854"/>
      <c r="AR109" s="1854"/>
      <c r="AS109" s="1854"/>
      <c r="AT109" s="1854"/>
      <c r="AU109" s="1854"/>
      <c r="AV109" s="1854"/>
      <c r="AW109" s="1854"/>
      <c r="AX109" s="1854"/>
      <c r="AY109" s="1854"/>
      <c r="AZ109" s="1854"/>
      <c r="BA109" s="1854"/>
      <c r="BB109" s="1854"/>
      <c r="BC109" s="1854"/>
      <c r="BD109" s="1854"/>
      <c r="BE109" s="1860"/>
    </row>
    <row r="110" spans="1:57" ht="15.75" customHeight="1">
      <c r="A110" s="1854"/>
      <c r="B110" s="3154" t="s">
        <v>1899</v>
      </c>
      <c r="C110" s="3155"/>
      <c r="D110" s="3155"/>
      <c r="E110" s="3155"/>
      <c r="F110" s="3155"/>
      <c r="G110" s="3155"/>
      <c r="H110" s="3155"/>
      <c r="I110" s="3155"/>
      <c r="J110" s="3155"/>
      <c r="K110" s="3155"/>
      <c r="L110" s="3155"/>
      <c r="M110" s="3155"/>
      <c r="N110" s="3155"/>
      <c r="O110" s="3155"/>
      <c r="P110" s="3155"/>
      <c r="Q110" s="3155"/>
      <c r="R110" s="3155"/>
      <c r="S110" s="3155"/>
      <c r="T110" s="3155"/>
      <c r="U110" s="3155"/>
      <c r="V110" s="3155"/>
      <c r="W110" s="3155"/>
      <c r="X110" s="3155"/>
      <c r="Y110" s="3155"/>
      <c r="Z110" s="3155"/>
      <c r="AA110" s="3155"/>
      <c r="AB110" s="3155"/>
      <c r="AC110" s="3155"/>
      <c r="AD110" s="3155"/>
      <c r="AE110" s="3155"/>
      <c r="AF110" s="3155"/>
      <c r="AG110" s="3155"/>
      <c r="AH110" s="3074" t="s">
        <v>554</v>
      </c>
      <c r="AI110" s="3074"/>
      <c r="AJ110" s="3074"/>
      <c r="AK110" s="3074"/>
      <c r="AL110" s="3074"/>
      <c r="AM110" s="3074"/>
      <c r="AN110" s="3074"/>
      <c r="AO110" s="3074"/>
      <c r="AP110" s="3074"/>
      <c r="AQ110" s="3074"/>
      <c r="AR110" s="3074"/>
      <c r="AS110" s="3074"/>
      <c r="AT110" s="3074"/>
      <c r="AU110" s="3074"/>
      <c r="AV110" s="3074"/>
      <c r="AW110" s="3074"/>
      <c r="AX110" s="3075"/>
      <c r="AY110" s="1854"/>
      <c r="AZ110" s="1854"/>
      <c r="BA110" s="1854"/>
      <c r="BB110" s="1854"/>
      <c r="BC110" s="1854"/>
      <c r="BD110" s="1854"/>
      <c r="BE110" s="1860"/>
    </row>
    <row r="111" spans="1:57" ht="15.75" customHeight="1">
      <c r="A111" s="1854"/>
      <c r="B111" s="3156" t="s">
        <v>1900</v>
      </c>
      <c r="C111" s="3157"/>
      <c r="D111" s="3157"/>
      <c r="E111" s="3157"/>
      <c r="F111" s="3157"/>
      <c r="G111" s="3157"/>
      <c r="H111" s="3157"/>
      <c r="I111" s="3157"/>
      <c r="J111" s="3157"/>
      <c r="K111" s="3157"/>
      <c r="L111" s="3157"/>
      <c r="M111" s="3157"/>
      <c r="N111" s="3157"/>
      <c r="O111" s="3157"/>
      <c r="P111" s="3157"/>
      <c r="Q111" s="3157"/>
      <c r="R111" s="3158" t="s">
        <v>2782</v>
      </c>
      <c r="S111" s="3158"/>
      <c r="T111" s="3158"/>
      <c r="U111" s="3158"/>
      <c r="V111" s="3158"/>
      <c r="W111" s="3158"/>
      <c r="X111" s="3158"/>
      <c r="Y111" s="3158"/>
      <c r="Z111" s="3158"/>
      <c r="AA111" s="3158"/>
      <c r="AB111" s="3158"/>
      <c r="AC111" s="3158"/>
      <c r="AD111" s="3158"/>
      <c r="AE111" s="3158"/>
      <c r="AF111" s="3158"/>
      <c r="AG111" s="3158"/>
      <c r="AH111" s="3158"/>
      <c r="AI111" s="3158"/>
      <c r="AJ111" s="3158"/>
      <c r="AK111" s="3158"/>
      <c r="AL111" s="3158"/>
      <c r="AM111" s="3158"/>
      <c r="AN111" s="3158"/>
      <c r="AO111" s="3158"/>
      <c r="AP111" s="3158"/>
      <c r="AQ111" s="3158"/>
      <c r="AR111" s="3158"/>
      <c r="AS111" s="3158"/>
      <c r="AT111" s="3158"/>
      <c r="AU111" s="3158"/>
      <c r="AV111" s="3158"/>
      <c r="AW111" s="3158"/>
      <c r="AX111" s="3159"/>
      <c r="AY111" s="1854"/>
      <c r="AZ111" s="1854"/>
      <c r="BA111" s="1854"/>
      <c r="BB111" s="1854"/>
      <c r="BC111" s="1854" t="s">
        <v>251</v>
      </c>
      <c r="BD111" s="1854"/>
      <c r="BE111" s="1860"/>
    </row>
    <row r="112" spans="1:57" ht="15.75" customHeight="1">
      <c r="A112" s="1854"/>
      <c r="B112" s="3160" t="s">
        <v>2781</v>
      </c>
      <c r="C112" s="3161"/>
      <c r="D112" s="3161"/>
      <c r="E112" s="3161"/>
      <c r="F112" s="3161"/>
      <c r="G112" s="3161"/>
      <c r="H112" s="3161"/>
      <c r="I112" s="3161"/>
      <c r="J112" s="3161"/>
      <c r="K112" s="3161"/>
      <c r="L112" s="3161"/>
      <c r="M112" s="3161"/>
      <c r="N112" s="3161"/>
      <c r="O112" s="3161"/>
      <c r="P112" s="3161"/>
      <c r="Q112" s="3161"/>
      <c r="R112" s="3161"/>
      <c r="S112" s="3161"/>
      <c r="T112" s="3161"/>
      <c r="U112" s="3161"/>
      <c r="V112" s="3161"/>
      <c r="W112" s="3161"/>
      <c r="X112" s="3161"/>
      <c r="Y112" s="3161"/>
      <c r="Z112" s="3161"/>
      <c r="AA112" s="3161"/>
      <c r="AB112" s="3161"/>
      <c r="AC112" s="3161"/>
      <c r="AD112" s="3161"/>
      <c r="AE112" s="3161"/>
      <c r="AF112" s="3161"/>
      <c r="AG112" s="3161"/>
      <c r="AH112" s="3161"/>
      <c r="AI112" s="3161"/>
      <c r="AJ112" s="3161"/>
      <c r="AK112" s="3161"/>
      <c r="AL112" s="3161"/>
      <c r="AM112" s="3161"/>
      <c r="AN112" s="3161"/>
      <c r="AO112" s="3161"/>
      <c r="AP112" s="3161"/>
      <c r="AQ112" s="3161"/>
      <c r="AR112" s="3161"/>
      <c r="AS112" s="3161"/>
      <c r="AT112" s="3161"/>
      <c r="AU112" s="3161"/>
      <c r="AV112" s="3161"/>
      <c r="AW112" s="3161"/>
      <c r="AX112" s="3162"/>
      <c r="AY112" s="1854"/>
      <c r="AZ112" s="1854"/>
      <c r="BA112" s="1854"/>
      <c r="BB112" s="1854"/>
      <c r="BC112" s="1854"/>
      <c r="BD112" s="1854"/>
      <c r="BE112" s="1860"/>
    </row>
    <row r="113" spans="1:57" ht="15.75" customHeight="1">
      <c r="A113" s="1854"/>
      <c r="B113" s="3160"/>
      <c r="C113" s="3161"/>
      <c r="D113" s="3161"/>
      <c r="E113" s="3161"/>
      <c r="F113" s="3161"/>
      <c r="G113" s="3161"/>
      <c r="H113" s="3161"/>
      <c r="I113" s="3161"/>
      <c r="J113" s="3161"/>
      <c r="K113" s="3161"/>
      <c r="L113" s="3161"/>
      <c r="M113" s="3161"/>
      <c r="N113" s="3161"/>
      <c r="O113" s="3161"/>
      <c r="P113" s="3161"/>
      <c r="Q113" s="3161"/>
      <c r="R113" s="3161"/>
      <c r="S113" s="3161"/>
      <c r="T113" s="3161"/>
      <c r="U113" s="3161"/>
      <c r="V113" s="3161"/>
      <c r="W113" s="3161"/>
      <c r="X113" s="3161"/>
      <c r="Y113" s="3161"/>
      <c r="Z113" s="3161"/>
      <c r="AA113" s="3161"/>
      <c r="AB113" s="3161"/>
      <c r="AC113" s="3161"/>
      <c r="AD113" s="3161"/>
      <c r="AE113" s="3161"/>
      <c r="AF113" s="3161"/>
      <c r="AG113" s="3161"/>
      <c r="AH113" s="3161"/>
      <c r="AI113" s="3161"/>
      <c r="AJ113" s="3161"/>
      <c r="AK113" s="3161"/>
      <c r="AL113" s="3161"/>
      <c r="AM113" s="3161"/>
      <c r="AN113" s="3161"/>
      <c r="AO113" s="3161"/>
      <c r="AP113" s="3161"/>
      <c r="AQ113" s="3161"/>
      <c r="AR113" s="3161"/>
      <c r="AS113" s="3161"/>
      <c r="AT113" s="3161"/>
      <c r="AU113" s="3161"/>
      <c r="AV113" s="3161"/>
      <c r="AW113" s="3161"/>
      <c r="AX113" s="3162"/>
      <c r="AY113" s="1854"/>
      <c r="AZ113" s="1854"/>
      <c r="BA113" s="1854"/>
      <c r="BB113" s="1854"/>
      <c r="BC113" s="1854"/>
      <c r="BD113" s="1854"/>
      <c r="BE113" s="1860"/>
    </row>
    <row r="114" spans="1:57" ht="15.75" customHeight="1">
      <c r="A114" s="1854"/>
      <c r="B114" s="3160"/>
      <c r="C114" s="3161"/>
      <c r="D114" s="3161"/>
      <c r="E114" s="3161"/>
      <c r="F114" s="3161"/>
      <c r="G114" s="3161"/>
      <c r="H114" s="3161"/>
      <c r="I114" s="3161"/>
      <c r="J114" s="3161"/>
      <c r="K114" s="3161"/>
      <c r="L114" s="3161"/>
      <c r="M114" s="3161"/>
      <c r="N114" s="3161"/>
      <c r="O114" s="3161"/>
      <c r="P114" s="3161"/>
      <c r="Q114" s="3161"/>
      <c r="R114" s="3161"/>
      <c r="S114" s="3161"/>
      <c r="T114" s="3161"/>
      <c r="U114" s="3161"/>
      <c r="V114" s="3161"/>
      <c r="W114" s="3161"/>
      <c r="X114" s="3161"/>
      <c r="Y114" s="3161"/>
      <c r="Z114" s="3161"/>
      <c r="AA114" s="3161"/>
      <c r="AB114" s="3161"/>
      <c r="AC114" s="3161"/>
      <c r="AD114" s="3161"/>
      <c r="AE114" s="3161"/>
      <c r="AF114" s="3161"/>
      <c r="AG114" s="3161"/>
      <c r="AH114" s="3161"/>
      <c r="AI114" s="3161"/>
      <c r="AJ114" s="3161"/>
      <c r="AK114" s="3161"/>
      <c r="AL114" s="3161"/>
      <c r="AM114" s="3161"/>
      <c r="AN114" s="3161"/>
      <c r="AO114" s="3161"/>
      <c r="AP114" s="3161"/>
      <c r="AQ114" s="3161"/>
      <c r="AR114" s="3161"/>
      <c r="AS114" s="3161"/>
      <c r="AT114" s="3161"/>
      <c r="AU114" s="3161"/>
      <c r="AV114" s="3161"/>
      <c r="AW114" s="3161"/>
      <c r="AX114" s="3162"/>
      <c r="AY114" s="1854"/>
      <c r="AZ114" s="1854"/>
      <c r="BA114" s="1854"/>
      <c r="BB114" s="1854"/>
      <c r="BC114" s="1854"/>
      <c r="BD114" s="1854"/>
      <c r="BE114" s="1860"/>
    </row>
    <row r="115" spans="1:57" ht="15.75" customHeight="1">
      <c r="A115" s="1854"/>
      <c r="B115" s="3160"/>
      <c r="C115" s="3161"/>
      <c r="D115" s="3161"/>
      <c r="E115" s="3161"/>
      <c r="F115" s="3161"/>
      <c r="G115" s="3161"/>
      <c r="H115" s="3161"/>
      <c r="I115" s="3161"/>
      <c r="J115" s="3161"/>
      <c r="K115" s="3161"/>
      <c r="L115" s="3161"/>
      <c r="M115" s="3161"/>
      <c r="N115" s="3161"/>
      <c r="O115" s="3161"/>
      <c r="P115" s="3161"/>
      <c r="Q115" s="3161"/>
      <c r="R115" s="3161"/>
      <c r="S115" s="3161"/>
      <c r="T115" s="3161"/>
      <c r="U115" s="3161"/>
      <c r="V115" s="3161"/>
      <c r="W115" s="3161"/>
      <c r="X115" s="3161"/>
      <c r="Y115" s="3161"/>
      <c r="Z115" s="3161"/>
      <c r="AA115" s="3161"/>
      <c r="AB115" s="3161"/>
      <c r="AC115" s="3161"/>
      <c r="AD115" s="3161"/>
      <c r="AE115" s="3161"/>
      <c r="AF115" s="3161"/>
      <c r="AG115" s="3161"/>
      <c r="AH115" s="3161"/>
      <c r="AI115" s="3161"/>
      <c r="AJ115" s="3161"/>
      <c r="AK115" s="3161"/>
      <c r="AL115" s="3161"/>
      <c r="AM115" s="3161"/>
      <c r="AN115" s="3161"/>
      <c r="AO115" s="3161"/>
      <c r="AP115" s="3161"/>
      <c r="AQ115" s="3161"/>
      <c r="AR115" s="3161"/>
      <c r="AS115" s="3161"/>
      <c r="AT115" s="3161"/>
      <c r="AU115" s="3161"/>
      <c r="AV115" s="3161"/>
      <c r="AW115" s="3161"/>
      <c r="AX115" s="3162"/>
      <c r="AY115" s="1854"/>
      <c r="AZ115" s="1854"/>
      <c r="BA115" s="1854"/>
      <c r="BB115" s="1854"/>
      <c r="BC115" s="1854"/>
      <c r="BD115" s="1854"/>
      <c r="BE115" s="1860"/>
    </row>
    <row r="116" spans="1:57" ht="15.75" customHeight="1">
      <c r="A116" s="1854"/>
      <c r="B116" s="3160"/>
      <c r="C116" s="3161"/>
      <c r="D116" s="3161"/>
      <c r="E116" s="3161"/>
      <c r="F116" s="3161"/>
      <c r="G116" s="3161"/>
      <c r="H116" s="3161"/>
      <c r="I116" s="3161"/>
      <c r="J116" s="3161"/>
      <c r="K116" s="3161"/>
      <c r="L116" s="3161"/>
      <c r="M116" s="3161"/>
      <c r="N116" s="3161"/>
      <c r="O116" s="3161"/>
      <c r="P116" s="3161"/>
      <c r="Q116" s="3161"/>
      <c r="R116" s="3161"/>
      <c r="S116" s="3161"/>
      <c r="T116" s="3161"/>
      <c r="U116" s="3161"/>
      <c r="V116" s="3161"/>
      <c r="W116" s="3161"/>
      <c r="X116" s="3161"/>
      <c r="Y116" s="3161"/>
      <c r="Z116" s="3161"/>
      <c r="AA116" s="3161"/>
      <c r="AB116" s="3161"/>
      <c r="AC116" s="3161"/>
      <c r="AD116" s="3161"/>
      <c r="AE116" s="3161"/>
      <c r="AF116" s="3161"/>
      <c r="AG116" s="3161"/>
      <c r="AH116" s="3161"/>
      <c r="AI116" s="3161"/>
      <c r="AJ116" s="3161"/>
      <c r="AK116" s="3161"/>
      <c r="AL116" s="3161"/>
      <c r="AM116" s="3161"/>
      <c r="AN116" s="3161"/>
      <c r="AO116" s="3161"/>
      <c r="AP116" s="3161"/>
      <c r="AQ116" s="3161"/>
      <c r="AR116" s="3161"/>
      <c r="AS116" s="3161"/>
      <c r="AT116" s="3161"/>
      <c r="AU116" s="3161"/>
      <c r="AV116" s="3161"/>
      <c r="AW116" s="3161"/>
      <c r="AX116" s="3162"/>
      <c r="AY116" s="1854"/>
      <c r="AZ116" s="1854"/>
      <c r="BA116" s="1854"/>
      <c r="BB116" s="1854"/>
      <c r="BC116" s="1854"/>
      <c r="BD116" s="1854"/>
      <c r="BE116" s="1860"/>
    </row>
    <row r="117" spans="1:57" ht="15.75" customHeight="1">
      <c r="A117" s="1854"/>
      <c r="B117" s="3160"/>
      <c r="C117" s="3161"/>
      <c r="D117" s="3161"/>
      <c r="E117" s="3161"/>
      <c r="F117" s="3161"/>
      <c r="G117" s="3161"/>
      <c r="H117" s="3161"/>
      <c r="I117" s="3161"/>
      <c r="J117" s="3161"/>
      <c r="K117" s="3161"/>
      <c r="L117" s="3161"/>
      <c r="M117" s="3161"/>
      <c r="N117" s="3161"/>
      <c r="O117" s="3161"/>
      <c r="P117" s="3161"/>
      <c r="Q117" s="3161"/>
      <c r="R117" s="3161"/>
      <c r="S117" s="3161"/>
      <c r="T117" s="3161"/>
      <c r="U117" s="3161"/>
      <c r="V117" s="3161"/>
      <c r="W117" s="3161"/>
      <c r="X117" s="3161"/>
      <c r="Y117" s="3161"/>
      <c r="Z117" s="3161"/>
      <c r="AA117" s="3161"/>
      <c r="AB117" s="3161"/>
      <c r="AC117" s="3161"/>
      <c r="AD117" s="3161"/>
      <c r="AE117" s="3161"/>
      <c r="AF117" s="3161"/>
      <c r="AG117" s="3161"/>
      <c r="AH117" s="3161"/>
      <c r="AI117" s="3161"/>
      <c r="AJ117" s="3161"/>
      <c r="AK117" s="3161"/>
      <c r="AL117" s="3161"/>
      <c r="AM117" s="3161"/>
      <c r="AN117" s="3161"/>
      <c r="AO117" s="3161"/>
      <c r="AP117" s="3161"/>
      <c r="AQ117" s="3161"/>
      <c r="AR117" s="3161"/>
      <c r="AS117" s="3161"/>
      <c r="AT117" s="3161"/>
      <c r="AU117" s="3161"/>
      <c r="AV117" s="3161"/>
      <c r="AW117" s="3161"/>
      <c r="AX117" s="3162"/>
      <c r="AY117" s="1854"/>
      <c r="AZ117" s="1854"/>
      <c r="BA117" s="1854"/>
      <c r="BB117" s="1854"/>
      <c r="BC117" s="1854"/>
      <c r="BD117" s="1854"/>
      <c r="BE117" s="1860"/>
    </row>
    <row r="118" spans="1:57" ht="15.75" customHeight="1">
      <c r="A118" s="1854"/>
      <c r="B118" s="3160"/>
      <c r="C118" s="3161"/>
      <c r="D118" s="3161"/>
      <c r="E118" s="3161"/>
      <c r="F118" s="3161"/>
      <c r="G118" s="3161"/>
      <c r="H118" s="3161"/>
      <c r="I118" s="3161"/>
      <c r="J118" s="3161"/>
      <c r="K118" s="3161"/>
      <c r="L118" s="3161"/>
      <c r="M118" s="3161"/>
      <c r="N118" s="3161"/>
      <c r="O118" s="3161"/>
      <c r="P118" s="3161"/>
      <c r="Q118" s="3161"/>
      <c r="R118" s="3161"/>
      <c r="S118" s="3161"/>
      <c r="T118" s="3161"/>
      <c r="U118" s="3161"/>
      <c r="V118" s="3161"/>
      <c r="W118" s="3161"/>
      <c r="X118" s="3161"/>
      <c r="Y118" s="3161"/>
      <c r="Z118" s="3161"/>
      <c r="AA118" s="3161"/>
      <c r="AB118" s="3161"/>
      <c r="AC118" s="3161"/>
      <c r="AD118" s="3161"/>
      <c r="AE118" s="3161"/>
      <c r="AF118" s="3161"/>
      <c r="AG118" s="3161"/>
      <c r="AH118" s="3161"/>
      <c r="AI118" s="3161"/>
      <c r="AJ118" s="3161"/>
      <c r="AK118" s="3161"/>
      <c r="AL118" s="3161"/>
      <c r="AM118" s="3161"/>
      <c r="AN118" s="3161"/>
      <c r="AO118" s="3161"/>
      <c r="AP118" s="3161"/>
      <c r="AQ118" s="3161"/>
      <c r="AR118" s="3161"/>
      <c r="AS118" s="3161"/>
      <c r="AT118" s="3161"/>
      <c r="AU118" s="3161"/>
      <c r="AV118" s="3161"/>
      <c r="AW118" s="3161"/>
      <c r="AX118" s="3162"/>
      <c r="AY118" s="1854"/>
      <c r="AZ118" s="1854"/>
      <c r="BA118" s="1854"/>
      <c r="BB118" s="1854"/>
      <c r="BC118" s="1854"/>
      <c r="BD118" s="1854"/>
      <c r="BE118" s="1860"/>
    </row>
    <row r="119" spans="1:57" ht="15.75" customHeight="1">
      <c r="A119" s="1854"/>
      <c r="B119" s="3160"/>
      <c r="C119" s="3161"/>
      <c r="D119" s="3161"/>
      <c r="E119" s="3161"/>
      <c r="F119" s="3161"/>
      <c r="G119" s="3161"/>
      <c r="H119" s="3161"/>
      <c r="I119" s="3161"/>
      <c r="J119" s="3161"/>
      <c r="K119" s="3161"/>
      <c r="L119" s="3161"/>
      <c r="M119" s="3161"/>
      <c r="N119" s="3161"/>
      <c r="O119" s="3161"/>
      <c r="P119" s="3161"/>
      <c r="Q119" s="3161"/>
      <c r="R119" s="3161"/>
      <c r="S119" s="3161"/>
      <c r="T119" s="3161"/>
      <c r="U119" s="3161"/>
      <c r="V119" s="3161"/>
      <c r="W119" s="3161"/>
      <c r="X119" s="3161"/>
      <c r="Y119" s="3161"/>
      <c r="Z119" s="3161"/>
      <c r="AA119" s="3161"/>
      <c r="AB119" s="3161"/>
      <c r="AC119" s="3161"/>
      <c r="AD119" s="3161"/>
      <c r="AE119" s="3161"/>
      <c r="AF119" s="3161"/>
      <c r="AG119" s="3161"/>
      <c r="AH119" s="3161"/>
      <c r="AI119" s="3161"/>
      <c r="AJ119" s="3161"/>
      <c r="AK119" s="3161"/>
      <c r="AL119" s="3161"/>
      <c r="AM119" s="3161"/>
      <c r="AN119" s="3161"/>
      <c r="AO119" s="3161"/>
      <c r="AP119" s="3161"/>
      <c r="AQ119" s="3161"/>
      <c r="AR119" s="3161"/>
      <c r="AS119" s="3161"/>
      <c r="AT119" s="3161"/>
      <c r="AU119" s="3161"/>
      <c r="AV119" s="3161"/>
      <c r="AW119" s="3161"/>
      <c r="AX119" s="3162"/>
      <c r="AY119" s="1854"/>
      <c r="AZ119" s="1854"/>
      <c r="BA119" s="1854"/>
      <c r="BB119" s="1854"/>
      <c r="BC119" s="1854"/>
      <c r="BD119" s="1854"/>
      <c r="BE119" s="1860"/>
    </row>
    <row r="120" spans="1:57" ht="15.75" customHeight="1">
      <c r="A120" s="1854"/>
      <c r="B120" s="3160"/>
      <c r="C120" s="3161"/>
      <c r="D120" s="3161"/>
      <c r="E120" s="3161"/>
      <c r="F120" s="3161"/>
      <c r="G120" s="3161"/>
      <c r="H120" s="3161"/>
      <c r="I120" s="3161"/>
      <c r="J120" s="3161"/>
      <c r="K120" s="3161"/>
      <c r="L120" s="3161"/>
      <c r="M120" s="3161"/>
      <c r="N120" s="3161"/>
      <c r="O120" s="3161"/>
      <c r="P120" s="3161"/>
      <c r="Q120" s="3161"/>
      <c r="R120" s="3161"/>
      <c r="S120" s="3161"/>
      <c r="T120" s="3161"/>
      <c r="U120" s="3161"/>
      <c r="V120" s="3161"/>
      <c r="W120" s="3161"/>
      <c r="X120" s="3161"/>
      <c r="Y120" s="3161"/>
      <c r="Z120" s="3161"/>
      <c r="AA120" s="3161"/>
      <c r="AB120" s="3161"/>
      <c r="AC120" s="3161"/>
      <c r="AD120" s="3161"/>
      <c r="AE120" s="3161"/>
      <c r="AF120" s="3161"/>
      <c r="AG120" s="3161"/>
      <c r="AH120" s="3161"/>
      <c r="AI120" s="3161"/>
      <c r="AJ120" s="3161"/>
      <c r="AK120" s="3161"/>
      <c r="AL120" s="3161"/>
      <c r="AM120" s="3161"/>
      <c r="AN120" s="3161"/>
      <c r="AO120" s="3161"/>
      <c r="AP120" s="3161"/>
      <c r="AQ120" s="3161"/>
      <c r="AR120" s="3161"/>
      <c r="AS120" s="3161"/>
      <c r="AT120" s="3161"/>
      <c r="AU120" s="3161"/>
      <c r="AV120" s="3161"/>
      <c r="AW120" s="3161"/>
      <c r="AX120" s="3162"/>
      <c r="AY120" s="1854"/>
      <c r="AZ120" s="1854"/>
      <c r="BA120" s="1854"/>
      <c r="BB120" s="1854"/>
      <c r="BC120" s="1854"/>
      <c r="BD120" s="1854"/>
      <c r="BE120" s="1860"/>
    </row>
    <row r="121" spans="1:57" ht="15.75" customHeight="1" thickBot="1">
      <c r="A121" s="1854"/>
      <c r="B121" s="3163"/>
      <c r="C121" s="3164"/>
      <c r="D121" s="3164"/>
      <c r="E121" s="3164"/>
      <c r="F121" s="3164"/>
      <c r="G121" s="3164"/>
      <c r="H121" s="3164"/>
      <c r="I121" s="3164"/>
      <c r="J121" s="3164"/>
      <c r="K121" s="3164"/>
      <c r="L121" s="3164"/>
      <c r="M121" s="3164"/>
      <c r="N121" s="3164"/>
      <c r="O121" s="3164"/>
      <c r="P121" s="3164"/>
      <c r="Q121" s="3164"/>
      <c r="R121" s="3164"/>
      <c r="S121" s="3164"/>
      <c r="T121" s="3164"/>
      <c r="U121" s="3164"/>
      <c r="V121" s="3164"/>
      <c r="W121" s="3164"/>
      <c r="X121" s="3164"/>
      <c r="Y121" s="3164"/>
      <c r="Z121" s="3164"/>
      <c r="AA121" s="3164"/>
      <c r="AB121" s="3164"/>
      <c r="AC121" s="3164"/>
      <c r="AD121" s="3164"/>
      <c r="AE121" s="3164"/>
      <c r="AF121" s="3164"/>
      <c r="AG121" s="3164"/>
      <c r="AH121" s="3164"/>
      <c r="AI121" s="3164"/>
      <c r="AJ121" s="3164"/>
      <c r="AK121" s="3164"/>
      <c r="AL121" s="3164"/>
      <c r="AM121" s="3164"/>
      <c r="AN121" s="3164"/>
      <c r="AO121" s="3164"/>
      <c r="AP121" s="3164"/>
      <c r="AQ121" s="3164"/>
      <c r="AR121" s="3164"/>
      <c r="AS121" s="3164"/>
      <c r="AT121" s="3164"/>
      <c r="AU121" s="3164"/>
      <c r="AV121" s="3164"/>
      <c r="AW121" s="3164"/>
      <c r="AX121" s="3165"/>
      <c r="AY121" s="1854"/>
      <c r="AZ121" s="1854"/>
      <c r="BA121" s="1854"/>
      <c r="BB121" s="1854"/>
      <c r="BC121" s="1854"/>
      <c r="BD121" s="1854"/>
      <c r="BE121" s="1860"/>
    </row>
    <row r="122" spans="1:57" ht="15.75" customHeight="1">
      <c r="A122" s="1854"/>
      <c r="B122" s="1854"/>
      <c r="C122" s="1854"/>
      <c r="D122" s="1854"/>
      <c r="E122" s="1854"/>
      <c r="F122" s="1854"/>
      <c r="G122" s="1854"/>
      <c r="H122" s="1854"/>
      <c r="I122" s="1854"/>
      <c r="J122" s="1854"/>
      <c r="K122" s="1854"/>
      <c r="L122" s="1854"/>
      <c r="M122" s="1854"/>
      <c r="N122" s="1854"/>
      <c r="O122" s="1854"/>
      <c r="P122" s="1854"/>
      <c r="Q122" s="1854"/>
      <c r="R122" s="1854"/>
      <c r="S122" s="1854"/>
      <c r="T122" s="1854"/>
      <c r="U122" s="1854"/>
      <c r="V122" s="1854"/>
      <c r="W122" s="1854"/>
      <c r="X122" s="1854"/>
      <c r="Y122" s="1854"/>
      <c r="Z122" s="1854"/>
      <c r="AA122" s="1854"/>
      <c r="AB122" s="1854"/>
      <c r="AC122" s="1854"/>
      <c r="AD122" s="1854"/>
      <c r="AE122" s="1854"/>
      <c r="AF122" s="1854"/>
      <c r="AG122" s="1854"/>
      <c r="AH122" s="1854"/>
      <c r="AI122" s="1854"/>
      <c r="AJ122" s="1854"/>
      <c r="AK122" s="1854"/>
      <c r="AL122" s="1854"/>
      <c r="AM122" s="1854"/>
      <c r="AN122" s="1854"/>
      <c r="AO122" s="1854"/>
      <c r="AP122" s="1854"/>
      <c r="AQ122" s="1854"/>
      <c r="AR122" s="1854"/>
      <c r="AS122" s="1854"/>
      <c r="AT122" s="1854"/>
      <c r="AU122" s="1854"/>
      <c r="AV122" s="1854"/>
      <c r="AW122" s="1854"/>
      <c r="AX122" s="1854"/>
      <c r="AY122" s="1854"/>
      <c r="AZ122" s="1854"/>
      <c r="BA122" s="1854"/>
      <c r="BB122" s="1854"/>
      <c r="BC122" s="1854"/>
      <c r="BD122" s="1854"/>
      <c r="BE122" s="1860"/>
    </row>
    <row r="123" spans="1:57" ht="15.75" customHeight="1">
      <c r="A123" s="1854"/>
      <c r="B123" s="1864" t="s">
        <v>1901</v>
      </c>
      <c r="C123" s="1864"/>
      <c r="D123" s="1864"/>
      <c r="E123" s="1864"/>
      <c r="F123" s="1864"/>
      <c r="G123" s="1864"/>
      <c r="H123" s="1864"/>
      <c r="I123" s="1864"/>
      <c r="J123" s="1864"/>
      <c r="K123" s="1864"/>
      <c r="L123" s="1864"/>
      <c r="M123" s="1864"/>
      <c r="N123" s="1861"/>
      <c r="O123" s="1861"/>
      <c r="P123" s="1854"/>
      <c r="Q123" s="1854"/>
      <c r="R123" s="1854"/>
      <c r="S123" s="1854"/>
      <c r="T123" s="1854"/>
      <c r="U123" s="1854" t="s">
        <v>251</v>
      </c>
      <c r="V123" s="1854"/>
      <c r="W123" s="1854"/>
      <c r="X123" s="1868" t="s">
        <v>2256</v>
      </c>
      <c r="Y123" s="1868"/>
      <c r="Z123" s="1868"/>
      <c r="AA123" s="1868"/>
      <c r="AB123" s="1868"/>
      <c r="AC123" s="1868"/>
      <c r="AD123" s="1868"/>
      <c r="AE123" s="1868"/>
      <c r="AF123" s="1868"/>
      <c r="AG123" s="1868"/>
      <c r="AH123" s="1868"/>
      <c r="AI123" s="1868"/>
      <c r="AJ123" s="1868"/>
      <c r="AK123" s="1869"/>
      <c r="AL123" s="1869"/>
      <c r="AM123" s="1869"/>
      <c r="AN123" s="1854"/>
      <c r="AO123" s="1854"/>
      <c r="AP123" s="1854"/>
      <c r="AQ123" s="1854"/>
      <c r="AR123" s="1854"/>
      <c r="AS123" s="1854"/>
      <c r="AT123" s="1854"/>
      <c r="AU123" s="1854"/>
      <c r="AV123" s="1854"/>
      <c r="AW123" s="1854"/>
      <c r="AX123" s="1854"/>
      <c r="AY123" s="1854"/>
      <c r="AZ123" s="1854"/>
      <c r="BA123" s="1854"/>
      <c r="BB123" s="1854"/>
      <c r="BC123" s="1854"/>
      <c r="BD123" s="1854"/>
      <c r="BE123" s="1860"/>
    </row>
    <row r="124" spans="1:57" ht="15.75" customHeight="1" thickBot="1">
      <c r="A124" s="1854"/>
      <c r="B124" s="1854"/>
      <c r="C124" s="1854"/>
      <c r="D124" s="1854"/>
      <c r="E124" s="1854"/>
      <c r="F124" s="1854"/>
      <c r="G124" s="1854"/>
      <c r="H124" s="1854"/>
      <c r="I124" s="1854"/>
      <c r="J124" s="1854"/>
      <c r="K124" s="1854"/>
      <c r="L124" s="1854"/>
      <c r="M124" s="1854"/>
      <c r="N124" s="1854"/>
      <c r="O124" s="1854"/>
      <c r="P124" s="1861"/>
      <c r="Q124" s="1854"/>
      <c r="R124" s="1854"/>
      <c r="S124" s="1854"/>
      <c r="T124" s="1854"/>
      <c r="U124" s="1854"/>
      <c r="V124" s="1854"/>
      <c r="W124" s="1854"/>
      <c r="X124" s="1854"/>
      <c r="Y124" s="1854"/>
      <c r="Z124" s="1854"/>
      <c r="AA124" s="1854"/>
      <c r="AB124" s="1854"/>
      <c r="AC124" s="1854"/>
      <c r="AD124" s="1854"/>
      <c r="AE124" s="1854"/>
      <c r="AF124" s="1854"/>
      <c r="AG124" s="1854"/>
      <c r="AH124" s="1854"/>
      <c r="AI124" s="1854"/>
      <c r="AJ124" s="1854"/>
      <c r="AK124" s="1854"/>
      <c r="AL124" s="1854"/>
      <c r="AM124" s="1854"/>
      <c r="AN124" s="1854"/>
      <c r="AO124" s="1854"/>
      <c r="AP124" s="1854"/>
      <c r="AQ124" s="1854"/>
      <c r="AR124" s="1854"/>
      <c r="AS124" s="1854"/>
      <c r="AT124" s="1854"/>
      <c r="AU124" s="1854"/>
      <c r="AV124" s="1854"/>
      <c r="AW124" s="1854"/>
      <c r="AX124" s="1854"/>
      <c r="AY124" s="1854"/>
      <c r="AZ124" s="1854"/>
      <c r="BA124" s="1854"/>
      <c r="BB124" s="1854"/>
      <c r="BC124" s="1854"/>
      <c r="BD124" s="1854"/>
      <c r="BE124" s="1860"/>
    </row>
    <row r="125" spans="1:57" ht="15.75" customHeight="1">
      <c r="A125" s="1854"/>
      <c r="B125" s="3015" t="s">
        <v>1902</v>
      </c>
      <c r="C125" s="3016"/>
      <c r="D125" s="3016"/>
      <c r="E125" s="3016"/>
      <c r="F125" s="3016"/>
      <c r="G125" s="3016"/>
      <c r="H125" s="3016"/>
      <c r="I125" s="3016"/>
      <c r="J125" s="3016"/>
      <c r="K125" s="3016"/>
      <c r="L125" s="3016"/>
      <c r="M125" s="3016"/>
      <c r="N125" s="3016"/>
      <c r="O125" s="3016"/>
      <c r="P125" s="3016"/>
      <c r="Q125" s="3016"/>
      <c r="R125" s="3016"/>
      <c r="S125" s="3016"/>
      <c r="T125" s="3016"/>
      <c r="U125" s="3017"/>
      <c r="V125" s="1854"/>
      <c r="W125" s="1856"/>
      <c r="X125" s="3015" t="s">
        <v>2257</v>
      </c>
      <c r="Y125" s="3016"/>
      <c r="Z125" s="3016"/>
      <c r="AA125" s="3016"/>
      <c r="AB125" s="3016"/>
      <c r="AC125" s="3016"/>
      <c r="AD125" s="3016"/>
      <c r="AE125" s="3016"/>
      <c r="AF125" s="3016"/>
      <c r="AG125" s="3016"/>
      <c r="AH125" s="3016"/>
      <c r="AI125" s="3016"/>
      <c r="AJ125" s="3016"/>
      <c r="AK125" s="3016"/>
      <c r="AL125" s="3016"/>
      <c r="AM125" s="3016"/>
      <c r="AN125" s="3016"/>
      <c r="AO125" s="3016"/>
      <c r="AP125" s="3016"/>
      <c r="AQ125" s="3017"/>
      <c r="AR125" s="1854"/>
      <c r="AS125" s="1854"/>
      <c r="AT125" s="1854"/>
      <c r="AU125" s="1854"/>
      <c r="AV125" s="1854"/>
      <c r="AW125" s="1854"/>
      <c r="AX125" s="1854"/>
      <c r="AY125" s="1854"/>
      <c r="AZ125" s="1854"/>
      <c r="BA125" s="1854"/>
      <c r="BB125" s="1854"/>
      <c r="BC125" s="1854"/>
      <c r="BD125" s="1854"/>
      <c r="BE125" s="1860"/>
    </row>
    <row r="126" spans="1:57" ht="15.75" customHeight="1">
      <c r="A126" s="1854"/>
      <c r="B126" s="3138"/>
      <c r="C126" s="3139"/>
      <c r="D126" s="3139"/>
      <c r="E126" s="3139"/>
      <c r="F126" s="3139"/>
      <c r="G126" s="3139"/>
      <c r="H126" s="3139"/>
      <c r="I126" s="3140" t="s">
        <v>1891</v>
      </c>
      <c r="J126" s="3140"/>
      <c r="K126" s="3140"/>
      <c r="L126" s="3140"/>
      <c r="M126" s="3140"/>
      <c r="N126" s="3140"/>
      <c r="O126" s="3140"/>
      <c r="P126" s="3140" t="s">
        <v>2258</v>
      </c>
      <c r="Q126" s="3140"/>
      <c r="R126" s="3140"/>
      <c r="S126" s="3140"/>
      <c r="T126" s="3140"/>
      <c r="U126" s="3141"/>
      <c r="V126" s="1854"/>
      <c r="W126" s="1854"/>
      <c r="X126" s="3138"/>
      <c r="Y126" s="3139"/>
      <c r="Z126" s="3139"/>
      <c r="AA126" s="3139"/>
      <c r="AB126" s="3139"/>
      <c r="AC126" s="3139"/>
      <c r="AD126" s="3139"/>
      <c r="AE126" s="3140" t="s">
        <v>1891</v>
      </c>
      <c r="AF126" s="3140"/>
      <c r="AG126" s="3140"/>
      <c r="AH126" s="3140"/>
      <c r="AI126" s="3140"/>
      <c r="AJ126" s="3140"/>
      <c r="AK126" s="3140"/>
      <c r="AL126" s="3140" t="s">
        <v>2254</v>
      </c>
      <c r="AM126" s="3140"/>
      <c r="AN126" s="3140"/>
      <c r="AO126" s="3140"/>
      <c r="AP126" s="3140"/>
      <c r="AQ126" s="3141"/>
      <c r="AR126" s="1854"/>
      <c r="AS126" s="1854"/>
      <c r="AT126" s="1854"/>
      <c r="AU126" s="1854"/>
      <c r="AV126" s="1854"/>
      <c r="AW126" s="1854"/>
      <c r="AX126" s="1854"/>
      <c r="AY126" s="1854"/>
      <c r="AZ126" s="1854"/>
      <c r="BA126" s="1854"/>
      <c r="BB126" s="1854"/>
      <c r="BC126" s="1854"/>
      <c r="BD126" s="1854"/>
      <c r="BE126" s="1860"/>
    </row>
    <row r="127" spans="1:57" ht="15.75" customHeight="1">
      <c r="A127" s="1854"/>
      <c r="B127" s="3138"/>
      <c r="C127" s="3139"/>
      <c r="D127" s="3139"/>
      <c r="E127" s="3139"/>
      <c r="F127" s="3139"/>
      <c r="G127" s="3139"/>
      <c r="H127" s="3139"/>
      <c r="I127" s="3140"/>
      <c r="J127" s="3140"/>
      <c r="K127" s="3140"/>
      <c r="L127" s="3140"/>
      <c r="M127" s="3140"/>
      <c r="N127" s="3140"/>
      <c r="O127" s="3140"/>
      <c r="P127" s="3140"/>
      <c r="Q127" s="3140"/>
      <c r="R127" s="3140"/>
      <c r="S127" s="3140"/>
      <c r="T127" s="3140"/>
      <c r="U127" s="3141"/>
      <c r="V127" s="1854"/>
      <c r="W127" s="1854"/>
      <c r="X127" s="3138"/>
      <c r="Y127" s="3139"/>
      <c r="Z127" s="3139"/>
      <c r="AA127" s="3139"/>
      <c r="AB127" s="3139"/>
      <c r="AC127" s="3139"/>
      <c r="AD127" s="3139"/>
      <c r="AE127" s="3140"/>
      <c r="AF127" s="3140"/>
      <c r="AG127" s="3140"/>
      <c r="AH127" s="3140"/>
      <c r="AI127" s="3140"/>
      <c r="AJ127" s="3140"/>
      <c r="AK127" s="3140"/>
      <c r="AL127" s="3140"/>
      <c r="AM127" s="3140"/>
      <c r="AN127" s="3140"/>
      <c r="AO127" s="3140"/>
      <c r="AP127" s="3140"/>
      <c r="AQ127" s="3141"/>
      <c r="AR127" s="1854"/>
      <c r="AS127" s="1854"/>
      <c r="AT127" s="1854"/>
      <c r="AU127" s="1854"/>
      <c r="AV127" s="1854"/>
      <c r="AW127" s="1854"/>
      <c r="AX127" s="1854"/>
      <c r="AY127" s="1854"/>
      <c r="AZ127" s="1854"/>
      <c r="BA127" s="1854"/>
      <c r="BB127" s="1854"/>
      <c r="BC127" s="1854"/>
      <c r="BD127" s="1854"/>
      <c r="BE127" s="1860"/>
    </row>
    <row r="128" spans="1:57" ht="15.75" customHeight="1" thickBot="1">
      <c r="A128" s="1854"/>
      <c r="B128" s="3150" t="s">
        <v>2244</v>
      </c>
      <c r="C128" s="3151"/>
      <c r="D128" s="3151"/>
      <c r="E128" s="3151"/>
      <c r="F128" s="3151"/>
      <c r="G128" s="3151"/>
      <c r="H128" s="3151"/>
      <c r="I128" s="3125">
        <v>0</v>
      </c>
      <c r="J128" s="3125"/>
      <c r="K128" s="3125"/>
      <c r="L128" s="3125"/>
      <c r="M128" s="3125"/>
      <c r="N128" s="3125"/>
      <c r="O128" s="3125"/>
      <c r="P128" s="3125">
        <v>1</v>
      </c>
      <c r="Q128" s="3125"/>
      <c r="R128" s="3125"/>
      <c r="S128" s="3125"/>
      <c r="T128" s="3125"/>
      <c r="U128" s="3134"/>
      <c r="V128" s="1854"/>
      <c r="W128" s="1854"/>
      <c r="X128" s="3152" t="s">
        <v>2244</v>
      </c>
      <c r="Y128" s="3153"/>
      <c r="Z128" s="3153"/>
      <c r="AA128" s="3153"/>
      <c r="AB128" s="3153"/>
      <c r="AC128" s="3153"/>
      <c r="AD128" s="3153"/>
      <c r="AE128" s="3132">
        <v>42</v>
      </c>
      <c r="AF128" s="3132"/>
      <c r="AG128" s="3132"/>
      <c r="AH128" s="3132"/>
      <c r="AI128" s="3132"/>
      <c r="AJ128" s="3132"/>
      <c r="AK128" s="3132"/>
      <c r="AL128" s="3132">
        <v>66</v>
      </c>
      <c r="AM128" s="3132"/>
      <c r="AN128" s="3132"/>
      <c r="AO128" s="3132"/>
      <c r="AP128" s="3132"/>
      <c r="AQ128" s="3133"/>
      <c r="AR128" s="1854"/>
      <c r="AS128" s="1854"/>
      <c r="AT128" s="1854"/>
      <c r="AU128" s="1854"/>
      <c r="AV128" s="1854"/>
      <c r="AW128" s="1854"/>
      <c r="AX128" s="1854"/>
      <c r="AY128" s="1854"/>
      <c r="AZ128" s="1854"/>
      <c r="BA128" s="1854"/>
      <c r="BB128" s="1854"/>
      <c r="BC128" s="1854"/>
      <c r="BD128" s="1854"/>
      <c r="BE128" s="1860"/>
    </row>
    <row r="129" spans="1:57" ht="15.75" customHeight="1" thickBot="1">
      <c r="A129" s="1854"/>
      <c r="B129" s="3152" t="s">
        <v>2245</v>
      </c>
      <c r="C129" s="3153"/>
      <c r="D129" s="3153"/>
      <c r="E129" s="3153"/>
      <c r="F129" s="3153"/>
      <c r="G129" s="3153"/>
      <c r="H129" s="3153"/>
      <c r="I129" s="3132">
        <v>3</v>
      </c>
      <c r="J129" s="3132"/>
      <c r="K129" s="3132"/>
      <c r="L129" s="3132"/>
      <c r="M129" s="3132"/>
      <c r="N129" s="3132"/>
      <c r="O129" s="3132"/>
      <c r="P129" s="3132">
        <v>3</v>
      </c>
      <c r="Q129" s="3132"/>
      <c r="R129" s="3132"/>
      <c r="S129" s="3132"/>
      <c r="T129" s="3132"/>
      <c r="U129" s="3133"/>
      <c r="V129" s="1854"/>
      <c r="W129" s="1854"/>
      <c r="X129" s="1854"/>
      <c r="Y129" s="1854"/>
      <c r="Z129" s="1854"/>
      <c r="AA129" s="1854"/>
      <c r="AB129" s="1854"/>
      <c r="AC129" s="1854"/>
      <c r="AD129" s="1854"/>
      <c r="AE129" s="1854"/>
      <c r="AF129" s="1854"/>
      <c r="AG129" s="1854"/>
      <c r="AH129" s="1854"/>
      <c r="AI129" s="1854"/>
      <c r="AJ129" s="1854"/>
      <c r="AK129" s="1854"/>
      <c r="AL129" s="1854"/>
      <c r="AM129" s="1854"/>
      <c r="AN129" s="1854"/>
      <c r="AO129" s="1854"/>
      <c r="AP129" s="1854"/>
      <c r="AQ129" s="1854"/>
      <c r="AR129" s="1854"/>
      <c r="AS129" s="1854"/>
      <c r="AT129" s="1854"/>
      <c r="AU129" s="1854"/>
      <c r="AV129" s="1854"/>
      <c r="AW129" s="1854"/>
      <c r="AX129" s="1854"/>
      <c r="AY129" s="1854"/>
      <c r="AZ129" s="1854"/>
      <c r="BA129" s="1854"/>
      <c r="BB129" s="1854"/>
      <c r="BC129" s="1854"/>
      <c r="BD129" s="1854"/>
      <c r="BE129" s="1860"/>
    </row>
    <row r="130" spans="1:57" ht="15.75" customHeight="1" thickBot="1">
      <c r="A130" s="1854"/>
      <c r="B130" s="1854"/>
      <c r="C130" s="1854"/>
      <c r="D130" s="1854"/>
      <c r="E130" s="1854"/>
      <c r="F130" s="1854"/>
      <c r="G130" s="1854"/>
      <c r="H130" s="1854"/>
      <c r="I130" s="1854"/>
      <c r="J130" s="1854"/>
      <c r="K130" s="1854"/>
      <c r="L130" s="1854"/>
      <c r="M130" s="1854"/>
      <c r="N130" s="1854"/>
      <c r="O130" s="1854"/>
      <c r="P130" s="1854"/>
      <c r="Q130" s="1854"/>
      <c r="R130" s="1854"/>
      <c r="S130" s="1854"/>
      <c r="T130" s="1854"/>
      <c r="U130" s="1854"/>
      <c r="V130" s="1854"/>
      <c r="W130" s="1854"/>
      <c r="X130" s="1854"/>
      <c r="Y130" s="1854"/>
      <c r="Z130" s="1854"/>
      <c r="AA130" s="1854"/>
      <c r="AB130" s="1854"/>
      <c r="AC130" s="1854"/>
      <c r="AD130" s="1854"/>
      <c r="AE130" s="1854"/>
      <c r="AF130" s="1854"/>
      <c r="AG130" s="1854"/>
      <c r="AH130" s="1854"/>
      <c r="AI130" s="1854"/>
      <c r="AJ130" s="1854"/>
      <c r="AK130" s="1854"/>
      <c r="AL130" s="1854"/>
      <c r="AM130" s="1854"/>
      <c r="AN130" s="1854"/>
      <c r="AO130" s="1854"/>
      <c r="AP130" s="1854"/>
      <c r="AQ130" s="1854"/>
      <c r="AR130" s="1854"/>
      <c r="AS130" s="1854"/>
      <c r="AT130" s="1854"/>
      <c r="AU130" s="1854"/>
      <c r="AV130" s="1854"/>
      <c r="AW130" s="1854"/>
      <c r="AX130" s="1854"/>
      <c r="AY130" s="1854"/>
      <c r="AZ130" s="1854"/>
      <c r="BA130" s="1854"/>
      <c r="BB130" s="1854"/>
      <c r="BC130" s="1854"/>
      <c r="BD130" s="1854"/>
      <c r="BE130" s="1860"/>
    </row>
    <row r="131" spans="1:57" ht="15.75" customHeight="1">
      <c r="A131" s="1854"/>
      <c r="B131" s="1854"/>
      <c r="C131" s="3015" t="s">
        <v>2246</v>
      </c>
      <c r="D131" s="3016"/>
      <c r="E131" s="3016"/>
      <c r="F131" s="3016"/>
      <c r="G131" s="3016"/>
      <c r="H131" s="3016"/>
      <c r="I131" s="3016"/>
      <c r="J131" s="3016"/>
      <c r="K131" s="3016"/>
      <c r="L131" s="3016"/>
      <c r="M131" s="3016"/>
      <c r="N131" s="3016"/>
      <c r="O131" s="3016"/>
      <c r="P131" s="3016"/>
      <c r="Q131" s="3016"/>
      <c r="R131" s="3016"/>
      <c r="S131" s="3016"/>
      <c r="T131" s="3016"/>
      <c r="U131" s="3016"/>
      <c r="V131" s="3016"/>
      <c r="W131" s="3016"/>
      <c r="X131" s="3016"/>
      <c r="Y131" s="3016"/>
      <c r="Z131" s="3016"/>
      <c r="AA131" s="3016"/>
      <c r="AB131" s="3016"/>
      <c r="AC131" s="3016"/>
      <c r="AD131" s="3016"/>
      <c r="AE131" s="3016"/>
      <c r="AF131" s="3016"/>
      <c r="AG131" s="3017"/>
      <c r="AH131" s="1854"/>
      <c r="AI131" s="1854"/>
      <c r="AJ131" s="1854"/>
      <c r="AK131" s="1854"/>
      <c r="AL131" s="1854"/>
      <c r="AM131" s="1854"/>
      <c r="AN131" s="1854"/>
      <c r="AO131" s="1854"/>
      <c r="AP131" s="1854"/>
      <c r="AQ131" s="1854"/>
      <c r="AR131" s="1854"/>
      <c r="AS131" s="1854"/>
      <c r="AT131" s="1854"/>
      <c r="AU131" s="1854"/>
      <c r="AV131" s="1854"/>
      <c r="AW131" s="1854"/>
      <c r="AX131" s="1854"/>
      <c r="AY131" s="1854"/>
      <c r="AZ131" s="1854"/>
      <c r="BA131" s="1854"/>
      <c r="BB131" s="1854"/>
      <c r="BC131" s="1854"/>
      <c r="BD131" s="1854"/>
      <c r="BE131" s="1860"/>
    </row>
    <row r="132" spans="1:57" ht="15.75" customHeight="1">
      <c r="A132" s="1854"/>
      <c r="B132" s="1854"/>
      <c r="C132" s="3138" t="s">
        <v>1903</v>
      </c>
      <c r="D132" s="3139"/>
      <c r="E132" s="3139"/>
      <c r="F132" s="3139"/>
      <c r="G132" s="3139"/>
      <c r="H132" s="3139"/>
      <c r="I132" s="3139"/>
      <c r="J132" s="3139"/>
      <c r="K132" s="3139"/>
      <c r="L132" s="3139"/>
      <c r="M132" s="3139"/>
      <c r="N132" s="3139"/>
      <c r="O132" s="3139"/>
      <c r="P132" s="3139"/>
      <c r="Q132" s="3139" t="s">
        <v>1904</v>
      </c>
      <c r="R132" s="3139"/>
      <c r="S132" s="3139"/>
      <c r="T132" s="3023" t="s">
        <v>2247</v>
      </c>
      <c r="U132" s="3023"/>
      <c r="V132" s="3023"/>
      <c r="W132" s="3023"/>
      <c r="X132" s="3023"/>
      <c r="Y132" s="3023"/>
      <c r="Z132" s="3023"/>
      <c r="AA132" s="3023"/>
      <c r="AB132" s="3139" t="s">
        <v>1905</v>
      </c>
      <c r="AC132" s="3139"/>
      <c r="AD132" s="3139"/>
      <c r="AE132" s="3139"/>
      <c r="AF132" s="3139"/>
      <c r="AG132" s="3171"/>
      <c r="AH132" s="1854"/>
      <c r="AI132" s="1854"/>
      <c r="AJ132" s="1854"/>
      <c r="AK132" s="1854"/>
      <c r="AL132" s="1854"/>
      <c r="AM132" s="1854"/>
      <c r="AN132" s="1854"/>
      <c r="AO132" s="1854"/>
      <c r="AP132" s="1854"/>
      <c r="AQ132" s="1854"/>
      <c r="AR132" s="1854"/>
      <c r="AS132" s="1854"/>
      <c r="AT132" s="1854"/>
      <c r="AU132" s="1854"/>
      <c r="AV132" s="1854"/>
      <c r="AW132" s="1854"/>
      <c r="AX132" s="1854"/>
      <c r="AY132" s="1854"/>
      <c r="AZ132" s="1854"/>
      <c r="BA132" s="1854"/>
      <c r="BB132" s="1854"/>
      <c r="BC132" s="1854"/>
      <c r="BD132" s="1854"/>
      <c r="BE132" s="1860"/>
    </row>
    <row r="133" spans="1:57" ht="15.75" customHeight="1">
      <c r="A133" s="1854"/>
      <c r="B133" s="1854"/>
      <c r="C133" s="3166" t="s">
        <v>1906</v>
      </c>
      <c r="D133" s="3167"/>
      <c r="E133" s="3167"/>
      <c r="F133" s="3167"/>
      <c r="G133" s="3167"/>
      <c r="H133" s="3167"/>
      <c r="I133" s="3167"/>
      <c r="J133" s="3167"/>
      <c r="K133" s="3167"/>
      <c r="L133" s="3167"/>
      <c r="M133" s="3167"/>
      <c r="N133" s="3167"/>
      <c r="O133" s="3167"/>
      <c r="P133" s="3167"/>
      <c r="Q133" s="3168">
        <v>55</v>
      </c>
      <c r="R133" s="3168"/>
      <c r="S133" s="3168"/>
      <c r="T133" s="3169">
        <v>44539</v>
      </c>
      <c r="U133" s="3169"/>
      <c r="V133" s="3169"/>
      <c r="W133" s="3169"/>
      <c r="X133" s="3169"/>
      <c r="Y133" s="3169"/>
      <c r="Z133" s="3169"/>
      <c r="AA133" s="3169"/>
      <c r="AB133" s="1872"/>
      <c r="AC133" s="1872"/>
      <c r="AD133" s="1872"/>
      <c r="AE133" s="1872"/>
      <c r="AF133" s="1872"/>
      <c r="AG133" s="1873"/>
      <c r="AH133" s="1854"/>
      <c r="AI133" s="1854"/>
      <c r="AJ133" s="1854"/>
      <c r="AK133" s="1854"/>
      <c r="AL133" s="1854"/>
      <c r="AM133" s="1854"/>
      <c r="AN133" s="1854"/>
      <c r="AO133" s="1854"/>
      <c r="AP133" s="1854" t="s">
        <v>251</v>
      </c>
      <c r="AQ133" s="1854"/>
      <c r="AR133" s="1854"/>
      <c r="AS133" s="1854"/>
      <c r="AT133" s="1854"/>
      <c r="AU133" s="1854"/>
      <c r="AV133" s="1854"/>
      <c r="AW133" s="1854"/>
      <c r="AX133" s="1854"/>
      <c r="AY133" s="1854"/>
      <c r="AZ133" s="1854"/>
      <c r="BA133" s="1854"/>
      <c r="BB133" s="1854"/>
      <c r="BC133" s="1854"/>
      <c r="BD133" s="1854"/>
      <c r="BE133" s="1860"/>
    </row>
    <row r="134" spans="1:57" ht="15.75" customHeight="1">
      <c r="A134" s="1854"/>
      <c r="B134" s="1854"/>
      <c r="C134" s="3166" t="s">
        <v>1907</v>
      </c>
      <c r="D134" s="3167"/>
      <c r="E134" s="3167"/>
      <c r="F134" s="3167"/>
      <c r="G134" s="3167"/>
      <c r="H134" s="3167"/>
      <c r="I134" s="3167"/>
      <c r="J134" s="3167"/>
      <c r="K134" s="3167"/>
      <c r="L134" s="3167"/>
      <c r="M134" s="3167"/>
      <c r="N134" s="3167"/>
      <c r="O134" s="3167"/>
      <c r="P134" s="3167"/>
      <c r="Q134" s="3168">
        <v>55</v>
      </c>
      <c r="R134" s="3168"/>
      <c r="S134" s="3168"/>
      <c r="T134" s="3170">
        <v>44263</v>
      </c>
      <c r="U134" s="3170"/>
      <c r="V134" s="3170"/>
      <c r="W134" s="3170"/>
      <c r="X134" s="3170"/>
      <c r="Y134" s="3170"/>
      <c r="Z134" s="3170"/>
      <c r="AA134" s="3170"/>
      <c r="AB134" s="1872"/>
      <c r="AC134" s="1872"/>
      <c r="AD134" s="1872"/>
      <c r="AE134" s="1872"/>
      <c r="AF134" s="1872"/>
      <c r="AG134" s="1873"/>
      <c r="AH134" s="1854"/>
      <c r="AI134" s="1854"/>
      <c r="AJ134" s="1854"/>
      <c r="AK134" s="1854"/>
      <c r="AL134" s="1854"/>
      <c r="AM134" s="1854"/>
      <c r="AN134" s="1854"/>
      <c r="AO134" s="1854"/>
      <c r="AP134" s="1854"/>
      <c r="AQ134" s="1854"/>
      <c r="AR134" s="1854"/>
      <c r="AS134" s="1854"/>
      <c r="AT134" s="1854"/>
      <c r="AU134" s="1854"/>
      <c r="AV134" s="1854"/>
      <c r="AW134" s="1854"/>
      <c r="AX134" s="1854"/>
      <c r="AY134" s="1854"/>
      <c r="AZ134" s="1854"/>
      <c r="BA134" s="1854"/>
      <c r="BB134" s="1854"/>
      <c r="BC134" s="1854"/>
      <c r="BD134" s="1854"/>
      <c r="BE134" s="1860"/>
    </row>
    <row r="135" spans="1:57" ht="15.75" customHeight="1">
      <c r="A135" s="1854"/>
      <c r="B135" s="1854"/>
      <c r="C135" s="3166" t="s">
        <v>1908</v>
      </c>
      <c r="D135" s="3167"/>
      <c r="E135" s="3167"/>
      <c r="F135" s="3167"/>
      <c r="G135" s="3167"/>
      <c r="H135" s="3167"/>
      <c r="I135" s="3167"/>
      <c r="J135" s="3167"/>
      <c r="K135" s="3167"/>
      <c r="L135" s="3167"/>
      <c r="M135" s="3167"/>
      <c r="N135" s="3167"/>
      <c r="O135" s="3167"/>
      <c r="P135" s="3167"/>
      <c r="Q135" s="3168">
        <v>55</v>
      </c>
      <c r="R135" s="3168"/>
      <c r="S135" s="3168"/>
      <c r="T135" s="3169">
        <v>44263</v>
      </c>
      <c r="U135" s="3169"/>
      <c r="V135" s="3169"/>
      <c r="W135" s="3169"/>
      <c r="X135" s="3169"/>
      <c r="Y135" s="3169"/>
      <c r="Z135" s="3169"/>
      <c r="AA135" s="3169"/>
      <c r="AB135" s="1872"/>
      <c r="AC135" s="1872"/>
      <c r="AD135" s="1872"/>
      <c r="AE135" s="1872"/>
      <c r="AF135" s="1872"/>
      <c r="AG135" s="1873"/>
      <c r="AH135" s="1854"/>
      <c r="AI135" s="1854"/>
      <c r="AJ135" s="1854"/>
      <c r="AK135" s="1854"/>
      <c r="AL135" s="1854"/>
      <c r="AM135" s="1854"/>
      <c r="AN135" s="1854"/>
      <c r="AO135" s="1854"/>
      <c r="AP135" s="1854"/>
      <c r="AQ135" s="1854"/>
      <c r="AR135" s="1854"/>
      <c r="AS135" s="1854"/>
      <c r="AT135" s="1854"/>
      <c r="AU135" s="1854"/>
      <c r="AV135" s="1854"/>
      <c r="AW135" s="1854"/>
      <c r="AX135" s="1854"/>
      <c r="AY135" s="1854"/>
      <c r="AZ135" s="1854"/>
      <c r="BA135" s="1854"/>
      <c r="BB135" s="1854"/>
      <c r="BC135" s="1854"/>
      <c r="BD135" s="1854"/>
      <c r="BE135" s="1860"/>
    </row>
    <row r="136" spans="1:57" ht="15.75" customHeight="1">
      <c r="A136" s="1854"/>
      <c r="B136" s="1854"/>
      <c r="C136" s="3166" t="s">
        <v>1876</v>
      </c>
      <c r="D136" s="3167"/>
      <c r="E136" s="3167"/>
      <c r="F136" s="3167"/>
      <c r="G136" s="3167"/>
      <c r="H136" s="3167"/>
      <c r="I136" s="3167"/>
      <c r="J136" s="3167"/>
      <c r="K136" s="3167"/>
      <c r="L136" s="3167"/>
      <c r="M136" s="3167"/>
      <c r="N136" s="3167"/>
      <c r="O136" s="3167"/>
      <c r="P136" s="3167"/>
      <c r="Q136" s="3168">
        <v>55</v>
      </c>
      <c r="R136" s="3168"/>
      <c r="S136" s="3168"/>
      <c r="T136" s="3169" t="s">
        <v>2783</v>
      </c>
      <c r="U136" s="3169"/>
      <c r="V136" s="3169"/>
      <c r="W136" s="3169"/>
      <c r="X136" s="3169"/>
      <c r="Y136" s="3169"/>
      <c r="Z136" s="3169"/>
      <c r="AA136" s="3169"/>
      <c r="AB136" s="3172">
        <v>0</v>
      </c>
      <c r="AC136" s="3172"/>
      <c r="AD136" s="3172"/>
      <c r="AE136" s="3172"/>
      <c r="AF136" s="3172"/>
      <c r="AG136" s="3173"/>
      <c r="AH136" s="1854"/>
      <c r="AI136" s="1854"/>
      <c r="AJ136" s="1854"/>
      <c r="AK136" s="1854"/>
      <c r="AL136" s="1854"/>
      <c r="AM136" s="1854"/>
      <c r="AN136" s="1854"/>
      <c r="AO136" s="1854"/>
      <c r="AP136" s="1854"/>
      <c r="AQ136" s="1854"/>
      <c r="AR136" s="1854"/>
      <c r="AS136" s="1854"/>
      <c r="AT136" s="1854"/>
      <c r="AU136" s="1854"/>
      <c r="AV136" s="1854"/>
      <c r="AW136" s="1854"/>
      <c r="AX136" s="1854"/>
      <c r="AY136" s="1854"/>
      <c r="AZ136" s="1854"/>
      <c r="BA136" s="1854"/>
      <c r="BB136" s="1854"/>
      <c r="BC136" s="1854"/>
      <c r="BD136" s="1854"/>
      <c r="BE136" s="1860"/>
    </row>
    <row r="137" spans="1:57" ht="15.75" customHeight="1">
      <c r="A137" s="1854"/>
      <c r="B137" s="1854"/>
      <c r="C137" s="3166" t="s">
        <v>170</v>
      </c>
      <c r="D137" s="3167"/>
      <c r="E137" s="3167"/>
      <c r="F137" s="3174"/>
      <c r="G137" s="3174"/>
      <c r="H137" s="3174"/>
      <c r="I137" s="3174"/>
      <c r="J137" s="3174"/>
      <c r="K137" s="3174"/>
      <c r="L137" s="3174"/>
      <c r="M137" s="3174"/>
      <c r="N137" s="3174"/>
      <c r="O137" s="3174"/>
      <c r="P137" s="3174"/>
      <c r="Q137" s="3168"/>
      <c r="R137" s="3168"/>
      <c r="S137" s="3168"/>
      <c r="T137" s="3170"/>
      <c r="U137" s="3170"/>
      <c r="V137" s="3170"/>
      <c r="W137" s="3170"/>
      <c r="X137" s="3170"/>
      <c r="Y137" s="3170"/>
      <c r="Z137" s="3170"/>
      <c r="AA137" s="3170"/>
      <c r="AB137" s="3172">
        <v>0</v>
      </c>
      <c r="AC137" s="3172"/>
      <c r="AD137" s="3172"/>
      <c r="AE137" s="3172"/>
      <c r="AF137" s="3172"/>
      <c r="AG137" s="3173"/>
      <c r="AH137" s="1854"/>
      <c r="AI137" s="1854"/>
      <c r="AJ137" s="1854"/>
      <c r="AK137" s="1854"/>
      <c r="AL137" s="1854"/>
      <c r="AM137" s="1854"/>
      <c r="AN137" s="1854"/>
      <c r="AO137" s="1854"/>
      <c r="AP137" s="1854"/>
      <c r="AQ137" s="1854"/>
      <c r="AR137" s="1854"/>
      <c r="AS137" s="1854"/>
      <c r="AT137" s="1854"/>
      <c r="AU137" s="1854"/>
      <c r="AV137" s="1854"/>
      <c r="AW137" s="1854"/>
      <c r="AX137" s="1854"/>
      <c r="AY137" s="1854"/>
      <c r="AZ137" s="1854"/>
      <c r="BA137" s="1854"/>
      <c r="BB137" s="1854"/>
      <c r="BC137" s="1854"/>
      <c r="BD137" s="1854"/>
      <c r="BE137" s="1860"/>
    </row>
    <row r="138" spans="1:57" ht="15.75" customHeight="1">
      <c r="A138" s="1854"/>
      <c r="B138" s="1854"/>
      <c r="C138" s="3166" t="s">
        <v>170</v>
      </c>
      <c r="D138" s="3167"/>
      <c r="E138" s="3167"/>
      <c r="F138" s="3174"/>
      <c r="G138" s="3174"/>
      <c r="H138" s="3174"/>
      <c r="I138" s="3174"/>
      <c r="J138" s="3174"/>
      <c r="K138" s="3174"/>
      <c r="L138" s="3174"/>
      <c r="M138" s="3174"/>
      <c r="N138" s="3174"/>
      <c r="O138" s="3174"/>
      <c r="P138" s="3174"/>
      <c r="Q138" s="3168"/>
      <c r="R138" s="3168"/>
      <c r="S138" s="3168"/>
      <c r="T138" s="3170"/>
      <c r="U138" s="3170"/>
      <c r="V138" s="3170"/>
      <c r="W138" s="3170"/>
      <c r="X138" s="3170"/>
      <c r="Y138" s="3170"/>
      <c r="Z138" s="3170"/>
      <c r="AA138" s="3170"/>
      <c r="AB138" s="3172">
        <v>0</v>
      </c>
      <c r="AC138" s="3172"/>
      <c r="AD138" s="3172"/>
      <c r="AE138" s="3172"/>
      <c r="AF138" s="3172"/>
      <c r="AG138" s="3173"/>
      <c r="AH138" s="1854"/>
      <c r="AI138" s="1854"/>
      <c r="AJ138" s="1854"/>
      <c r="AK138" s="1854" t="s">
        <v>251</v>
      </c>
      <c r="AL138" s="1854"/>
      <c r="AM138" s="1854"/>
      <c r="AN138" s="1854"/>
      <c r="AO138" s="1854"/>
      <c r="AP138" s="1854"/>
      <c r="AQ138" s="1854"/>
      <c r="AR138" s="1854"/>
      <c r="AS138" s="1854"/>
      <c r="AT138" s="1854"/>
      <c r="AU138" s="1854"/>
      <c r="AV138" s="1854"/>
      <c r="AW138" s="1854"/>
      <c r="AX138" s="1854"/>
      <c r="AY138" s="1854"/>
      <c r="AZ138" s="1854"/>
      <c r="BA138" s="1854"/>
      <c r="BB138" s="1854"/>
      <c r="BC138" s="1854"/>
      <c r="BD138" s="1854"/>
      <c r="BE138" s="1860"/>
    </row>
    <row r="139" spans="1:57" ht="15.75" customHeight="1" thickBot="1">
      <c r="A139" s="1854"/>
      <c r="B139" s="1854"/>
      <c r="C139" s="3175" t="s">
        <v>170</v>
      </c>
      <c r="D139" s="3176"/>
      <c r="E139" s="3176"/>
      <c r="F139" s="3177"/>
      <c r="G139" s="3177"/>
      <c r="H139" s="3177"/>
      <c r="I139" s="3177"/>
      <c r="J139" s="3177"/>
      <c r="K139" s="3177"/>
      <c r="L139" s="3177"/>
      <c r="M139" s="3177"/>
      <c r="N139" s="3177"/>
      <c r="O139" s="3177"/>
      <c r="P139" s="3177"/>
      <c r="Q139" s="3178"/>
      <c r="R139" s="3178"/>
      <c r="S139" s="3178"/>
      <c r="T139" s="3179"/>
      <c r="U139" s="3179"/>
      <c r="V139" s="3179"/>
      <c r="W139" s="3179"/>
      <c r="X139" s="3179"/>
      <c r="Y139" s="3179"/>
      <c r="Z139" s="3179"/>
      <c r="AA139" s="3179"/>
      <c r="AB139" s="3180">
        <v>0</v>
      </c>
      <c r="AC139" s="3180"/>
      <c r="AD139" s="3180"/>
      <c r="AE139" s="3180"/>
      <c r="AF139" s="3180"/>
      <c r="AG139" s="3181"/>
      <c r="AH139" s="1854"/>
      <c r="AI139" s="1854"/>
      <c r="AJ139" s="1854"/>
      <c r="AK139" s="1854"/>
      <c r="AL139" s="1854"/>
      <c r="AM139" s="1854"/>
      <c r="AN139" s="1854"/>
      <c r="AO139" s="1854"/>
      <c r="AP139" s="1854"/>
      <c r="AQ139" s="1854"/>
      <c r="AR139" s="1854"/>
      <c r="AS139" s="1854"/>
      <c r="AT139" s="1854"/>
      <c r="AU139" s="1854"/>
      <c r="AV139" s="1854"/>
      <c r="AW139" s="1854"/>
      <c r="AX139" s="1854"/>
      <c r="AY139" s="1854"/>
      <c r="AZ139" s="1854"/>
      <c r="BA139" s="1854"/>
      <c r="BB139" s="1854"/>
      <c r="BC139" s="1854"/>
      <c r="BD139" s="1854"/>
      <c r="BE139" s="1860"/>
    </row>
    <row r="140" spans="1:57" ht="15.75" customHeight="1" thickBot="1">
      <c r="A140" s="1854"/>
      <c r="B140" s="1854"/>
      <c r="C140" s="1854"/>
      <c r="D140" s="1854"/>
      <c r="E140" s="1854"/>
      <c r="F140" s="1854"/>
      <c r="G140" s="1854"/>
      <c r="H140" s="1854"/>
      <c r="I140" s="1854"/>
      <c r="J140" s="1854"/>
      <c r="K140" s="1854"/>
      <c r="L140" s="1854"/>
      <c r="M140" s="1854"/>
      <c r="N140" s="1854"/>
      <c r="O140" s="1854"/>
      <c r="P140" s="1854"/>
      <c r="Q140" s="1854"/>
      <c r="R140" s="1854"/>
      <c r="S140" s="1854"/>
      <c r="T140" s="1854"/>
      <c r="U140" s="1854"/>
      <c r="V140" s="1854"/>
      <c r="W140" s="1854"/>
      <c r="X140" s="1854"/>
      <c r="Y140" s="1854"/>
      <c r="Z140" s="1854"/>
      <c r="AA140" s="1854"/>
      <c r="AB140" s="1854"/>
      <c r="AC140" s="1854"/>
      <c r="AD140" s="1854"/>
      <c r="AE140" s="1854"/>
      <c r="AF140" s="1854"/>
      <c r="AG140" s="1854"/>
      <c r="AH140" s="1854"/>
      <c r="AI140" s="1854"/>
      <c r="AJ140" s="1854"/>
      <c r="AK140" s="1854"/>
      <c r="AL140" s="1854"/>
      <c r="AM140" s="1854"/>
      <c r="AN140" s="1854"/>
      <c r="AO140" s="1854"/>
      <c r="AP140" s="1854"/>
      <c r="AQ140" s="1854"/>
      <c r="AR140" s="1854"/>
      <c r="AS140" s="1854"/>
      <c r="AT140" s="1854"/>
      <c r="AU140" s="1854"/>
      <c r="AV140" s="1854"/>
      <c r="AW140" s="1854"/>
      <c r="AX140" s="1854"/>
      <c r="AY140" s="1854"/>
      <c r="AZ140" s="1854"/>
      <c r="BA140" s="1854"/>
      <c r="BB140" s="1854"/>
      <c r="BC140" s="1854"/>
      <c r="BD140" s="1854"/>
      <c r="BE140" s="1860"/>
    </row>
    <row r="141" spans="1:57" ht="15.75" customHeight="1">
      <c r="A141" s="1854"/>
      <c r="B141" s="1854"/>
      <c r="C141" s="3098" t="s">
        <v>1910</v>
      </c>
      <c r="D141" s="3099"/>
      <c r="E141" s="3099"/>
      <c r="F141" s="3099"/>
      <c r="G141" s="3099"/>
      <c r="H141" s="3099"/>
      <c r="I141" s="3099"/>
      <c r="J141" s="3099"/>
      <c r="K141" s="3099"/>
      <c r="L141" s="3099"/>
      <c r="M141" s="3099"/>
      <c r="N141" s="3135"/>
      <c r="O141" s="1854"/>
      <c r="P141" s="3154" t="s">
        <v>1911</v>
      </c>
      <c r="Q141" s="3155"/>
      <c r="R141" s="3155"/>
      <c r="S141" s="3155"/>
      <c r="T141" s="3155"/>
      <c r="U141" s="3155"/>
      <c r="V141" s="3155"/>
      <c r="W141" s="3155"/>
      <c r="X141" s="3155"/>
      <c r="Y141" s="3155"/>
      <c r="Z141" s="3155"/>
      <c r="AA141" s="3155"/>
      <c r="AB141" s="3155"/>
      <c r="AC141" s="3155"/>
      <c r="AD141" s="3155"/>
      <c r="AE141" s="3155"/>
      <c r="AF141" s="3155"/>
      <c r="AG141" s="3155"/>
      <c r="AH141" s="3155"/>
      <c r="AI141" s="3155"/>
      <c r="AJ141" s="3155"/>
      <c r="AK141" s="3155"/>
      <c r="AL141" s="3155"/>
      <c r="AM141" s="3155"/>
      <c r="AN141" s="3155"/>
      <c r="AO141" s="3183"/>
      <c r="AP141" s="1854"/>
      <c r="AQ141" s="1854"/>
      <c r="AR141" s="1854"/>
      <c r="AS141" s="1854"/>
      <c r="AT141" s="1854"/>
      <c r="AU141" s="1854"/>
      <c r="AV141" s="1854"/>
      <c r="AW141" s="1854"/>
      <c r="AX141" s="1854"/>
      <c r="AY141" s="1854"/>
      <c r="AZ141" s="1854"/>
      <c r="BA141" s="1854"/>
      <c r="BB141" s="1854"/>
      <c r="BC141" s="1854"/>
      <c r="BD141" s="1854"/>
      <c r="BE141" s="1860"/>
    </row>
    <row r="142" spans="1:57" ht="15.75" customHeight="1">
      <c r="A142" s="1854"/>
      <c r="B142" s="1854"/>
      <c r="C142" s="3138" t="s">
        <v>1912</v>
      </c>
      <c r="D142" s="3139"/>
      <c r="E142" s="3139"/>
      <c r="F142" s="3139"/>
      <c r="G142" s="3139"/>
      <c r="H142" s="3139"/>
      <c r="I142" s="3139" t="s">
        <v>1913</v>
      </c>
      <c r="J142" s="3139"/>
      <c r="K142" s="3139"/>
      <c r="L142" s="3139"/>
      <c r="M142" s="3139"/>
      <c r="N142" s="3171"/>
      <c r="O142" s="1854"/>
      <c r="P142" s="3102" t="s">
        <v>2787</v>
      </c>
      <c r="Q142" s="3103"/>
      <c r="R142" s="3103"/>
      <c r="S142" s="3103"/>
      <c r="T142" s="3103"/>
      <c r="U142" s="3103"/>
      <c r="V142" s="3103"/>
      <c r="W142" s="3103"/>
      <c r="X142" s="3103"/>
      <c r="Y142" s="3103"/>
      <c r="Z142" s="3103"/>
      <c r="AA142" s="3103"/>
      <c r="AB142" s="3103"/>
      <c r="AC142" s="3103"/>
      <c r="AD142" s="3103"/>
      <c r="AE142" s="3103"/>
      <c r="AF142" s="3103"/>
      <c r="AG142" s="3103"/>
      <c r="AH142" s="3103"/>
      <c r="AI142" s="3103"/>
      <c r="AJ142" s="3103"/>
      <c r="AK142" s="3103"/>
      <c r="AL142" s="3103"/>
      <c r="AM142" s="3103"/>
      <c r="AN142" s="3103"/>
      <c r="AO142" s="3104"/>
      <c r="AP142" s="1854"/>
      <c r="AQ142" s="1854"/>
      <c r="AR142" s="1854"/>
      <c r="AS142" s="1854"/>
      <c r="AT142" s="1854"/>
      <c r="AU142" s="1854"/>
      <c r="AV142" s="1854"/>
      <c r="AW142" s="1854"/>
      <c r="AX142" s="1854"/>
      <c r="AY142" s="1854"/>
      <c r="AZ142" s="1854"/>
      <c r="BA142" s="1854"/>
      <c r="BB142" s="1854"/>
      <c r="BC142" s="1854"/>
      <c r="BD142" s="1854"/>
      <c r="BE142" s="1860"/>
    </row>
    <row r="143" spans="1:57" ht="15.75" customHeight="1">
      <c r="A143" s="1854"/>
      <c r="B143" s="1854"/>
      <c r="C143" s="3108" t="s">
        <v>2784</v>
      </c>
      <c r="D143" s="3053"/>
      <c r="E143" s="3053"/>
      <c r="F143" s="3053"/>
      <c r="G143" s="3053"/>
      <c r="H143" s="3053"/>
      <c r="I143" s="3169">
        <v>44168</v>
      </c>
      <c r="J143" s="3169"/>
      <c r="K143" s="3169"/>
      <c r="L143" s="3169"/>
      <c r="M143" s="3169"/>
      <c r="N143" s="3182"/>
      <c r="O143" s="1854"/>
      <c r="P143" s="3102"/>
      <c r="Q143" s="3103"/>
      <c r="R143" s="3103"/>
      <c r="S143" s="3103"/>
      <c r="T143" s="3103"/>
      <c r="U143" s="3103"/>
      <c r="V143" s="3103"/>
      <c r="W143" s="3103"/>
      <c r="X143" s="3103"/>
      <c r="Y143" s="3103"/>
      <c r="Z143" s="3103"/>
      <c r="AA143" s="3103"/>
      <c r="AB143" s="3103"/>
      <c r="AC143" s="3103"/>
      <c r="AD143" s="3103"/>
      <c r="AE143" s="3103"/>
      <c r="AF143" s="3103"/>
      <c r="AG143" s="3103"/>
      <c r="AH143" s="3103"/>
      <c r="AI143" s="3103"/>
      <c r="AJ143" s="3103"/>
      <c r="AK143" s="3103"/>
      <c r="AL143" s="3103"/>
      <c r="AM143" s="3103"/>
      <c r="AN143" s="3103"/>
      <c r="AO143" s="3104"/>
      <c r="AP143" s="1854"/>
      <c r="AQ143" s="1854"/>
      <c r="AR143" s="1854"/>
      <c r="AS143" s="1854"/>
      <c r="AT143" s="1854"/>
      <c r="AU143" s="1854"/>
      <c r="AV143" s="1854"/>
      <c r="AW143" s="1854"/>
      <c r="AX143" s="1854"/>
      <c r="AY143" s="1854"/>
      <c r="AZ143" s="1854"/>
      <c r="BA143" s="1854"/>
      <c r="BB143" s="1854"/>
      <c r="BC143" s="1854"/>
      <c r="BD143" s="1854"/>
      <c r="BE143" s="1860"/>
    </row>
    <row r="144" spans="1:57" ht="15.75" customHeight="1">
      <c r="A144" s="1854"/>
      <c r="B144" s="1854"/>
      <c r="C144" s="3108" t="s">
        <v>2785</v>
      </c>
      <c r="D144" s="3053"/>
      <c r="E144" s="3053"/>
      <c r="F144" s="3053"/>
      <c r="G144" s="3053"/>
      <c r="H144" s="3053"/>
      <c r="I144" s="3169">
        <v>44153</v>
      </c>
      <c r="J144" s="3169"/>
      <c r="K144" s="3169"/>
      <c r="L144" s="3169"/>
      <c r="M144" s="3169"/>
      <c r="N144" s="3182"/>
      <c r="O144" s="1854"/>
      <c r="P144" s="3102"/>
      <c r="Q144" s="3103"/>
      <c r="R144" s="3103"/>
      <c r="S144" s="3103"/>
      <c r="T144" s="3103"/>
      <c r="U144" s="3103"/>
      <c r="V144" s="3103"/>
      <c r="W144" s="3103"/>
      <c r="X144" s="3103"/>
      <c r="Y144" s="3103"/>
      <c r="Z144" s="3103"/>
      <c r="AA144" s="3103"/>
      <c r="AB144" s="3103"/>
      <c r="AC144" s="3103"/>
      <c r="AD144" s="3103"/>
      <c r="AE144" s="3103"/>
      <c r="AF144" s="3103"/>
      <c r="AG144" s="3103"/>
      <c r="AH144" s="3103"/>
      <c r="AI144" s="3103"/>
      <c r="AJ144" s="3103"/>
      <c r="AK144" s="3103"/>
      <c r="AL144" s="3103"/>
      <c r="AM144" s="3103"/>
      <c r="AN144" s="3103"/>
      <c r="AO144" s="3104"/>
      <c r="AP144" s="1854"/>
      <c r="AQ144" s="1854"/>
      <c r="AR144" s="1854"/>
      <c r="AS144" s="1854"/>
      <c r="AT144" s="1854"/>
      <c r="AU144" s="1854"/>
      <c r="AV144" s="1854"/>
      <c r="AW144" s="1854"/>
      <c r="AX144" s="1854"/>
      <c r="AY144" s="1854"/>
      <c r="AZ144" s="1854"/>
      <c r="BA144" s="1854"/>
      <c r="BB144" s="1854"/>
      <c r="BC144" s="1854"/>
      <c r="BD144" s="1854"/>
      <c r="BE144" s="1860"/>
    </row>
    <row r="145" spans="1:57" ht="15.75" customHeight="1">
      <c r="A145" s="1854"/>
      <c r="B145" s="1854"/>
      <c r="C145" s="3108" t="s">
        <v>2786</v>
      </c>
      <c r="D145" s="3053"/>
      <c r="E145" s="3053"/>
      <c r="F145" s="3053"/>
      <c r="G145" s="3053"/>
      <c r="H145" s="3053"/>
      <c r="I145" s="3169">
        <v>44148</v>
      </c>
      <c r="J145" s="3169"/>
      <c r="K145" s="3169"/>
      <c r="L145" s="3169"/>
      <c r="M145" s="3169"/>
      <c r="N145" s="3182"/>
      <c r="O145" s="1854"/>
      <c r="P145" s="3102"/>
      <c r="Q145" s="3103"/>
      <c r="R145" s="3103"/>
      <c r="S145" s="3103"/>
      <c r="T145" s="3103"/>
      <c r="U145" s="3103"/>
      <c r="V145" s="3103"/>
      <c r="W145" s="3103"/>
      <c r="X145" s="3103"/>
      <c r="Y145" s="3103"/>
      <c r="Z145" s="3103"/>
      <c r="AA145" s="3103"/>
      <c r="AB145" s="3103"/>
      <c r="AC145" s="3103"/>
      <c r="AD145" s="3103"/>
      <c r="AE145" s="3103"/>
      <c r="AF145" s="3103"/>
      <c r="AG145" s="3103"/>
      <c r="AH145" s="3103"/>
      <c r="AI145" s="3103"/>
      <c r="AJ145" s="3103"/>
      <c r="AK145" s="3103"/>
      <c r="AL145" s="3103"/>
      <c r="AM145" s="3103"/>
      <c r="AN145" s="3103"/>
      <c r="AO145" s="3104"/>
      <c r="AP145" s="1854"/>
      <c r="AQ145" s="1854"/>
      <c r="AR145" s="1854"/>
      <c r="AS145" s="1854"/>
      <c r="AT145" s="1854"/>
      <c r="AU145" s="1854"/>
      <c r="AV145" s="1854"/>
      <c r="AW145" s="1854"/>
      <c r="AX145" s="1854"/>
      <c r="AY145" s="1854"/>
      <c r="AZ145" s="1854"/>
      <c r="BA145" s="1854"/>
      <c r="BB145" s="1854"/>
      <c r="BC145" s="1854"/>
      <c r="BD145" s="1854"/>
      <c r="BE145" s="1860"/>
    </row>
    <row r="146" spans="1:57" ht="15.75" customHeight="1">
      <c r="A146" s="1854"/>
      <c r="B146" s="1854"/>
      <c r="C146" s="3108"/>
      <c r="D146" s="3053"/>
      <c r="E146" s="3053"/>
      <c r="F146" s="3053"/>
      <c r="G146" s="3053"/>
      <c r="H146" s="3053"/>
      <c r="I146" s="3169"/>
      <c r="J146" s="3169"/>
      <c r="K146" s="3169"/>
      <c r="L146" s="3169"/>
      <c r="M146" s="3169"/>
      <c r="N146" s="3182"/>
      <c r="O146" s="1854"/>
      <c r="P146" s="3102"/>
      <c r="Q146" s="3103"/>
      <c r="R146" s="3103"/>
      <c r="S146" s="3103"/>
      <c r="T146" s="3103"/>
      <c r="U146" s="3103"/>
      <c r="V146" s="3103"/>
      <c r="W146" s="3103"/>
      <c r="X146" s="3103"/>
      <c r="Y146" s="3103"/>
      <c r="Z146" s="3103"/>
      <c r="AA146" s="3103"/>
      <c r="AB146" s="3103"/>
      <c r="AC146" s="3103"/>
      <c r="AD146" s="3103"/>
      <c r="AE146" s="3103"/>
      <c r="AF146" s="3103"/>
      <c r="AG146" s="3103"/>
      <c r="AH146" s="3103"/>
      <c r="AI146" s="3103"/>
      <c r="AJ146" s="3103"/>
      <c r="AK146" s="3103"/>
      <c r="AL146" s="3103"/>
      <c r="AM146" s="3103"/>
      <c r="AN146" s="3103"/>
      <c r="AO146" s="3104"/>
      <c r="AP146" s="1854"/>
      <c r="AQ146" s="1854"/>
      <c r="AR146" s="1854"/>
      <c r="AS146" s="1854"/>
      <c r="AT146" s="1854"/>
      <c r="AU146" s="1854"/>
      <c r="AV146" s="1854"/>
      <c r="AW146" s="1854"/>
      <c r="AX146" s="1854"/>
      <c r="AY146" s="1854"/>
      <c r="AZ146" s="1854"/>
      <c r="BA146" s="1854"/>
      <c r="BB146" s="1854"/>
      <c r="BC146" s="1854"/>
      <c r="BD146" s="1854"/>
      <c r="BE146" s="1860"/>
    </row>
    <row r="147" spans="1:57" ht="15.75" customHeight="1">
      <c r="A147" s="1854"/>
      <c r="B147" s="1854"/>
      <c r="C147" s="3108"/>
      <c r="D147" s="3053"/>
      <c r="E147" s="3053"/>
      <c r="F147" s="3053"/>
      <c r="G147" s="3053"/>
      <c r="H147" s="3053"/>
      <c r="I147" s="3169"/>
      <c r="J147" s="3169"/>
      <c r="K147" s="3169"/>
      <c r="L147" s="3169"/>
      <c r="M147" s="3169"/>
      <c r="N147" s="3182"/>
      <c r="O147" s="1854"/>
      <c r="P147" s="3102"/>
      <c r="Q147" s="3103"/>
      <c r="R147" s="3103"/>
      <c r="S147" s="3103"/>
      <c r="T147" s="3103"/>
      <c r="U147" s="3103"/>
      <c r="V147" s="3103"/>
      <c r="W147" s="3103"/>
      <c r="X147" s="3103"/>
      <c r="Y147" s="3103"/>
      <c r="Z147" s="3103"/>
      <c r="AA147" s="3103"/>
      <c r="AB147" s="3103"/>
      <c r="AC147" s="3103"/>
      <c r="AD147" s="3103"/>
      <c r="AE147" s="3103"/>
      <c r="AF147" s="3103"/>
      <c r="AG147" s="3103"/>
      <c r="AH147" s="3103"/>
      <c r="AI147" s="3103"/>
      <c r="AJ147" s="3103"/>
      <c r="AK147" s="3103"/>
      <c r="AL147" s="3103"/>
      <c r="AM147" s="3103"/>
      <c r="AN147" s="3103"/>
      <c r="AO147" s="3104"/>
      <c r="AP147" s="1854"/>
      <c r="AQ147" s="1854"/>
      <c r="AR147" s="1854"/>
      <c r="AS147" s="1854"/>
      <c r="AT147" s="1854"/>
      <c r="AU147" s="1854"/>
      <c r="AV147" s="1854"/>
      <c r="AW147" s="1854"/>
      <c r="AX147" s="1854"/>
      <c r="AY147" s="1854"/>
      <c r="AZ147" s="1854"/>
      <c r="BA147" s="1854"/>
      <c r="BB147" s="1854"/>
      <c r="BC147" s="1854"/>
      <c r="BD147" s="1854"/>
      <c r="BE147" s="1860"/>
    </row>
    <row r="148" spans="1:57" ht="15.75" customHeight="1">
      <c r="A148" s="1854"/>
      <c r="B148" s="1854"/>
      <c r="C148" s="3108"/>
      <c r="D148" s="3053"/>
      <c r="E148" s="3053"/>
      <c r="F148" s="3053"/>
      <c r="G148" s="3053"/>
      <c r="H148" s="3053"/>
      <c r="I148" s="3169"/>
      <c r="J148" s="3169"/>
      <c r="K148" s="3169"/>
      <c r="L148" s="3169"/>
      <c r="M148" s="3169"/>
      <c r="N148" s="3182"/>
      <c r="O148" s="1854"/>
      <c r="P148" s="3102"/>
      <c r="Q148" s="3103"/>
      <c r="R148" s="3103"/>
      <c r="S148" s="3103"/>
      <c r="T148" s="3103"/>
      <c r="U148" s="3103"/>
      <c r="V148" s="3103"/>
      <c r="W148" s="3103"/>
      <c r="X148" s="3103"/>
      <c r="Y148" s="3103"/>
      <c r="Z148" s="3103"/>
      <c r="AA148" s="3103"/>
      <c r="AB148" s="3103"/>
      <c r="AC148" s="3103"/>
      <c r="AD148" s="3103"/>
      <c r="AE148" s="3103"/>
      <c r="AF148" s="3103"/>
      <c r="AG148" s="3103"/>
      <c r="AH148" s="3103"/>
      <c r="AI148" s="3103"/>
      <c r="AJ148" s="3103"/>
      <c r="AK148" s="3103"/>
      <c r="AL148" s="3103"/>
      <c r="AM148" s="3103"/>
      <c r="AN148" s="3103"/>
      <c r="AO148" s="3104"/>
      <c r="AP148" s="1854"/>
      <c r="AQ148" s="1854"/>
      <c r="AR148" s="1854"/>
      <c r="AS148" s="1854"/>
      <c r="AT148" s="1854"/>
      <c r="AU148" s="1854"/>
      <c r="AV148" s="1854"/>
      <c r="AW148" s="1854"/>
      <c r="AX148" s="1854"/>
      <c r="AY148" s="1854"/>
      <c r="AZ148" s="1854"/>
      <c r="BA148" s="1854"/>
      <c r="BB148" s="1854"/>
      <c r="BC148" s="1854"/>
      <c r="BD148" s="1854"/>
      <c r="BE148" s="1860"/>
    </row>
    <row r="149" spans="1:57" ht="15.75" customHeight="1" thickBot="1">
      <c r="A149" s="1854"/>
      <c r="B149" s="1854"/>
      <c r="C149" s="3191"/>
      <c r="D149" s="3192"/>
      <c r="E149" s="3192"/>
      <c r="F149" s="3192"/>
      <c r="G149" s="3192"/>
      <c r="H149" s="3192"/>
      <c r="I149" s="3193"/>
      <c r="J149" s="3193"/>
      <c r="K149" s="3193"/>
      <c r="L149" s="3193"/>
      <c r="M149" s="3193"/>
      <c r="N149" s="3194"/>
      <c r="O149" s="1854"/>
      <c r="P149" s="3105"/>
      <c r="Q149" s="3106"/>
      <c r="R149" s="3106"/>
      <c r="S149" s="3106"/>
      <c r="T149" s="3106"/>
      <c r="U149" s="3106"/>
      <c r="V149" s="3106"/>
      <c r="W149" s="3106"/>
      <c r="X149" s="3106"/>
      <c r="Y149" s="3106"/>
      <c r="Z149" s="3106"/>
      <c r="AA149" s="3106"/>
      <c r="AB149" s="3106"/>
      <c r="AC149" s="3106"/>
      <c r="AD149" s="3106"/>
      <c r="AE149" s="3106"/>
      <c r="AF149" s="3106"/>
      <c r="AG149" s="3106"/>
      <c r="AH149" s="3106"/>
      <c r="AI149" s="3106"/>
      <c r="AJ149" s="3106"/>
      <c r="AK149" s="3106"/>
      <c r="AL149" s="3106"/>
      <c r="AM149" s="3106"/>
      <c r="AN149" s="3106"/>
      <c r="AO149" s="3107"/>
      <c r="AP149" s="1854"/>
      <c r="AQ149" s="1854"/>
      <c r="AR149" s="1854"/>
      <c r="AS149" s="1854"/>
      <c r="AT149" s="1854"/>
      <c r="AU149" s="1854"/>
      <c r="AV149" s="1854"/>
      <c r="AW149" s="1854"/>
      <c r="AX149" s="1854"/>
      <c r="AY149" s="1854"/>
      <c r="AZ149" s="1854"/>
      <c r="BA149" s="1854"/>
      <c r="BB149" s="1854"/>
      <c r="BC149" s="1854"/>
      <c r="BD149" s="1854"/>
      <c r="BE149" s="1860"/>
    </row>
    <row r="150" spans="1:57" ht="15.75" customHeight="1">
      <c r="A150" s="1854"/>
      <c r="B150" s="1854"/>
      <c r="C150" s="1854"/>
      <c r="D150" s="1854"/>
      <c r="E150" s="1854"/>
      <c r="F150" s="1854"/>
      <c r="G150" s="1854"/>
      <c r="H150" s="1854"/>
      <c r="I150" s="1854"/>
      <c r="J150" s="1854"/>
      <c r="K150" s="1854"/>
      <c r="L150" s="1854"/>
      <c r="M150" s="1854"/>
      <c r="N150" s="1854"/>
      <c r="O150" s="1854"/>
      <c r="P150" s="1854"/>
      <c r="Q150" s="1854"/>
      <c r="R150" s="1854"/>
      <c r="S150" s="1854"/>
      <c r="T150" s="1854"/>
      <c r="U150" s="1854"/>
      <c r="V150" s="1854"/>
      <c r="W150" s="1854"/>
      <c r="X150" s="1854"/>
      <c r="Y150" s="1854"/>
      <c r="Z150" s="1854"/>
      <c r="AA150" s="1854"/>
      <c r="AB150" s="1854"/>
      <c r="AC150" s="1854"/>
      <c r="AD150" s="1854"/>
      <c r="AE150" s="1854"/>
      <c r="AF150" s="1854"/>
      <c r="AG150" s="1854"/>
      <c r="AH150" s="1854"/>
      <c r="AI150" s="1854"/>
      <c r="AJ150" s="1854"/>
      <c r="AK150" s="1854"/>
      <c r="AL150" s="1854"/>
      <c r="AM150" s="1854"/>
      <c r="AN150" s="1854"/>
      <c r="AO150" s="1854"/>
      <c r="AP150" s="1854"/>
      <c r="AQ150" s="1854"/>
      <c r="AR150" s="1854"/>
      <c r="AS150" s="1854"/>
      <c r="AT150" s="1854"/>
      <c r="AU150" s="1854"/>
      <c r="AV150" s="1854"/>
      <c r="AW150" s="1854"/>
      <c r="AX150" s="1854"/>
      <c r="AY150" s="1854"/>
      <c r="AZ150" s="1854"/>
      <c r="BA150" s="1854"/>
      <c r="BB150" s="1854"/>
      <c r="BC150" s="1854"/>
      <c r="BD150" s="1854"/>
      <c r="BE150" s="1860"/>
    </row>
    <row r="151" spans="1:57" ht="15.75" customHeight="1" thickBot="1">
      <c r="A151" s="1854"/>
      <c r="B151" s="1854"/>
      <c r="C151" s="3195" t="s">
        <v>2587</v>
      </c>
      <c r="D151" s="3195"/>
      <c r="E151" s="3195"/>
      <c r="F151" s="3195"/>
      <c r="G151" s="3195"/>
      <c r="H151" s="3195"/>
      <c r="I151" s="3195"/>
      <c r="J151" s="3195"/>
      <c r="K151" s="3195"/>
      <c r="L151" s="3195"/>
      <c r="M151" s="3195"/>
      <c r="N151" s="3195"/>
      <c r="O151" s="3195"/>
      <c r="P151" s="3195"/>
      <c r="Q151" s="3195"/>
      <c r="R151" s="3195"/>
      <c r="S151" s="3195"/>
      <c r="T151" s="3195"/>
      <c r="U151" s="3195"/>
      <c r="V151" s="3195"/>
      <c r="W151" s="3195"/>
      <c r="X151" s="3195"/>
      <c r="Y151" s="3195"/>
      <c r="Z151" s="3195"/>
      <c r="AA151" s="3195"/>
      <c r="AB151" s="3195"/>
      <c r="AC151" s="3195"/>
      <c r="AD151" s="3195"/>
      <c r="AE151" s="3195"/>
      <c r="AF151" s="1854"/>
      <c r="AG151" s="1854"/>
      <c r="AH151" s="1854"/>
      <c r="AI151" s="1854" t="s">
        <v>251</v>
      </c>
      <c r="AJ151" s="1854"/>
      <c r="AK151" s="1854"/>
      <c r="AL151" s="1854"/>
      <c r="AM151" s="1854"/>
      <c r="AN151" s="1854"/>
      <c r="AO151" s="1854"/>
      <c r="AP151" s="1854"/>
      <c r="AQ151" s="1854"/>
      <c r="AR151" s="1854"/>
      <c r="AS151" s="1854"/>
      <c r="AT151" s="1854"/>
      <c r="AU151" s="1854"/>
      <c r="AV151" s="1854"/>
      <c r="AW151" s="1854"/>
      <c r="AX151" s="1854"/>
      <c r="AY151" s="1854"/>
      <c r="AZ151" s="1854"/>
      <c r="BA151" s="1854"/>
      <c r="BB151" s="1854"/>
      <c r="BC151" s="1854"/>
      <c r="BD151" s="1854"/>
      <c r="BE151" s="1860"/>
    </row>
    <row r="152" spans="1:57" ht="15.75" customHeight="1" thickBot="1">
      <c r="A152" s="1854"/>
      <c r="B152" s="1854"/>
      <c r="C152" s="3195"/>
      <c r="D152" s="3195"/>
      <c r="E152" s="3195"/>
      <c r="F152" s="3195"/>
      <c r="G152" s="3195"/>
      <c r="H152" s="3195"/>
      <c r="I152" s="3195"/>
      <c r="J152" s="3195"/>
      <c r="K152" s="3195"/>
      <c r="L152" s="3195"/>
      <c r="M152" s="3195"/>
      <c r="N152" s="3195"/>
      <c r="O152" s="3195"/>
      <c r="P152" s="3195"/>
      <c r="Q152" s="3195"/>
      <c r="R152" s="3195"/>
      <c r="S152" s="3195"/>
      <c r="T152" s="3195"/>
      <c r="U152" s="3195"/>
      <c r="V152" s="3195"/>
      <c r="W152" s="3195"/>
      <c r="X152" s="3195"/>
      <c r="Y152" s="3195"/>
      <c r="Z152" s="3195"/>
      <c r="AA152" s="3195"/>
      <c r="AB152" s="3195"/>
      <c r="AC152" s="3195"/>
      <c r="AD152" s="3195"/>
      <c r="AE152" s="3195"/>
      <c r="AF152" s="1854"/>
      <c r="AG152" s="1854"/>
      <c r="AH152" s="1874" t="s">
        <v>1915</v>
      </c>
      <c r="AI152" s="1875"/>
      <c r="AJ152" s="1875"/>
      <c r="AK152" s="1875"/>
      <c r="AL152" s="1875"/>
      <c r="AM152" s="1875"/>
      <c r="AN152" s="1875"/>
      <c r="AO152" s="1875"/>
      <c r="AP152" s="1875"/>
      <c r="AQ152" s="1875"/>
      <c r="AR152" s="1876"/>
      <c r="AS152" s="1877">
        <v>1000000</v>
      </c>
      <c r="AT152" s="1878"/>
      <c r="AU152" s="1878"/>
      <c r="AV152" s="1878"/>
      <c r="AW152" s="1879"/>
      <c r="AX152" s="1854"/>
      <c r="AY152" s="1854"/>
      <c r="AZ152" s="1854"/>
      <c r="BA152" s="1854"/>
      <c r="BB152" s="1854"/>
      <c r="BC152" s="1854"/>
      <c r="BD152" s="1854"/>
      <c r="BE152" s="1860"/>
    </row>
    <row r="153" spans="1:57" ht="15.75" customHeight="1">
      <c r="A153" s="1854"/>
      <c r="B153" s="1854"/>
      <c r="C153" s="3098" t="s">
        <v>1903</v>
      </c>
      <c r="D153" s="3099"/>
      <c r="E153" s="3099"/>
      <c r="F153" s="3099"/>
      <c r="G153" s="3099"/>
      <c r="H153" s="3099"/>
      <c r="I153" s="3099"/>
      <c r="J153" s="3099"/>
      <c r="K153" s="3099"/>
      <c r="L153" s="3099"/>
      <c r="M153" s="3099"/>
      <c r="N153" s="3099" t="s">
        <v>1914</v>
      </c>
      <c r="O153" s="3099"/>
      <c r="P153" s="3099"/>
      <c r="Q153" s="3099"/>
      <c r="R153" s="3099"/>
      <c r="S153" s="3099"/>
      <c r="T153" s="3099"/>
      <c r="U153" s="3016" t="s">
        <v>1903</v>
      </c>
      <c r="V153" s="3016"/>
      <c r="W153" s="3016"/>
      <c r="X153" s="3016"/>
      <c r="Y153" s="3016"/>
      <c r="Z153" s="3016"/>
      <c r="AA153" s="3016"/>
      <c r="AB153" s="3016"/>
      <c r="AC153" s="3016"/>
      <c r="AD153" s="3016"/>
      <c r="AE153" s="3017"/>
      <c r="AF153" s="1854"/>
      <c r="AG153" s="1854"/>
      <c r="AH153" s="1880" t="s">
        <v>1916</v>
      </c>
      <c r="AI153" s="1881"/>
      <c r="AJ153" s="1881"/>
      <c r="AK153" s="1881"/>
      <c r="AL153" s="1881"/>
      <c r="AM153" s="1881"/>
      <c r="AN153" s="1881"/>
      <c r="AO153" s="1881"/>
      <c r="AP153" s="1881"/>
      <c r="AQ153" s="1881"/>
      <c r="AR153" s="1882"/>
      <c r="AS153" s="1883">
        <v>0</v>
      </c>
      <c r="AT153" s="1884"/>
      <c r="AU153" s="1884"/>
      <c r="AV153" s="1884"/>
      <c r="AW153" s="1885"/>
      <c r="AX153" s="1854"/>
      <c r="AY153" s="1854"/>
      <c r="AZ153" s="1854"/>
      <c r="BA153" s="1854"/>
      <c r="BB153" s="1854"/>
      <c r="BC153" s="1854"/>
      <c r="BD153" s="1854"/>
      <c r="BE153" s="1860"/>
    </row>
    <row r="154" spans="1:57" ht="15.75" customHeight="1">
      <c r="A154" s="1854"/>
      <c r="B154" s="1854"/>
      <c r="C154" s="3184" t="s">
        <v>2588</v>
      </c>
      <c r="D154" s="3185"/>
      <c r="E154" s="3185"/>
      <c r="F154" s="3185"/>
      <c r="G154" s="3185"/>
      <c r="H154" s="3185"/>
      <c r="I154" s="3185"/>
      <c r="J154" s="3185"/>
      <c r="K154" s="3185"/>
      <c r="L154" s="3185"/>
      <c r="M154" s="3185"/>
      <c r="N154" s="3186">
        <f>'Sources and Uses Budget'!B105</f>
        <v>44255888</v>
      </c>
      <c r="O154" s="3186"/>
      <c r="P154" s="3186"/>
      <c r="Q154" s="3186"/>
      <c r="R154" s="3186"/>
      <c r="S154" s="3186"/>
      <c r="T154" s="3186"/>
      <c r="U154" s="3187"/>
      <c r="V154" s="3187"/>
      <c r="W154" s="3187"/>
      <c r="X154" s="3187"/>
      <c r="Y154" s="3187"/>
      <c r="Z154" s="3187"/>
      <c r="AA154" s="3187"/>
      <c r="AB154" s="3187"/>
      <c r="AC154" s="3187"/>
      <c r="AD154" s="3187"/>
      <c r="AE154" s="3188"/>
      <c r="AF154" s="1854"/>
      <c r="AG154" s="1854"/>
      <c r="AH154" s="1880" t="s">
        <v>2589</v>
      </c>
      <c r="AI154" s="1881"/>
      <c r="AJ154" s="1881"/>
      <c r="AK154" s="1881"/>
      <c r="AL154" s="1881"/>
      <c r="AM154" s="1881"/>
      <c r="AN154" s="1881"/>
      <c r="AO154" s="1881"/>
      <c r="AP154" s="1881"/>
      <c r="AQ154" s="1881"/>
      <c r="AR154" s="1882"/>
      <c r="AS154" s="1883">
        <v>1500000</v>
      </c>
      <c r="AT154" s="1884"/>
      <c r="AU154" s="1884"/>
      <c r="AV154" s="1884"/>
      <c r="AW154" s="1885"/>
      <c r="AX154" s="1854"/>
      <c r="AY154" s="1854"/>
      <c r="AZ154" s="1854"/>
      <c r="BA154" s="1854"/>
      <c r="BB154" s="1854"/>
      <c r="BC154" s="1854"/>
      <c r="BD154" s="1854"/>
      <c r="BE154" s="1860"/>
    </row>
    <row r="155" spans="1:57" ht="15.75" customHeight="1">
      <c r="A155" s="1854"/>
      <c r="B155" s="1854"/>
      <c r="C155" s="3184" t="s">
        <v>2590</v>
      </c>
      <c r="D155" s="3185"/>
      <c r="E155" s="3185"/>
      <c r="F155" s="3185"/>
      <c r="G155" s="3185"/>
      <c r="H155" s="3185"/>
      <c r="I155" s="3185"/>
      <c r="J155" s="3185"/>
      <c r="K155" s="3185"/>
      <c r="L155" s="3185"/>
      <c r="M155" s="3185"/>
      <c r="N155" s="3186">
        <f>N154/J29</f>
        <v>962084.52173913049</v>
      </c>
      <c r="O155" s="3186"/>
      <c r="P155" s="3186"/>
      <c r="Q155" s="3186"/>
      <c r="R155" s="3186"/>
      <c r="S155" s="3186"/>
      <c r="T155" s="3186"/>
      <c r="U155" s="1886"/>
      <c r="V155" s="1886"/>
      <c r="W155" s="1886"/>
      <c r="X155" s="1886"/>
      <c r="Y155" s="1886"/>
      <c r="Z155" s="1886"/>
      <c r="AA155" s="1886"/>
      <c r="AB155" s="1886"/>
      <c r="AC155" s="1886"/>
      <c r="AD155" s="1886"/>
      <c r="AE155" s="1887"/>
      <c r="AF155" s="1854"/>
      <c r="AG155" s="1854"/>
      <c r="AH155" s="1888"/>
      <c r="AI155" s="1889"/>
      <c r="AJ155" s="1889"/>
      <c r="AK155" s="1889"/>
      <c r="AL155" s="1889"/>
      <c r="AM155" s="1889"/>
      <c r="AN155" s="1889"/>
      <c r="AO155" s="1889"/>
      <c r="AP155" s="1889"/>
      <c r="AQ155" s="1889"/>
      <c r="AR155" s="1890"/>
      <c r="AS155" s="1891"/>
      <c r="AT155" s="1892"/>
      <c r="AU155" s="1892"/>
      <c r="AV155" s="1892"/>
      <c r="AW155" s="1893"/>
      <c r="AX155" s="1854"/>
      <c r="AY155" s="1854"/>
      <c r="AZ155" s="1854"/>
      <c r="BA155" s="1854"/>
      <c r="BB155" s="1854"/>
      <c r="BC155" s="1854"/>
      <c r="BD155" s="1854"/>
      <c r="BE155" s="1860"/>
    </row>
    <row r="156" spans="1:57" ht="15.75" customHeight="1" thickBot="1">
      <c r="A156" s="1854"/>
      <c r="B156" s="1854"/>
      <c r="C156" s="3189" t="s">
        <v>2591</v>
      </c>
      <c r="D156" s="3190"/>
      <c r="E156" s="3190"/>
      <c r="F156" s="3190"/>
      <c r="G156" s="3190"/>
      <c r="H156" s="3190"/>
      <c r="I156" s="3190"/>
      <c r="J156" s="3190"/>
      <c r="K156" s="3190"/>
      <c r="L156" s="3190"/>
      <c r="M156" s="3190"/>
      <c r="N156" s="3092">
        <v>0</v>
      </c>
      <c r="O156" s="3092"/>
      <c r="P156" s="3092"/>
      <c r="Q156" s="3092"/>
      <c r="R156" s="3092"/>
      <c r="S156" s="3092"/>
      <c r="T156" s="3092"/>
      <c r="U156" s="3065"/>
      <c r="V156" s="3065"/>
      <c r="W156" s="3065"/>
      <c r="X156" s="3065"/>
      <c r="Y156" s="3065"/>
      <c r="Z156" s="3065"/>
      <c r="AA156" s="3065"/>
      <c r="AB156" s="3065"/>
      <c r="AC156" s="3065"/>
      <c r="AD156" s="3065"/>
      <c r="AE156" s="3066"/>
      <c r="AF156" s="1854"/>
      <c r="AG156" s="1854"/>
      <c r="AH156" s="3196" t="s">
        <v>2259</v>
      </c>
      <c r="AI156" s="3197"/>
      <c r="AJ156" s="3197"/>
      <c r="AK156" s="3197"/>
      <c r="AL156" s="3197"/>
      <c r="AM156" s="3197"/>
      <c r="AN156" s="3197"/>
      <c r="AO156" s="3197"/>
      <c r="AP156" s="3197"/>
      <c r="AQ156" s="3197"/>
      <c r="AR156" s="3197"/>
      <c r="AS156" s="3198">
        <f>SUM(AS152:AW154)</f>
        <v>2500000</v>
      </c>
      <c r="AT156" s="3198"/>
      <c r="AU156" s="3198"/>
      <c r="AV156" s="3198"/>
      <c r="AW156" s="3199"/>
      <c r="AX156" s="1854"/>
      <c r="AY156" s="1854"/>
      <c r="AZ156" s="1854"/>
      <c r="BA156" s="1854"/>
      <c r="BB156" s="1854"/>
      <c r="BC156" s="1854"/>
      <c r="BD156" s="1854"/>
      <c r="BE156" s="1860"/>
    </row>
    <row r="157" spans="1:57" ht="15.75" customHeight="1" thickBot="1">
      <c r="A157" s="1854"/>
      <c r="B157" s="1854"/>
      <c r="C157" s="3184" t="s">
        <v>2592</v>
      </c>
      <c r="D157" s="3185"/>
      <c r="E157" s="3185"/>
      <c r="F157" s="3185"/>
      <c r="G157" s="3185"/>
      <c r="H157" s="3185"/>
      <c r="I157" s="3185"/>
      <c r="J157" s="3185"/>
      <c r="K157" s="3185"/>
      <c r="L157" s="3185"/>
      <c r="M157" s="3185"/>
      <c r="N157" s="3200">
        <f>SUM('Sources and Uses Budget'!B85:B86)</f>
        <v>100000</v>
      </c>
      <c r="O157" s="3200"/>
      <c r="P157" s="3200"/>
      <c r="Q157" s="3200"/>
      <c r="R157" s="3200"/>
      <c r="S157" s="3200"/>
      <c r="T157" s="3200"/>
      <c r="U157" s="3065"/>
      <c r="V157" s="3065"/>
      <c r="W157" s="3065"/>
      <c r="X157" s="3065"/>
      <c r="Y157" s="3065"/>
      <c r="Z157" s="3065"/>
      <c r="AA157" s="3065"/>
      <c r="AB157" s="3065"/>
      <c r="AC157" s="3065"/>
      <c r="AD157" s="3065"/>
      <c r="AE157" s="3066"/>
      <c r="AF157" s="1854"/>
      <c r="AG157" s="1854"/>
      <c r="AH157" s="1894" t="s">
        <v>2593</v>
      </c>
      <c r="AI157" s="1854"/>
      <c r="AJ157" s="1854"/>
      <c r="AK157" s="1854"/>
      <c r="AL157" s="1854"/>
      <c r="AM157" s="1854"/>
      <c r="AN157" s="1854"/>
      <c r="AO157" s="1854"/>
      <c r="AP157" s="1854"/>
      <c r="AQ157" s="1854"/>
      <c r="AR157" s="1854"/>
      <c r="AS157" s="1854"/>
      <c r="AT157" s="1854"/>
      <c r="AU157" s="1854"/>
      <c r="AV157" s="1854"/>
      <c r="AW157" s="1854"/>
      <c r="AX157" s="1854"/>
      <c r="AY157" s="1854"/>
      <c r="AZ157" s="1854"/>
      <c r="BA157" s="1854"/>
      <c r="BB157" s="1854"/>
      <c r="BC157" s="1854"/>
      <c r="BD157" s="1854"/>
      <c r="BE157" s="1860"/>
    </row>
    <row r="158" spans="1:57" ht="15.75" customHeight="1">
      <c r="A158" s="1854"/>
      <c r="B158" s="1854"/>
      <c r="C158" s="3184" t="s">
        <v>2594</v>
      </c>
      <c r="D158" s="3185"/>
      <c r="E158" s="3185"/>
      <c r="F158" s="3185"/>
      <c r="G158" s="3185"/>
      <c r="H158" s="3185"/>
      <c r="I158" s="3185"/>
      <c r="J158" s="3185"/>
      <c r="K158" s="3185"/>
      <c r="L158" s="3185"/>
      <c r="M158" s="3185"/>
      <c r="N158" s="3200">
        <f>'Sources and Uses Budget'!B8</f>
        <v>2300000</v>
      </c>
      <c r="O158" s="3200"/>
      <c r="P158" s="3200"/>
      <c r="Q158" s="3200"/>
      <c r="R158" s="3200"/>
      <c r="S158" s="3200"/>
      <c r="T158" s="3200"/>
      <c r="U158" s="3065"/>
      <c r="V158" s="3065"/>
      <c r="W158" s="3065"/>
      <c r="X158" s="3065"/>
      <c r="Y158" s="3065"/>
      <c r="Z158" s="3065"/>
      <c r="AA158" s="3065"/>
      <c r="AB158" s="3065"/>
      <c r="AC158" s="3065"/>
      <c r="AD158" s="3065"/>
      <c r="AE158" s="3066"/>
      <c r="AF158" s="1854"/>
      <c r="AG158" s="1854"/>
      <c r="AH158" s="3201" t="s">
        <v>2595</v>
      </c>
      <c r="AI158" s="3202"/>
      <c r="AJ158" s="3202"/>
      <c r="AK158" s="3202"/>
      <c r="AL158" s="3202"/>
      <c r="AM158" s="3202"/>
      <c r="AN158" s="3202"/>
      <c r="AO158" s="3202"/>
      <c r="AP158" s="3202"/>
      <c r="AQ158" s="3202"/>
      <c r="AR158" s="3203"/>
      <c r="AS158" s="3207" t="s">
        <v>2596</v>
      </c>
      <c r="AT158" s="3208"/>
      <c r="AU158" s="3208"/>
      <c r="AV158" s="3208"/>
      <c r="AW158" s="3208"/>
      <c r="AX158" s="3209"/>
      <c r="AY158" s="3208" t="s">
        <v>2597</v>
      </c>
      <c r="AZ158" s="3208"/>
      <c r="BA158" s="3208"/>
      <c r="BB158" s="3208"/>
      <c r="BC158" s="3208"/>
      <c r="BD158" s="3213"/>
      <c r="BE158" s="1860"/>
    </row>
    <row r="159" spans="1:57" ht="15.75" customHeight="1">
      <c r="A159" s="1854"/>
      <c r="B159" s="1854"/>
      <c r="C159" s="3184" t="s">
        <v>2598</v>
      </c>
      <c r="D159" s="3185"/>
      <c r="E159" s="3185"/>
      <c r="F159" s="3185"/>
      <c r="G159" s="3185"/>
      <c r="H159" s="3185"/>
      <c r="I159" s="3185"/>
      <c r="J159" s="3185"/>
      <c r="K159" s="3185"/>
      <c r="L159" s="3185"/>
      <c r="M159" s="3185"/>
      <c r="N159" s="3215">
        <v>0</v>
      </c>
      <c r="O159" s="3215"/>
      <c r="P159" s="3215"/>
      <c r="Q159" s="3215"/>
      <c r="R159" s="3215"/>
      <c r="S159" s="3215"/>
      <c r="T159" s="3215"/>
      <c r="U159" s="3065"/>
      <c r="V159" s="3065"/>
      <c r="W159" s="3065"/>
      <c r="X159" s="3065"/>
      <c r="Y159" s="3065"/>
      <c r="Z159" s="3065"/>
      <c r="AA159" s="3065"/>
      <c r="AB159" s="3065"/>
      <c r="AC159" s="3065"/>
      <c r="AD159" s="3065"/>
      <c r="AE159" s="3066"/>
      <c r="AF159" s="1854"/>
      <c r="AG159" s="1854"/>
      <c r="AH159" s="3204"/>
      <c r="AI159" s="3205"/>
      <c r="AJ159" s="3205"/>
      <c r="AK159" s="3205"/>
      <c r="AL159" s="3205"/>
      <c r="AM159" s="3205"/>
      <c r="AN159" s="3205"/>
      <c r="AO159" s="3205"/>
      <c r="AP159" s="3205"/>
      <c r="AQ159" s="3205"/>
      <c r="AR159" s="3206"/>
      <c r="AS159" s="3210"/>
      <c r="AT159" s="3211"/>
      <c r="AU159" s="3211"/>
      <c r="AV159" s="3211"/>
      <c r="AW159" s="3211"/>
      <c r="AX159" s="3212"/>
      <c r="AY159" s="3211"/>
      <c r="AZ159" s="3211"/>
      <c r="BA159" s="3211"/>
      <c r="BB159" s="3211"/>
      <c r="BC159" s="3211"/>
      <c r="BD159" s="3214"/>
      <c r="BE159" s="1860"/>
    </row>
    <row r="160" spans="1:57" ht="15.75" customHeight="1">
      <c r="A160" s="1854"/>
      <c r="B160" s="1854"/>
      <c r="C160" s="3184" t="s">
        <v>2599</v>
      </c>
      <c r="D160" s="3185"/>
      <c r="E160" s="3185"/>
      <c r="F160" s="3185"/>
      <c r="G160" s="3185"/>
      <c r="H160" s="3185"/>
      <c r="I160" s="3185"/>
      <c r="J160" s="3185"/>
      <c r="K160" s="3185"/>
      <c r="L160" s="3185"/>
      <c r="M160" s="3185"/>
      <c r="N160" s="3215">
        <v>0</v>
      </c>
      <c r="O160" s="3215"/>
      <c r="P160" s="3215"/>
      <c r="Q160" s="3215"/>
      <c r="R160" s="3215"/>
      <c r="S160" s="3215"/>
      <c r="T160" s="3215"/>
      <c r="U160" s="3065"/>
      <c r="V160" s="3065"/>
      <c r="W160" s="3065"/>
      <c r="X160" s="3065"/>
      <c r="Y160" s="3065"/>
      <c r="Z160" s="3065"/>
      <c r="AA160" s="3065"/>
      <c r="AB160" s="3065"/>
      <c r="AC160" s="3065"/>
      <c r="AD160" s="3065"/>
      <c r="AE160" s="3066"/>
      <c r="AF160" s="1854"/>
      <c r="AG160" s="1854"/>
      <c r="AH160" s="3216" t="s">
        <v>2260</v>
      </c>
      <c r="AI160" s="3217"/>
      <c r="AJ160" s="3217"/>
      <c r="AK160" s="3217"/>
      <c r="AL160" s="3217"/>
      <c r="AM160" s="3217"/>
      <c r="AN160" s="3217"/>
      <c r="AO160" s="3217"/>
      <c r="AP160" s="3217"/>
      <c r="AQ160" s="3217"/>
      <c r="AR160" s="3217"/>
      <c r="AS160" s="3218">
        <v>900000</v>
      </c>
      <c r="AT160" s="3218"/>
      <c r="AU160" s="3218"/>
      <c r="AV160" s="3218"/>
      <c r="AW160" s="3218"/>
      <c r="AX160" s="3218"/>
      <c r="AY160" s="3218">
        <v>0</v>
      </c>
      <c r="AZ160" s="3218"/>
      <c r="BA160" s="3218"/>
      <c r="BB160" s="3218"/>
      <c r="BC160" s="3218"/>
      <c r="BD160" s="3219"/>
      <c r="BE160" s="1860"/>
    </row>
    <row r="161" spans="1:57" ht="15.75" customHeight="1">
      <c r="A161" s="1854"/>
      <c r="B161" s="1854"/>
      <c r="C161" s="3221" t="s">
        <v>301</v>
      </c>
      <c r="D161" s="3168"/>
      <c r="E161" s="3220" t="s">
        <v>1909</v>
      </c>
      <c r="F161" s="3220"/>
      <c r="G161" s="3220"/>
      <c r="H161" s="3220"/>
      <c r="I161" s="3220"/>
      <c r="J161" s="3220"/>
      <c r="K161" s="3220"/>
      <c r="L161" s="3220"/>
      <c r="M161" s="3220"/>
      <c r="N161" s="3215">
        <v>0</v>
      </c>
      <c r="O161" s="3215"/>
      <c r="P161" s="3215"/>
      <c r="Q161" s="3215"/>
      <c r="R161" s="3215"/>
      <c r="S161" s="3215"/>
      <c r="T161" s="3215"/>
      <c r="U161" s="3065"/>
      <c r="V161" s="3065"/>
      <c r="W161" s="3065"/>
      <c r="X161" s="3065"/>
      <c r="Y161" s="3065"/>
      <c r="Z161" s="3065"/>
      <c r="AA161" s="3065"/>
      <c r="AB161" s="3065"/>
      <c r="AC161" s="3065"/>
      <c r="AD161" s="3065"/>
      <c r="AE161" s="3066"/>
      <c r="AF161" s="1854"/>
      <c r="AG161" s="1854"/>
      <c r="AH161" s="3216" t="s">
        <v>2261</v>
      </c>
      <c r="AI161" s="3217"/>
      <c r="AJ161" s="3217"/>
      <c r="AK161" s="3217"/>
      <c r="AL161" s="3217"/>
      <c r="AM161" s="3217"/>
      <c r="AN161" s="3217"/>
      <c r="AO161" s="3217"/>
      <c r="AP161" s="3217"/>
      <c r="AQ161" s="3217"/>
      <c r="AR161" s="3217"/>
      <c r="AS161" s="3218">
        <v>600000</v>
      </c>
      <c r="AT161" s="3218"/>
      <c r="AU161" s="3218"/>
      <c r="AV161" s="3218"/>
      <c r="AW161" s="3218"/>
      <c r="AX161" s="3218"/>
      <c r="AY161" s="3218">
        <v>0</v>
      </c>
      <c r="AZ161" s="3218"/>
      <c r="BA161" s="3218"/>
      <c r="BB161" s="3218"/>
      <c r="BC161" s="3218"/>
      <c r="BD161" s="3219"/>
      <c r="BE161" s="1860"/>
    </row>
    <row r="162" spans="1:57" ht="15.75" customHeight="1">
      <c r="A162" s="1854"/>
      <c r="B162" s="1854"/>
      <c r="C162" s="3108" t="s">
        <v>301</v>
      </c>
      <c r="D162" s="3053"/>
      <c r="E162" s="3220" t="s">
        <v>1909</v>
      </c>
      <c r="F162" s="3220"/>
      <c r="G162" s="3220"/>
      <c r="H162" s="3220"/>
      <c r="I162" s="3220"/>
      <c r="J162" s="3220"/>
      <c r="K162" s="3220"/>
      <c r="L162" s="3220"/>
      <c r="M162" s="3220"/>
      <c r="N162" s="3215">
        <v>0</v>
      </c>
      <c r="O162" s="3215"/>
      <c r="P162" s="3215"/>
      <c r="Q162" s="3215"/>
      <c r="R162" s="3215"/>
      <c r="S162" s="3215"/>
      <c r="T162" s="3215"/>
      <c r="U162" s="3065"/>
      <c r="V162" s="3065"/>
      <c r="W162" s="3065"/>
      <c r="X162" s="3065"/>
      <c r="Y162" s="3065"/>
      <c r="Z162" s="3065"/>
      <c r="AA162" s="3065"/>
      <c r="AB162" s="3065"/>
      <c r="AC162" s="3065"/>
      <c r="AD162" s="3065"/>
      <c r="AE162" s="3066"/>
      <c r="AF162" s="1854"/>
      <c r="AG162" s="1854"/>
      <c r="AH162" s="3216" t="s">
        <v>2262</v>
      </c>
      <c r="AI162" s="3217"/>
      <c r="AJ162" s="3217"/>
      <c r="AK162" s="3217"/>
      <c r="AL162" s="3217"/>
      <c r="AM162" s="3217"/>
      <c r="AN162" s="3217"/>
      <c r="AO162" s="3217"/>
      <c r="AP162" s="3217"/>
      <c r="AQ162" s="3217"/>
      <c r="AR162" s="3217"/>
      <c r="AS162" s="3218">
        <v>600000</v>
      </c>
      <c r="AT162" s="3218"/>
      <c r="AU162" s="3218"/>
      <c r="AV162" s="3218"/>
      <c r="AW162" s="3218"/>
      <c r="AX162" s="3218"/>
      <c r="AY162" s="3218">
        <v>0</v>
      </c>
      <c r="AZ162" s="3218"/>
      <c r="BA162" s="3218"/>
      <c r="BB162" s="3218"/>
      <c r="BC162" s="3218"/>
      <c r="BD162" s="3219"/>
      <c r="BE162" s="1860"/>
    </row>
    <row r="163" spans="1:57" ht="15.75" customHeight="1" thickBot="1">
      <c r="A163" s="1854"/>
      <c r="B163" s="1854"/>
      <c r="C163" s="3226" t="s">
        <v>301</v>
      </c>
      <c r="D163" s="3227"/>
      <c r="E163" s="3228" t="s">
        <v>1909</v>
      </c>
      <c r="F163" s="3228"/>
      <c r="G163" s="3228"/>
      <c r="H163" s="3228"/>
      <c r="I163" s="3228"/>
      <c r="J163" s="3228"/>
      <c r="K163" s="3228"/>
      <c r="L163" s="3228"/>
      <c r="M163" s="3229"/>
      <c r="N163" s="3230">
        <v>0</v>
      </c>
      <c r="O163" s="3230"/>
      <c r="P163" s="3230"/>
      <c r="Q163" s="3230"/>
      <c r="R163" s="3230"/>
      <c r="S163" s="3230"/>
      <c r="T163" s="3231"/>
      <c r="U163" s="3232"/>
      <c r="V163" s="3233"/>
      <c r="W163" s="3233"/>
      <c r="X163" s="3233"/>
      <c r="Y163" s="3233"/>
      <c r="Z163" s="3233"/>
      <c r="AA163" s="3233"/>
      <c r="AB163" s="3233"/>
      <c r="AC163" s="3233"/>
      <c r="AD163" s="3233"/>
      <c r="AE163" s="3234"/>
      <c r="AF163" s="1854"/>
      <c r="AG163" s="1854"/>
      <c r="AH163" s="3216" t="s">
        <v>2263</v>
      </c>
      <c r="AI163" s="3217"/>
      <c r="AJ163" s="3217"/>
      <c r="AK163" s="3217"/>
      <c r="AL163" s="3217"/>
      <c r="AM163" s="3217"/>
      <c r="AN163" s="3217"/>
      <c r="AO163" s="3217"/>
      <c r="AP163" s="3217"/>
      <c r="AQ163" s="3217"/>
      <c r="AR163" s="3217"/>
      <c r="AS163" s="3218">
        <v>400000</v>
      </c>
      <c r="AT163" s="3218"/>
      <c r="AU163" s="3218"/>
      <c r="AV163" s="3218"/>
      <c r="AW163" s="3218"/>
      <c r="AX163" s="3218"/>
      <c r="AY163" s="3218">
        <v>0</v>
      </c>
      <c r="AZ163" s="3218"/>
      <c r="BA163" s="3218"/>
      <c r="BB163" s="3218"/>
      <c r="BC163" s="3218"/>
      <c r="BD163" s="3219"/>
      <c r="BE163" s="1860"/>
    </row>
    <row r="164" spans="1:57" ht="15.75" customHeight="1">
      <c r="A164" s="1854"/>
      <c r="B164" s="1854"/>
      <c r="C164" s="3222" t="s">
        <v>1917</v>
      </c>
      <c r="D164" s="3223"/>
      <c r="E164" s="3223"/>
      <c r="F164" s="3223"/>
      <c r="G164" s="3223"/>
      <c r="H164" s="3223"/>
      <c r="I164" s="3223"/>
      <c r="J164" s="3223"/>
      <c r="K164" s="3223"/>
      <c r="L164" s="3223"/>
      <c r="M164" s="3223"/>
      <c r="N164" s="3224">
        <f>SUM(N156:T163)</f>
        <v>2400000</v>
      </c>
      <c r="O164" s="3224"/>
      <c r="P164" s="3224"/>
      <c r="Q164" s="3224"/>
      <c r="R164" s="3224"/>
      <c r="S164" s="3224"/>
      <c r="T164" s="3225"/>
      <c r="U164" s="1854"/>
      <c r="V164" s="1854"/>
      <c r="W164" s="1854"/>
      <c r="X164" s="1854"/>
      <c r="Y164" s="1854"/>
      <c r="Z164" s="1854"/>
      <c r="AA164" s="1854"/>
      <c r="AB164" s="1854"/>
      <c r="AC164" s="1854"/>
      <c r="AD164" s="1854"/>
      <c r="AE164" s="1854"/>
      <c r="AF164" s="1854"/>
      <c r="AG164" s="1854"/>
      <c r="AH164" s="3216" t="s">
        <v>2264</v>
      </c>
      <c r="AI164" s="3217"/>
      <c r="AJ164" s="3217"/>
      <c r="AK164" s="3217"/>
      <c r="AL164" s="3217"/>
      <c r="AM164" s="3217"/>
      <c r="AN164" s="3217"/>
      <c r="AO164" s="3217"/>
      <c r="AP164" s="3217"/>
      <c r="AQ164" s="3217"/>
      <c r="AR164" s="3217"/>
      <c r="AS164" s="3218">
        <v>0</v>
      </c>
      <c r="AT164" s="3218"/>
      <c r="AU164" s="3218"/>
      <c r="AV164" s="3218"/>
      <c r="AW164" s="3218"/>
      <c r="AX164" s="3218"/>
      <c r="AY164" s="3218">
        <v>0</v>
      </c>
      <c r="AZ164" s="3218"/>
      <c r="BA164" s="3218"/>
      <c r="BB164" s="3218"/>
      <c r="BC164" s="3218"/>
      <c r="BD164" s="3219"/>
      <c r="BE164" s="1860"/>
    </row>
    <row r="165" spans="1:57" ht="15.75" customHeight="1" thickBot="1">
      <c r="A165" s="1854"/>
      <c r="B165" s="1854"/>
      <c r="C165" s="3248" t="s">
        <v>2600</v>
      </c>
      <c r="D165" s="3249"/>
      <c r="E165" s="3249"/>
      <c r="F165" s="3249"/>
      <c r="G165" s="3249"/>
      <c r="H165" s="3249"/>
      <c r="I165" s="3249"/>
      <c r="J165" s="3249"/>
      <c r="K165" s="3249"/>
      <c r="L165" s="3249"/>
      <c r="M165" s="3249"/>
      <c r="N165" s="3250">
        <f>(N154-N164)/J29</f>
        <v>909910.60869565222</v>
      </c>
      <c r="O165" s="3251"/>
      <c r="P165" s="3251"/>
      <c r="Q165" s="3251"/>
      <c r="R165" s="3251"/>
      <c r="S165" s="3251"/>
      <c r="T165" s="3252"/>
      <c r="U165" s="1861"/>
      <c r="V165" s="1854"/>
      <c r="W165" s="1854"/>
      <c r="X165" s="1854"/>
      <c r="Y165" s="1854"/>
      <c r="Z165" s="1854"/>
      <c r="AA165" s="1854"/>
      <c r="AB165" s="1854"/>
      <c r="AC165" s="1854"/>
      <c r="AD165" s="1854"/>
      <c r="AE165" s="1854"/>
      <c r="AF165" s="1854"/>
      <c r="AG165" s="1854"/>
      <c r="AH165" s="3216" t="s">
        <v>2265</v>
      </c>
      <c r="AI165" s="3217"/>
      <c r="AJ165" s="3217"/>
      <c r="AK165" s="3217"/>
      <c r="AL165" s="3217"/>
      <c r="AM165" s="3217"/>
      <c r="AN165" s="3217"/>
      <c r="AO165" s="3217"/>
      <c r="AP165" s="3217"/>
      <c r="AQ165" s="3217"/>
      <c r="AR165" s="3217"/>
      <c r="AS165" s="3218">
        <v>0</v>
      </c>
      <c r="AT165" s="3218"/>
      <c r="AU165" s="3218"/>
      <c r="AV165" s="3218"/>
      <c r="AW165" s="3218"/>
      <c r="AX165" s="3218"/>
      <c r="AY165" s="3218">
        <v>0</v>
      </c>
      <c r="AZ165" s="3218"/>
      <c r="BA165" s="3218"/>
      <c r="BB165" s="3218"/>
      <c r="BC165" s="3218"/>
      <c r="BD165" s="3219"/>
      <c r="BE165" s="1860"/>
    </row>
    <row r="166" spans="1:57" ht="15.75" customHeight="1" thickBot="1">
      <c r="A166" s="1854"/>
      <c r="B166" s="1854"/>
      <c r="C166" s="1854"/>
      <c r="D166" s="1854"/>
      <c r="E166" s="1854"/>
      <c r="F166" s="1854"/>
      <c r="G166" s="1854"/>
      <c r="H166" s="1854"/>
      <c r="I166" s="1854"/>
      <c r="J166" s="1854"/>
      <c r="K166" s="1854"/>
      <c r="L166" s="1854"/>
      <c r="M166" s="1854"/>
      <c r="N166" s="1854"/>
      <c r="O166" s="1854"/>
      <c r="P166" s="1854"/>
      <c r="Q166" s="1854"/>
      <c r="R166" s="1854"/>
      <c r="S166" s="1854"/>
      <c r="T166" s="1854"/>
      <c r="U166" s="1854"/>
      <c r="V166" s="1854"/>
      <c r="W166" s="1854"/>
      <c r="X166" s="1854"/>
      <c r="Y166" s="1854"/>
      <c r="Z166" s="1854"/>
      <c r="AA166" s="1854"/>
      <c r="AB166" s="1854"/>
      <c r="AC166" s="1854"/>
      <c r="AD166" s="1854"/>
      <c r="AE166" s="1854"/>
      <c r="AF166" s="1854"/>
      <c r="AG166" s="1854"/>
      <c r="AH166" s="3253" t="s">
        <v>125</v>
      </c>
      <c r="AI166" s="3254"/>
      <c r="AJ166" s="3254"/>
      <c r="AK166" s="3254"/>
      <c r="AL166" s="3254"/>
      <c r="AM166" s="3254"/>
      <c r="AN166" s="3254"/>
      <c r="AO166" s="3254"/>
      <c r="AP166" s="3254"/>
      <c r="AQ166" s="3254"/>
      <c r="AR166" s="3254"/>
      <c r="AS166" s="3255">
        <f>SUM(AS160:AX165)</f>
        <v>2500000</v>
      </c>
      <c r="AT166" s="3255"/>
      <c r="AU166" s="3255"/>
      <c r="AV166" s="3255"/>
      <c r="AW166" s="3255"/>
      <c r="AX166" s="3255"/>
      <c r="AY166" s="3255">
        <f>SUM(AY160:BD165)</f>
        <v>0</v>
      </c>
      <c r="AZ166" s="3255"/>
      <c r="BA166" s="3255"/>
      <c r="BB166" s="3255"/>
      <c r="BC166" s="3255"/>
      <c r="BD166" s="3256"/>
      <c r="BE166" s="1860"/>
    </row>
    <row r="167" spans="1:57" ht="15.75" customHeight="1" thickBot="1">
      <c r="A167" s="1854"/>
      <c r="B167" s="1854"/>
      <c r="C167" s="1854"/>
      <c r="D167" s="1854"/>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1854"/>
      <c r="AA167" s="1854"/>
      <c r="AB167" s="1854"/>
      <c r="AC167" s="1854"/>
      <c r="AD167" s="1854"/>
      <c r="AE167" s="1854"/>
      <c r="AF167" s="1854"/>
      <c r="AG167" s="1854"/>
      <c r="AH167" s="1854"/>
      <c r="AI167" s="1854"/>
      <c r="AJ167" s="1854"/>
      <c r="AK167" s="1854"/>
      <c r="AL167" s="1854"/>
      <c r="AM167" s="1854"/>
      <c r="AN167" s="1854"/>
      <c r="AO167" s="1854"/>
      <c r="AP167" s="1854"/>
      <c r="AQ167" s="1854"/>
      <c r="AR167" s="1854"/>
      <c r="AS167" s="1854"/>
      <c r="AT167" s="1854"/>
      <c r="AU167" s="1854"/>
      <c r="AV167" s="1854"/>
      <c r="AW167" s="1854"/>
      <c r="AX167" s="1854"/>
      <c r="AY167" s="1854"/>
      <c r="AZ167" s="1854"/>
      <c r="BA167" s="1854"/>
      <c r="BB167" s="1854"/>
      <c r="BC167" s="1854"/>
      <c r="BD167" s="1854"/>
      <c r="BE167" s="1860"/>
    </row>
    <row r="168" spans="1:57" ht="15.75" customHeight="1">
      <c r="A168" s="1854"/>
      <c r="B168" s="3235" t="s">
        <v>1918</v>
      </c>
      <c r="C168" s="3236"/>
      <c r="D168" s="3236"/>
      <c r="E168" s="3236"/>
      <c r="F168" s="3236"/>
      <c r="G168" s="3236"/>
      <c r="H168" s="3236"/>
      <c r="I168" s="3236"/>
      <c r="J168" s="3236"/>
      <c r="K168" s="3236"/>
      <c r="L168" s="3236"/>
      <c r="M168" s="3236"/>
      <c r="N168" s="3236"/>
      <c r="O168" s="3236"/>
      <c r="P168" s="3236"/>
      <c r="Q168" s="3236"/>
      <c r="R168" s="3236"/>
      <c r="S168" s="3236"/>
      <c r="T168" s="3236"/>
      <c r="U168" s="3236"/>
      <c r="V168" s="3236"/>
      <c r="W168" s="3236"/>
      <c r="X168" s="3236"/>
      <c r="Y168" s="3236"/>
      <c r="Z168" s="3236"/>
      <c r="AA168" s="3236"/>
      <c r="AB168" s="3236"/>
      <c r="AC168" s="3236"/>
      <c r="AD168" s="3236"/>
      <c r="AE168" s="3236"/>
      <c r="AF168" s="3236"/>
      <c r="AG168" s="3236"/>
      <c r="AH168" s="3236"/>
      <c r="AI168" s="3236"/>
      <c r="AJ168" s="3236"/>
      <c r="AK168" s="3236"/>
      <c r="AL168" s="3236"/>
      <c r="AM168" s="3236"/>
      <c r="AN168" s="3236"/>
      <c r="AO168" s="3236"/>
      <c r="AP168" s="3236"/>
      <c r="AQ168" s="3236"/>
      <c r="AR168" s="3236"/>
      <c r="AS168" s="3236"/>
      <c r="AT168" s="3236"/>
      <c r="AU168" s="3236"/>
      <c r="AV168" s="3236"/>
      <c r="AW168" s="3236"/>
      <c r="AX168" s="3236"/>
      <c r="AY168" s="3236"/>
      <c r="AZ168" s="3236"/>
      <c r="BA168" s="3236"/>
      <c r="BB168" s="3236"/>
      <c r="BC168" s="3236"/>
      <c r="BD168" s="3237"/>
      <c r="BE168" s="1860"/>
    </row>
    <row r="169" spans="1:57" ht="15.75" customHeight="1">
      <c r="A169" s="1854"/>
      <c r="B169" s="3238"/>
      <c r="C169" s="3239"/>
      <c r="D169" s="3239"/>
      <c r="E169" s="3239"/>
      <c r="F169" s="3239"/>
      <c r="G169" s="3239"/>
      <c r="H169" s="3239"/>
      <c r="I169" s="3239"/>
      <c r="J169" s="3239"/>
      <c r="K169" s="3239"/>
      <c r="L169" s="3239"/>
      <c r="M169" s="3239"/>
      <c r="N169" s="3239"/>
      <c r="O169" s="3239"/>
      <c r="P169" s="3239"/>
      <c r="Q169" s="3239"/>
      <c r="R169" s="3239"/>
      <c r="S169" s="3239"/>
      <c r="T169" s="3239"/>
      <c r="U169" s="3239"/>
      <c r="V169" s="3239"/>
      <c r="W169" s="3239"/>
      <c r="X169" s="3239"/>
      <c r="Y169" s="3239"/>
      <c r="Z169" s="3239"/>
      <c r="AA169" s="3239"/>
      <c r="AB169" s="3239"/>
      <c r="AC169" s="3239"/>
      <c r="AD169" s="3239"/>
      <c r="AE169" s="3239"/>
      <c r="AF169" s="3239"/>
      <c r="AG169" s="3239"/>
      <c r="AH169" s="3239"/>
      <c r="AI169" s="3239"/>
      <c r="AJ169" s="3239"/>
      <c r="AK169" s="3239"/>
      <c r="AL169" s="3239"/>
      <c r="AM169" s="3239"/>
      <c r="AN169" s="3239"/>
      <c r="AO169" s="3239"/>
      <c r="AP169" s="3239"/>
      <c r="AQ169" s="3239"/>
      <c r="AR169" s="3239"/>
      <c r="AS169" s="3239"/>
      <c r="AT169" s="3239"/>
      <c r="AU169" s="3239"/>
      <c r="AV169" s="3239"/>
      <c r="AW169" s="3239"/>
      <c r="AX169" s="3239"/>
      <c r="AY169" s="3239"/>
      <c r="AZ169" s="3239"/>
      <c r="BA169" s="3239"/>
      <c r="BB169" s="3239"/>
      <c r="BC169" s="3239"/>
      <c r="BD169" s="3240"/>
      <c r="BE169" s="1860"/>
    </row>
    <row r="170" spans="1:57" ht="15.75" customHeight="1">
      <c r="A170" s="1854"/>
      <c r="B170" s="3241" t="s">
        <v>1919</v>
      </c>
      <c r="C170" s="3242"/>
      <c r="D170" s="3242"/>
      <c r="E170" s="3242"/>
      <c r="F170" s="3242"/>
      <c r="G170" s="3242"/>
      <c r="H170" s="3242"/>
      <c r="I170" s="3242"/>
      <c r="J170" s="3242"/>
      <c r="K170" s="3242"/>
      <c r="L170" s="3242"/>
      <c r="M170" s="3242"/>
      <c r="N170" s="3242"/>
      <c r="O170" s="3242"/>
      <c r="P170" s="3242"/>
      <c r="Q170" s="3242"/>
      <c r="R170" s="3242"/>
      <c r="S170" s="3242"/>
      <c r="T170" s="3242"/>
      <c r="U170" s="3242"/>
      <c r="V170" s="3242"/>
      <c r="W170" s="3242"/>
      <c r="X170" s="3242"/>
      <c r="Y170" s="3242"/>
      <c r="Z170" s="3242"/>
      <c r="AA170" s="3242"/>
      <c r="AB170" s="3242"/>
      <c r="AC170" s="3242"/>
      <c r="AD170" s="3242"/>
      <c r="AE170" s="3242"/>
      <c r="AF170" s="3242"/>
      <c r="AG170" s="3242"/>
      <c r="AH170" s="3242"/>
      <c r="AI170" s="3242"/>
      <c r="AJ170" s="3242"/>
      <c r="AK170" s="3242"/>
      <c r="AL170" s="3242"/>
      <c r="AM170" s="3242"/>
      <c r="AN170" s="3242"/>
      <c r="AO170" s="3242"/>
      <c r="AP170" s="3242"/>
      <c r="AQ170" s="3242"/>
      <c r="AR170" s="3242"/>
      <c r="AS170" s="3242"/>
      <c r="AT170" s="3242"/>
      <c r="AU170" s="3242"/>
      <c r="AV170" s="3242"/>
      <c r="AW170" s="3242"/>
      <c r="AX170" s="3242"/>
      <c r="AY170" s="3242"/>
      <c r="AZ170" s="3242"/>
      <c r="BA170" s="3242"/>
      <c r="BB170" s="3242"/>
      <c r="BC170" s="3242"/>
      <c r="BD170" s="3243"/>
      <c r="BE170" s="1860"/>
    </row>
    <row r="171" spans="1:57" ht="15.75" customHeight="1">
      <c r="A171" s="1854"/>
      <c r="B171" s="3241" t="s">
        <v>1920</v>
      </c>
      <c r="C171" s="3242"/>
      <c r="D171" s="3242"/>
      <c r="E171" s="3242"/>
      <c r="F171" s="3242"/>
      <c r="G171" s="3242"/>
      <c r="H171" s="3242"/>
      <c r="I171" s="3242"/>
      <c r="J171" s="3242"/>
      <c r="K171" s="3242"/>
      <c r="L171" s="3242"/>
      <c r="M171" s="3242"/>
      <c r="N171" s="3242"/>
      <c r="O171" s="3242"/>
      <c r="P171" s="3242"/>
      <c r="Q171" s="3242"/>
      <c r="R171" s="3242"/>
      <c r="S171" s="3242"/>
      <c r="T171" s="3242"/>
      <c r="U171" s="3242"/>
      <c r="V171" s="3242"/>
      <c r="W171" s="3242"/>
      <c r="X171" s="3242"/>
      <c r="Y171" s="3242"/>
      <c r="Z171" s="3242"/>
      <c r="AA171" s="3242"/>
      <c r="AB171" s="3242"/>
      <c r="AC171" s="3242"/>
      <c r="AD171" s="3242"/>
      <c r="AE171" s="3242"/>
      <c r="AF171" s="3242"/>
      <c r="AG171" s="3242"/>
      <c r="AH171" s="3242"/>
      <c r="AI171" s="3242"/>
      <c r="AJ171" s="3242"/>
      <c r="AK171" s="3242"/>
      <c r="AL171" s="3242"/>
      <c r="AM171" s="3242"/>
      <c r="AN171" s="3242"/>
      <c r="AO171" s="3242"/>
      <c r="AP171" s="3242"/>
      <c r="AQ171" s="3242"/>
      <c r="AR171" s="3242"/>
      <c r="AS171" s="3242"/>
      <c r="AT171" s="3242"/>
      <c r="AU171" s="3242"/>
      <c r="AV171" s="3242"/>
      <c r="AW171" s="3242"/>
      <c r="AX171" s="3242"/>
      <c r="AY171" s="3242"/>
      <c r="AZ171" s="3242"/>
      <c r="BA171" s="3242"/>
      <c r="BB171" s="3242"/>
      <c r="BC171" s="3242"/>
      <c r="BD171" s="3243"/>
      <c r="BE171" s="1860"/>
    </row>
    <row r="172" spans="1:57" ht="15.75" customHeight="1">
      <c r="A172" s="1854"/>
      <c r="B172" s="1853"/>
      <c r="C172" s="1854"/>
      <c r="D172" s="1854"/>
      <c r="E172" s="1854"/>
      <c r="F172" s="1854"/>
      <c r="G172" s="1854"/>
      <c r="H172" s="1854"/>
      <c r="I172" s="1854"/>
      <c r="J172" s="1854"/>
      <c r="K172" s="1854"/>
      <c r="L172" s="1854"/>
      <c r="M172" s="1854"/>
      <c r="N172" s="1854"/>
      <c r="O172" s="1854"/>
      <c r="P172" s="1854"/>
      <c r="Q172" s="1854"/>
      <c r="R172" s="1854"/>
      <c r="S172" s="1854"/>
      <c r="T172" s="1854"/>
      <c r="U172" s="1854"/>
      <c r="V172" s="1854"/>
      <c r="W172" s="1854"/>
      <c r="X172" s="1854"/>
      <c r="Y172" s="1854"/>
      <c r="Z172" s="1854"/>
      <c r="AA172" s="1854"/>
      <c r="AB172" s="1854"/>
      <c r="AC172" s="1854"/>
      <c r="AD172" s="1854"/>
      <c r="AE172" s="1854"/>
      <c r="AF172" s="1854"/>
      <c r="AG172" s="1854"/>
      <c r="AH172" s="1854"/>
      <c r="AI172" s="1854"/>
      <c r="AJ172" s="1854"/>
      <c r="AK172" s="1854"/>
      <c r="AL172" s="1854"/>
      <c r="AM172" s="1854"/>
      <c r="AN172" s="1854"/>
      <c r="AO172" s="1854"/>
      <c r="AP172" s="1854"/>
      <c r="AQ172" s="1854"/>
      <c r="AR172" s="1854"/>
      <c r="AS172" s="1854"/>
      <c r="AT172" s="1854"/>
      <c r="AU172" s="1854"/>
      <c r="AV172" s="1854"/>
      <c r="AW172" s="1854"/>
      <c r="AX172" s="1854"/>
      <c r="AY172" s="1854"/>
      <c r="AZ172" s="1854"/>
      <c r="BA172" s="1854"/>
      <c r="BB172" s="1854"/>
      <c r="BC172" s="1854"/>
      <c r="BD172" s="1860"/>
      <c r="BE172" s="1860"/>
    </row>
    <row r="173" spans="1:57" ht="15.75" customHeight="1">
      <c r="A173" s="1854"/>
      <c r="B173" s="3244" t="s">
        <v>1921</v>
      </c>
      <c r="C173" s="3245"/>
      <c r="D173" s="3245"/>
      <c r="E173" s="3245"/>
      <c r="F173" s="3245"/>
      <c r="G173" s="3245"/>
      <c r="H173" s="3245"/>
      <c r="I173" s="3245"/>
      <c r="J173" s="3245"/>
      <c r="K173" s="3245"/>
      <c r="L173" s="3245"/>
      <c r="M173" s="3245"/>
      <c r="N173" s="3245"/>
      <c r="O173" s="3245"/>
      <c r="P173" s="3245"/>
      <c r="Q173" s="3245"/>
      <c r="R173" s="3245"/>
      <c r="S173" s="3245"/>
      <c r="T173" s="3245"/>
      <c r="U173" s="3245"/>
      <c r="V173" s="3245"/>
      <c r="W173" s="3245"/>
      <c r="X173" s="3245"/>
      <c r="Y173" s="3245"/>
      <c r="Z173" s="3245"/>
      <c r="AA173" s="3245"/>
      <c r="AB173" s="3245"/>
      <c r="AC173" s="3245"/>
      <c r="AD173" s="3245"/>
      <c r="AE173" s="3245"/>
      <c r="AF173" s="3245"/>
      <c r="AG173" s="3245"/>
      <c r="AH173" s="3245"/>
      <c r="AI173" s="3245"/>
      <c r="AJ173" s="3245"/>
      <c r="AK173" s="3245"/>
      <c r="AL173" s="3245"/>
      <c r="AM173" s="3245"/>
      <c r="AN173" s="3245"/>
      <c r="AO173" s="3245"/>
      <c r="AP173" s="3245"/>
      <c r="AQ173" s="3245"/>
      <c r="AR173" s="3245"/>
      <c r="AS173" s="3245"/>
      <c r="AT173" s="3245"/>
      <c r="AU173" s="3245"/>
      <c r="AV173" s="3245"/>
      <c r="AW173" s="3245"/>
      <c r="AX173" s="3245"/>
      <c r="AY173" s="3245"/>
      <c r="AZ173" s="3245"/>
      <c r="BA173" s="3245"/>
      <c r="BB173" s="3245"/>
      <c r="BC173" s="3245"/>
      <c r="BD173" s="3246"/>
      <c r="BE173" s="1860"/>
    </row>
    <row r="174" spans="1:57" ht="15.75" customHeight="1">
      <c r="A174" s="1854"/>
      <c r="B174" s="1895"/>
      <c r="C174" s="1854"/>
      <c r="D174" s="1854"/>
      <c r="E174" s="1854"/>
      <c r="F174" s="1854"/>
      <c r="G174" s="1854"/>
      <c r="H174" s="1854"/>
      <c r="I174" s="1854"/>
      <c r="J174" s="1854"/>
      <c r="K174" s="1854"/>
      <c r="L174" s="1854"/>
      <c r="M174" s="1854"/>
      <c r="N174" s="1854"/>
      <c r="O174" s="1854"/>
      <c r="P174" s="1854"/>
      <c r="Q174" s="1854"/>
      <c r="R174" s="1854"/>
      <c r="S174" s="1854"/>
      <c r="T174" s="1854"/>
      <c r="U174" s="1854"/>
      <c r="V174" s="1854"/>
      <c r="W174" s="1854"/>
      <c r="X174" s="1854"/>
      <c r="Y174" s="1854"/>
      <c r="Z174" s="1854"/>
      <c r="AA174" s="1854"/>
      <c r="AB174" s="1854"/>
      <c r="AC174" s="1854"/>
      <c r="AD174" s="1854"/>
      <c r="AE174" s="1854"/>
      <c r="AF174" s="1854"/>
      <c r="AG174" s="1854"/>
      <c r="AH174" s="1854"/>
      <c r="AI174" s="1854"/>
      <c r="AJ174" s="1854"/>
      <c r="AK174" s="1854"/>
      <c r="AL174" s="1854"/>
      <c r="AM174" s="1854"/>
      <c r="AN174" s="1854"/>
      <c r="AO174" s="1854"/>
      <c r="AP174" s="1854"/>
      <c r="AQ174" s="1854"/>
      <c r="AR174" s="1854"/>
      <c r="AS174" s="1854"/>
      <c r="AT174" s="1854"/>
      <c r="AU174" s="1854"/>
      <c r="AV174" s="1854"/>
      <c r="AW174" s="1854"/>
      <c r="AX174" s="1854"/>
      <c r="AY174" s="1854"/>
      <c r="AZ174" s="1854"/>
      <c r="BA174" s="1854"/>
      <c r="BB174" s="1854"/>
      <c r="BC174" s="1854"/>
      <c r="BD174" s="1860"/>
      <c r="BE174" s="1860"/>
    </row>
    <row r="175" spans="1:57" ht="15.75" customHeight="1">
      <c r="A175" s="1854"/>
      <c r="B175" s="1896"/>
      <c r="C175" s="1854"/>
      <c r="D175" s="1854"/>
      <c r="E175" s="1854"/>
      <c r="F175" s="1854"/>
      <c r="G175" s="1854"/>
      <c r="H175" s="1856" t="s">
        <v>1922</v>
      </c>
      <c r="I175" s="1854"/>
      <c r="J175" s="1854"/>
      <c r="K175" s="1854"/>
      <c r="L175" s="1854"/>
      <c r="M175" s="1854"/>
      <c r="N175" s="1854"/>
      <c r="O175" s="1854"/>
      <c r="P175" s="1854"/>
      <c r="Q175" s="1854"/>
      <c r="R175" s="1854"/>
      <c r="S175" s="1854"/>
      <c r="T175" s="1854"/>
      <c r="U175" s="1854"/>
      <c r="V175" s="1854"/>
      <c r="W175" s="1854"/>
      <c r="X175" s="1854"/>
      <c r="Y175" s="1854"/>
      <c r="Z175" s="1854"/>
      <c r="AA175" s="1854"/>
      <c r="AB175" s="1854"/>
      <c r="AC175" s="1854"/>
      <c r="AD175" s="1854"/>
      <c r="AE175" s="1854"/>
      <c r="AF175" s="1854"/>
      <c r="AG175" s="1854"/>
      <c r="AH175" s="1854"/>
      <c r="AI175" s="1854"/>
      <c r="AJ175" s="1854"/>
      <c r="AK175" s="1854"/>
      <c r="AL175" s="1854"/>
      <c r="AM175" s="1854"/>
      <c r="AN175" s="1854"/>
      <c r="AO175" s="1854"/>
      <c r="AP175" s="1854"/>
      <c r="AQ175" s="1854"/>
      <c r="AR175" s="1854"/>
      <c r="AS175" s="1854"/>
      <c r="AT175" s="1854"/>
      <c r="AU175" s="1854"/>
      <c r="AV175" s="1854"/>
      <c r="AW175" s="1854"/>
      <c r="AX175" s="1854"/>
      <c r="AY175" s="1854"/>
      <c r="AZ175" s="1854"/>
      <c r="BA175" s="1854"/>
      <c r="BB175" s="1854"/>
      <c r="BC175" s="1854"/>
      <c r="BD175" s="1860"/>
      <c r="BE175" s="1860"/>
    </row>
    <row r="176" spans="1:57" ht="15.75" customHeight="1">
      <c r="A176" s="1854"/>
      <c r="B176" s="1896"/>
      <c r="C176" s="1854"/>
      <c r="D176" s="1854"/>
      <c r="E176" s="1854"/>
      <c r="F176" s="1854"/>
      <c r="G176" s="1854"/>
      <c r="H176" s="1854"/>
      <c r="I176" s="1854"/>
      <c r="J176" s="1854"/>
      <c r="K176" s="1854"/>
      <c r="L176" s="1854"/>
      <c r="M176" s="1854"/>
      <c r="N176" s="1854"/>
      <c r="O176" s="1854"/>
      <c r="P176" s="1854"/>
      <c r="Q176" s="1854"/>
      <c r="R176" s="1854"/>
      <c r="S176" s="1854"/>
      <c r="T176" s="1854"/>
      <c r="U176" s="1854"/>
      <c r="V176" s="1854"/>
      <c r="W176" s="1854"/>
      <c r="X176" s="1854"/>
      <c r="Y176" s="1854"/>
      <c r="Z176" s="1854"/>
      <c r="AA176" s="1854"/>
      <c r="AB176" s="1854"/>
      <c r="AC176" s="1854"/>
      <c r="AD176" s="1854"/>
      <c r="AE176" s="1854"/>
      <c r="AF176" s="1854"/>
      <c r="AG176" s="1854"/>
      <c r="AH176" s="1854"/>
      <c r="AI176" s="1854"/>
      <c r="AJ176" s="1854"/>
      <c r="AK176" s="1854"/>
      <c r="AL176" s="1854"/>
      <c r="AM176" s="1854"/>
      <c r="AN176" s="1854"/>
      <c r="AO176" s="1854"/>
      <c r="AP176" s="1854"/>
      <c r="AQ176" s="1854"/>
      <c r="AR176" s="1854"/>
      <c r="AS176" s="1854"/>
      <c r="AT176" s="1854"/>
      <c r="AU176" s="1854"/>
      <c r="AV176" s="1854"/>
      <c r="AW176" s="1854"/>
      <c r="AX176" s="1854"/>
      <c r="AY176" s="1854"/>
      <c r="AZ176" s="1854"/>
      <c r="BA176" s="1854"/>
      <c r="BB176" s="1854"/>
      <c r="BC176" s="1854"/>
      <c r="BD176" s="1860"/>
      <c r="BE176" s="1860"/>
    </row>
    <row r="177" spans="1:57" ht="15.75" customHeight="1">
      <c r="A177" s="1854"/>
      <c r="B177" s="1896"/>
      <c r="C177" s="1854"/>
      <c r="D177" s="1854"/>
      <c r="E177" s="1854"/>
      <c r="F177" s="1854"/>
      <c r="G177" s="1854"/>
      <c r="H177" s="3247" t="s">
        <v>1923</v>
      </c>
      <c r="I177" s="3247"/>
      <c r="J177" s="3247"/>
      <c r="K177" s="3247"/>
      <c r="L177" s="3247"/>
      <c r="M177" s="3247"/>
      <c r="N177" s="3247"/>
      <c r="O177" s="3247"/>
      <c r="P177" s="3247"/>
      <c r="Q177" s="3247"/>
      <c r="R177" s="3247"/>
      <c r="S177" s="3247"/>
      <c r="T177" s="3247"/>
      <c r="U177" s="3247"/>
      <c r="V177" s="3247"/>
      <c r="W177" s="3247"/>
      <c r="X177" s="3247"/>
      <c r="Y177" s="3247"/>
      <c r="Z177" s="3247"/>
      <c r="AA177" s="3247"/>
      <c r="AB177" s="3247"/>
      <c r="AC177" s="3247"/>
      <c r="AD177" s="3247"/>
      <c r="AE177" s="3247"/>
      <c r="AF177" s="3247"/>
      <c r="AG177" s="3247"/>
      <c r="AH177" s="3247"/>
      <c r="AI177" s="3247"/>
      <c r="AJ177" s="3247"/>
      <c r="AK177" s="3247"/>
      <c r="AL177" s="3247"/>
      <c r="AM177" s="3247"/>
      <c r="AN177" s="3247"/>
      <c r="AO177" s="3247"/>
      <c r="AP177" s="3247"/>
      <c r="AQ177" s="3247"/>
      <c r="AR177" s="3247"/>
      <c r="AS177" s="3247"/>
      <c r="AT177" s="3247"/>
      <c r="AU177" s="3247"/>
      <c r="AV177" s="3247"/>
      <c r="AW177" s="3247"/>
      <c r="AX177" s="3247"/>
      <c r="AY177" s="3247"/>
      <c r="AZ177" s="1854"/>
      <c r="BA177" s="1854"/>
      <c r="BB177" s="1854"/>
      <c r="BC177" s="1854"/>
      <c r="BD177" s="1860"/>
      <c r="BE177" s="1860"/>
    </row>
    <row r="178" spans="1:57" ht="15.75" customHeight="1">
      <c r="A178" s="1854"/>
      <c r="B178" s="1896"/>
      <c r="C178" s="1854"/>
      <c r="D178" s="1854"/>
      <c r="E178" s="1854"/>
      <c r="F178" s="1854"/>
      <c r="G178" s="1854"/>
      <c r="H178" s="1854"/>
      <c r="I178" s="1854"/>
      <c r="J178" s="1854"/>
      <c r="K178" s="1854"/>
      <c r="L178" s="1854"/>
      <c r="M178" s="1854"/>
      <c r="N178" s="1854"/>
      <c r="O178" s="1854"/>
      <c r="P178" s="1854"/>
      <c r="Q178" s="1854"/>
      <c r="R178" s="1854"/>
      <c r="S178" s="1854"/>
      <c r="T178" s="1854"/>
      <c r="U178" s="1854"/>
      <c r="V178" s="1854"/>
      <c r="W178" s="1854"/>
      <c r="X178" s="1854"/>
      <c r="Y178" s="1854"/>
      <c r="Z178" s="1854"/>
      <c r="AA178" s="1854"/>
      <c r="AB178" s="1854"/>
      <c r="AC178" s="1854"/>
      <c r="AD178" s="1854"/>
      <c r="AE178" s="1854"/>
      <c r="AF178" s="1854"/>
      <c r="AG178" s="1854"/>
      <c r="AH178" s="1854"/>
      <c r="AI178" s="1854"/>
      <c r="AJ178" s="1854"/>
      <c r="AK178" s="1854"/>
      <c r="AL178" s="1854"/>
      <c r="AM178" s="1854"/>
      <c r="AN178" s="1854"/>
      <c r="AO178" s="1854"/>
      <c r="AP178" s="1854"/>
      <c r="AQ178" s="1854"/>
      <c r="AR178" s="1854"/>
      <c r="AS178" s="1854"/>
      <c r="AT178" s="1854"/>
      <c r="AU178" s="1854"/>
      <c r="AV178" s="1854"/>
      <c r="AW178" s="1854"/>
      <c r="AX178" s="1854"/>
      <c r="AY178" s="1854"/>
      <c r="AZ178" s="1854"/>
      <c r="BA178" s="1854"/>
      <c r="BB178" s="1854"/>
      <c r="BC178" s="1854"/>
      <c r="BD178" s="1860"/>
      <c r="BE178" s="1860"/>
    </row>
    <row r="179" spans="1:57" ht="15.75" customHeight="1">
      <c r="A179" s="1854"/>
      <c r="B179" s="1896"/>
      <c r="C179" s="1854"/>
      <c r="D179" s="1854"/>
      <c r="E179" s="1854"/>
      <c r="F179" s="1854"/>
      <c r="G179" s="1854"/>
      <c r="H179" s="3266" t="s">
        <v>2601</v>
      </c>
      <c r="I179" s="3266"/>
      <c r="J179" s="3266"/>
      <c r="K179" s="3266"/>
      <c r="L179" s="3266"/>
      <c r="M179" s="3266"/>
      <c r="N179" s="3266"/>
      <c r="O179" s="3266"/>
      <c r="P179" s="3266"/>
      <c r="Q179" s="3266"/>
      <c r="R179" s="3266"/>
      <c r="S179" s="3266"/>
      <c r="T179" s="3266"/>
      <c r="U179" s="3266"/>
      <c r="V179" s="3266"/>
      <c r="W179" s="3266"/>
      <c r="X179" s="3266"/>
      <c r="Y179" s="3266"/>
      <c r="Z179" s="3266"/>
      <c r="AA179" s="3266"/>
      <c r="AB179" s="3266"/>
      <c r="AC179" s="3266"/>
      <c r="AD179" s="3266"/>
      <c r="AE179" s="3266"/>
      <c r="AF179" s="3266"/>
      <c r="AG179" s="3266"/>
      <c r="AH179" s="3266"/>
      <c r="AI179" s="3266"/>
      <c r="AJ179" s="3266"/>
      <c r="AK179" s="3266"/>
      <c r="AL179" s="3266"/>
      <c r="AM179" s="3266"/>
      <c r="AN179" s="3266"/>
      <c r="AO179" s="3266"/>
      <c r="AP179" s="3266"/>
      <c r="AQ179" s="3266"/>
      <c r="AR179" s="3266"/>
      <c r="AS179" s="3266"/>
      <c r="AT179" s="3266"/>
      <c r="AU179" s="3266"/>
      <c r="AV179" s="3266"/>
      <c r="AW179" s="3266"/>
      <c r="AX179" s="3266"/>
      <c r="AY179" s="3266"/>
      <c r="AZ179" s="3266"/>
      <c r="BA179" s="1854"/>
      <c r="BB179" s="1854"/>
      <c r="BC179" s="1854"/>
      <c r="BD179" s="1860"/>
      <c r="BE179" s="1860"/>
    </row>
    <row r="180" spans="1:57" ht="15.75" customHeight="1">
      <c r="A180" s="1854"/>
      <c r="B180" s="1853"/>
      <c r="C180" s="1854"/>
      <c r="D180" s="1854"/>
      <c r="E180" s="1854"/>
      <c r="F180" s="1854"/>
      <c r="G180" s="1854"/>
      <c r="H180" s="3266"/>
      <c r="I180" s="3266"/>
      <c r="J180" s="3266"/>
      <c r="K180" s="3266"/>
      <c r="L180" s="3266"/>
      <c r="M180" s="3266"/>
      <c r="N180" s="3266"/>
      <c r="O180" s="3266"/>
      <c r="P180" s="3266"/>
      <c r="Q180" s="3266"/>
      <c r="R180" s="3266"/>
      <c r="S180" s="3266"/>
      <c r="T180" s="3266"/>
      <c r="U180" s="3266"/>
      <c r="V180" s="3266"/>
      <c r="W180" s="3266"/>
      <c r="X180" s="3266"/>
      <c r="Y180" s="3266"/>
      <c r="Z180" s="3266"/>
      <c r="AA180" s="3266"/>
      <c r="AB180" s="3266"/>
      <c r="AC180" s="3266"/>
      <c r="AD180" s="3266"/>
      <c r="AE180" s="3266"/>
      <c r="AF180" s="3266"/>
      <c r="AG180" s="3266"/>
      <c r="AH180" s="3266"/>
      <c r="AI180" s="3266"/>
      <c r="AJ180" s="3266"/>
      <c r="AK180" s="3266"/>
      <c r="AL180" s="3266"/>
      <c r="AM180" s="3266"/>
      <c r="AN180" s="3266"/>
      <c r="AO180" s="3266"/>
      <c r="AP180" s="3266"/>
      <c r="AQ180" s="3266"/>
      <c r="AR180" s="3266"/>
      <c r="AS180" s="3266"/>
      <c r="AT180" s="3266"/>
      <c r="AU180" s="3266"/>
      <c r="AV180" s="3266"/>
      <c r="AW180" s="3266"/>
      <c r="AX180" s="3266"/>
      <c r="AY180" s="3266"/>
      <c r="AZ180" s="3266"/>
      <c r="BA180" s="1854"/>
      <c r="BB180" s="1854"/>
      <c r="BC180" s="1854"/>
      <c r="BD180" s="1860"/>
      <c r="BE180" s="1860"/>
    </row>
    <row r="181" spans="1:57" ht="15.75" customHeight="1">
      <c r="A181" s="1854"/>
      <c r="B181" s="1853"/>
      <c r="C181" s="1854"/>
      <c r="D181" s="1854"/>
      <c r="E181" s="1854"/>
      <c r="F181" s="1854"/>
      <c r="G181" s="1854"/>
      <c r="H181" s="3266"/>
      <c r="I181" s="3266"/>
      <c r="J181" s="3266"/>
      <c r="K181" s="3266"/>
      <c r="L181" s="3266"/>
      <c r="M181" s="3266"/>
      <c r="N181" s="3266"/>
      <c r="O181" s="3266"/>
      <c r="P181" s="3266"/>
      <c r="Q181" s="3266"/>
      <c r="R181" s="3266"/>
      <c r="S181" s="3266"/>
      <c r="T181" s="3266"/>
      <c r="U181" s="3266"/>
      <c r="V181" s="3266"/>
      <c r="W181" s="3266"/>
      <c r="X181" s="3266"/>
      <c r="Y181" s="3266"/>
      <c r="Z181" s="3266"/>
      <c r="AA181" s="3266"/>
      <c r="AB181" s="3266"/>
      <c r="AC181" s="3266"/>
      <c r="AD181" s="3266"/>
      <c r="AE181" s="3266"/>
      <c r="AF181" s="3266"/>
      <c r="AG181" s="3266"/>
      <c r="AH181" s="3266"/>
      <c r="AI181" s="3266"/>
      <c r="AJ181" s="3266"/>
      <c r="AK181" s="3266"/>
      <c r="AL181" s="3266"/>
      <c r="AM181" s="3266"/>
      <c r="AN181" s="3266"/>
      <c r="AO181" s="3266"/>
      <c r="AP181" s="3266"/>
      <c r="AQ181" s="3266"/>
      <c r="AR181" s="3266"/>
      <c r="AS181" s="3266"/>
      <c r="AT181" s="3266"/>
      <c r="AU181" s="3266"/>
      <c r="AV181" s="3266"/>
      <c r="AW181" s="3266"/>
      <c r="AX181" s="3266"/>
      <c r="AY181" s="3266"/>
      <c r="AZ181" s="3266"/>
      <c r="BA181" s="1854"/>
      <c r="BB181" s="1854"/>
      <c r="BC181" s="1854"/>
      <c r="BD181" s="1860"/>
      <c r="BE181" s="1860"/>
    </row>
    <row r="182" spans="1:57" ht="15.75" customHeight="1">
      <c r="A182" s="1854"/>
      <c r="B182" s="1853"/>
      <c r="C182" s="1854"/>
      <c r="D182" s="1854"/>
      <c r="E182" s="1854"/>
      <c r="F182" s="1854"/>
      <c r="G182" s="1854"/>
      <c r="H182" s="3266"/>
      <c r="I182" s="3266"/>
      <c r="J182" s="3266"/>
      <c r="K182" s="3266"/>
      <c r="L182" s="3266"/>
      <c r="M182" s="3266"/>
      <c r="N182" s="3266"/>
      <c r="O182" s="3266"/>
      <c r="P182" s="3266"/>
      <c r="Q182" s="3266"/>
      <c r="R182" s="3266"/>
      <c r="S182" s="3266"/>
      <c r="T182" s="3266"/>
      <c r="U182" s="3266"/>
      <c r="V182" s="3266"/>
      <c r="W182" s="3266"/>
      <c r="X182" s="3266"/>
      <c r="Y182" s="3266"/>
      <c r="Z182" s="3266"/>
      <c r="AA182" s="3266"/>
      <c r="AB182" s="3266"/>
      <c r="AC182" s="3266"/>
      <c r="AD182" s="3266"/>
      <c r="AE182" s="3266"/>
      <c r="AF182" s="3266"/>
      <c r="AG182" s="3266"/>
      <c r="AH182" s="3266"/>
      <c r="AI182" s="3266"/>
      <c r="AJ182" s="3266"/>
      <c r="AK182" s="3266"/>
      <c r="AL182" s="3266"/>
      <c r="AM182" s="3266"/>
      <c r="AN182" s="3266"/>
      <c r="AO182" s="3266"/>
      <c r="AP182" s="3266"/>
      <c r="AQ182" s="3266"/>
      <c r="AR182" s="3266"/>
      <c r="AS182" s="3266"/>
      <c r="AT182" s="3266"/>
      <c r="AU182" s="3266"/>
      <c r="AV182" s="3266"/>
      <c r="AW182" s="3266"/>
      <c r="AX182" s="3266"/>
      <c r="AY182" s="3266"/>
      <c r="AZ182" s="3266"/>
      <c r="BA182" s="1854"/>
      <c r="BB182" s="1854"/>
      <c r="BC182" s="1854"/>
      <c r="BD182" s="1860"/>
      <c r="BE182" s="1860"/>
    </row>
    <row r="183" spans="1:57" ht="15.75" customHeight="1">
      <c r="A183" s="1854"/>
      <c r="B183" s="1853"/>
      <c r="C183" s="1854"/>
      <c r="D183" s="1854"/>
      <c r="E183" s="1854"/>
      <c r="F183" s="1854"/>
      <c r="G183" s="1854"/>
      <c r="H183" s="1854"/>
      <c r="I183" s="1854"/>
      <c r="J183" s="1854"/>
      <c r="K183" s="1854"/>
      <c r="L183" s="1854"/>
      <c r="M183" s="1854"/>
      <c r="N183" s="1854"/>
      <c r="O183" s="1854"/>
      <c r="P183" s="1854"/>
      <c r="Q183" s="1854"/>
      <c r="R183" s="1854"/>
      <c r="S183" s="1854"/>
      <c r="T183" s="1854"/>
      <c r="U183" s="1854"/>
      <c r="V183" s="1854"/>
      <c r="W183" s="1854"/>
      <c r="X183" s="1854"/>
      <c r="Y183" s="1854"/>
      <c r="Z183" s="1854"/>
      <c r="AA183" s="1854"/>
      <c r="AB183" s="1854"/>
      <c r="AC183" s="1854"/>
      <c r="AD183" s="1854"/>
      <c r="AE183" s="1854"/>
      <c r="AF183" s="1854"/>
      <c r="AG183" s="1854"/>
      <c r="AH183" s="1854"/>
      <c r="AI183" s="1854"/>
      <c r="AJ183" s="1854"/>
      <c r="AK183" s="1854"/>
      <c r="AL183" s="1854"/>
      <c r="AM183" s="1854"/>
      <c r="AN183" s="1854"/>
      <c r="AO183" s="1854"/>
      <c r="AP183" s="1854"/>
      <c r="AQ183" s="1854"/>
      <c r="AR183" s="1854"/>
      <c r="AS183" s="1854"/>
      <c r="AT183" s="1854"/>
      <c r="AU183" s="1854"/>
      <c r="AV183" s="1854"/>
      <c r="AW183" s="1854"/>
      <c r="AX183" s="1854"/>
      <c r="AY183" s="1854"/>
      <c r="AZ183" s="1854"/>
      <c r="BA183" s="1854"/>
      <c r="BB183" s="1854"/>
      <c r="BC183" s="1854"/>
      <c r="BD183" s="1860"/>
      <c r="BE183" s="1860"/>
    </row>
    <row r="184" spans="1:57" ht="15.75" customHeight="1" thickBot="1">
      <c r="A184" s="1854"/>
      <c r="B184" s="1897"/>
      <c r="C184" s="1898"/>
      <c r="D184" s="1898"/>
      <c r="E184" s="1898"/>
      <c r="F184" s="1898"/>
      <c r="G184" s="1898"/>
      <c r="H184" s="3267" t="s">
        <v>1924</v>
      </c>
      <c r="I184" s="3267"/>
      <c r="J184" s="3267"/>
      <c r="K184" s="3267"/>
      <c r="L184" s="3267"/>
      <c r="M184" s="3267"/>
      <c r="N184" s="3267"/>
      <c r="O184" s="3267"/>
      <c r="P184" s="3267"/>
      <c r="Q184" s="3267"/>
      <c r="R184" s="3267"/>
      <c r="S184" s="3267"/>
      <c r="T184" s="3267"/>
      <c r="U184" s="3267"/>
      <c r="V184" s="3267"/>
      <c r="W184" s="3267"/>
      <c r="X184" s="3267"/>
      <c r="Y184" s="3267"/>
      <c r="Z184" s="3267"/>
      <c r="AA184" s="3267"/>
      <c r="AB184" s="3267"/>
      <c r="AC184" s="3267"/>
      <c r="AD184" s="3267"/>
      <c r="AE184" s="3267"/>
      <c r="AF184" s="3267"/>
      <c r="AG184" s="3267"/>
      <c r="AH184" s="3267"/>
      <c r="AI184" s="3267"/>
      <c r="AJ184" s="3267"/>
      <c r="AK184" s="3267"/>
      <c r="AL184" s="3267"/>
      <c r="AM184" s="3267"/>
      <c r="AN184" s="3267"/>
      <c r="AO184" s="3267"/>
      <c r="AP184" s="3267"/>
      <c r="AQ184" s="3267"/>
      <c r="AR184" s="3267"/>
      <c r="AS184" s="3267"/>
      <c r="AT184" s="3267"/>
      <c r="AU184" s="3267"/>
      <c r="AV184" s="3267"/>
      <c r="AW184" s="1898"/>
      <c r="AX184" s="1898"/>
      <c r="AY184" s="1898"/>
      <c r="AZ184" s="1898"/>
      <c r="BA184" s="1898"/>
      <c r="BB184" s="1898"/>
      <c r="BC184" s="1898"/>
      <c r="BD184" s="1899"/>
      <c r="BE184" s="1860"/>
    </row>
    <row r="185" spans="1:57" ht="15.75" customHeight="1" thickBot="1">
      <c r="A185" s="1854"/>
      <c r="B185" s="1900"/>
      <c r="C185" s="1869"/>
      <c r="D185" s="1869"/>
      <c r="E185" s="1869"/>
      <c r="F185" s="1869"/>
      <c r="G185" s="1869"/>
      <c r="H185" s="1869"/>
      <c r="I185" s="1869"/>
      <c r="J185" s="1869"/>
      <c r="K185" s="1869"/>
      <c r="L185" s="1869"/>
      <c r="M185" s="1869"/>
      <c r="N185" s="1869"/>
      <c r="O185" s="1869"/>
      <c r="P185" s="1869"/>
      <c r="Q185" s="1869"/>
      <c r="R185" s="1869"/>
      <c r="S185" s="1869"/>
      <c r="T185" s="1869"/>
      <c r="U185" s="1869"/>
      <c r="V185" s="1869"/>
      <c r="W185" s="1869"/>
      <c r="X185" s="1869"/>
      <c r="Y185" s="1869"/>
      <c r="Z185" s="1869"/>
      <c r="AA185" s="1869"/>
      <c r="AB185" s="1869"/>
      <c r="AC185" s="1869"/>
      <c r="AD185" s="1869"/>
      <c r="AE185" s="1869"/>
      <c r="AF185" s="1869"/>
      <c r="AG185" s="1869"/>
      <c r="AH185" s="1869"/>
      <c r="AI185" s="1869"/>
      <c r="AJ185" s="1869"/>
      <c r="AK185" s="1869"/>
      <c r="AL185" s="1869"/>
      <c r="AM185" s="1869"/>
      <c r="AN185" s="1869"/>
      <c r="AO185" s="1869"/>
      <c r="AP185" s="1869"/>
      <c r="AQ185" s="1869"/>
      <c r="AR185" s="1869"/>
      <c r="AS185" s="1869"/>
      <c r="AT185" s="1869"/>
      <c r="AU185" s="1869"/>
      <c r="AV185" s="1869"/>
      <c r="AW185" s="1869"/>
      <c r="AX185" s="1869"/>
      <c r="AY185" s="1869"/>
      <c r="AZ185" s="1869"/>
      <c r="BA185" s="1869"/>
      <c r="BB185" s="1869"/>
      <c r="BC185" s="1869"/>
      <c r="BD185" s="1901"/>
      <c r="BE185" s="1860"/>
    </row>
    <row r="186" spans="1:57" ht="30" customHeight="1" thickBot="1">
      <c r="A186" s="1854"/>
      <c r="B186" s="1900"/>
      <c r="C186" s="1869"/>
      <c r="D186" s="1869"/>
      <c r="E186" s="1869"/>
      <c r="F186" s="1869"/>
      <c r="G186" s="1869"/>
      <c r="H186" s="3257" t="s">
        <v>1925</v>
      </c>
      <c r="I186" s="3257"/>
      <c r="J186" s="3257"/>
      <c r="K186" s="3257"/>
      <c r="L186" s="1869"/>
      <c r="M186" s="1869"/>
      <c r="N186" s="1869"/>
      <c r="O186" s="1869"/>
      <c r="P186" s="1869"/>
      <c r="Q186" s="1869"/>
      <c r="R186" s="1869"/>
      <c r="S186" s="3268"/>
      <c r="T186" s="3264"/>
      <c r="U186" s="3264"/>
      <c r="V186" s="3264"/>
      <c r="W186" s="3264"/>
      <c r="X186" s="3264"/>
      <c r="Y186" s="3264"/>
      <c r="Z186" s="3264"/>
      <c r="AA186" s="3264"/>
      <c r="AB186" s="3264"/>
      <c r="AC186" s="3264"/>
      <c r="AD186" s="3264"/>
      <c r="AE186" s="3264"/>
      <c r="AF186" s="3264"/>
      <c r="AG186" s="3264"/>
      <c r="AH186" s="3264"/>
      <c r="AI186" s="3264"/>
      <c r="AJ186" s="3265"/>
      <c r="AK186" s="1869"/>
      <c r="AL186" s="1869"/>
      <c r="AM186" s="1869"/>
      <c r="AN186" s="1869"/>
      <c r="AO186" s="1869"/>
      <c r="AP186" s="1869"/>
      <c r="AQ186" s="1869"/>
      <c r="AR186" s="1869"/>
      <c r="AS186" s="1869"/>
      <c r="AT186" s="1869"/>
      <c r="AU186" s="1869"/>
      <c r="AV186" s="1869"/>
      <c r="AW186" s="1869"/>
      <c r="AX186" s="1869"/>
      <c r="AY186" s="1869"/>
      <c r="AZ186" s="1869"/>
      <c r="BA186" s="1869"/>
      <c r="BB186" s="1869"/>
      <c r="BC186" s="1869"/>
      <c r="BD186" s="1901"/>
      <c r="BE186" s="1860"/>
    </row>
    <row r="187" spans="1:57" ht="15.75" customHeight="1" thickBot="1">
      <c r="A187" s="1854"/>
      <c r="B187" s="1900"/>
      <c r="C187" s="1869"/>
      <c r="D187" s="1869"/>
      <c r="E187" s="1869"/>
      <c r="F187" s="1869"/>
      <c r="G187" s="1869"/>
      <c r="H187" s="1902"/>
      <c r="I187" s="1902"/>
      <c r="J187" s="1902"/>
      <c r="K187" s="1902"/>
      <c r="L187" s="1869"/>
      <c r="M187" s="1869"/>
      <c r="N187" s="1869"/>
      <c r="O187" s="1869"/>
      <c r="P187" s="1869"/>
      <c r="Q187" s="1869"/>
      <c r="R187" s="1869"/>
      <c r="S187" s="1869"/>
      <c r="T187" s="1869"/>
      <c r="U187" s="1869"/>
      <c r="V187" s="1869"/>
      <c r="W187" s="1869"/>
      <c r="X187" s="1869"/>
      <c r="Y187" s="1869"/>
      <c r="Z187" s="1869"/>
      <c r="AA187" s="1869"/>
      <c r="AB187" s="1869"/>
      <c r="AC187" s="1869"/>
      <c r="AD187" s="1869"/>
      <c r="AE187" s="1869"/>
      <c r="AF187" s="1869"/>
      <c r="AG187" s="1869"/>
      <c r="AH187" s="1869"/>
      <c r="AI187" s="1869"/>
      <c r="AJ187" s="1869"/>
      <c r="AK187" s="1869"/>
      <c r="AL187" s="1869"/>
      <c r="AM187" s="1869"/>
      <c r="AN187" s="1869"/>
      <c r="AO187" s="1869"/>
      <c r="AP187" s="1869"/>
      <c r="AQ187" s="1869"/>
      <c r="AR187" s="1869"/>
      <c r="AS187" s="1869"/>
      <c r="AT187" s="1869"/>
      <c r="AU187" s="1869"/>
      <c r="AV187" s="1869"/>
      <c r="AW187" s="1869"/>
      <c r="AX187" s="1869"/>
      <c r="AY187" s="1869"/>
      <c r="AZ187" s="1869"/>
      <c r="BA187" s="1869"/>
      <c r="BB187" s="1869"/>
      <c r="BC187" s="1869"/>
      <c r="BD187" s="1901"/>
      <c r="BE187" s="1860"/>
    </row>
    <row r="188" spans="1:57" ht="15.75" customHeight="1" thickBot="1">
      <c r="A188" s="1854"/>
      <c r="B188" s="1900"/>
      <c r="C188" s="1869"/>
      <c r="D188" s="1869"/>
      <c r="E188" s="1869"/>
      <c r="F188" s="1869"/>
      <c r="G188" s="1869"/>
      <c r="H188" s="3257" t="s">
        <v>1926</v>
      </c>
      <c r="I188" s="3257"/>
      <c r="J188" s="3257"/>
      <c r="K188" s="1902"/>
      <c r="L188" s="1869"/>
      <c r="M188" s="1869"/>
      <c r="N188" s="1869"/>
      <c r="O188" s="1869"/>
      <c r="P188" s="1869"/>
      <c r="Q188" s="1869"/>
      <c r="R188" s="1869"/>
      <c r="S188" s="3258" t="s">
        <v>2788</v>
      </c>
      <c r="T188" s="3259"/>
      <c r="U188" s="3259"/>
      <c r="V188" s="3259"/>
      <c r="W188" s="3259"/>
      <c r="X188" s="3259"/>
      <c r="Y188" s="3259"/>
      <c r="Z188" s="3259"/>
      <c r="AA188" s="3259"/>
      <c r="AB188" s="3259"/>
      <c r="AC188" s="3259"/>
      <c r="AD188" s="3259"/>
      <c r="AE188" s="3259"/>
      <c r="AF188" s="3259"/>
      <c r="AG188" s="3259"/>
      <c r="AH188" s="3259"/>
      <c r="AI188" s="3259"/>
      <c r="AJ188" s="3260"/>
      <c r="AK188" s="1869"/>
      <c r="AL188" s="1869"/>
      <c r="AM188" s="1869"/>
      <c r="AN188" s="1869"/>
      <c r="AO188" s="1869"/>
      <c r="AP188" s="1869"/>
      <c r="AQ188" s="1869"/>
      <c r="AR188" s="1869"/>
      <c r="AS188" s="1869"/>
      <c r="AT188" s="1869"/>
      <c r="AU188" s="1869"/>
      <c r="AV188" s="1869"/>
      <c r="AW188" s="1869"/>
      <c r="AX188" s="1869"/>
      <c r="AY188" s="1869"/>
      <c r="AZ188" s="1869"/>
      <c r="BA188" s="1869"/>
      <c r="BB188" s="1869"/>
      <c r="BC188" s="1869"/>
      <c r="BD188" s="1901"/>
      <c r="BE188" s="1860"/>
    </row>
    <row r="189" spans="1:57" ht="15.75" customHeight="1" thickBot="1">
      <c r="A189" s="1854"/>
      <c r="B189" s="1900"/>
      <c r="C189" s="1869"/>
      <c r="D189" s="1869"/>
      <c r="E189" s="1869"/>
      <c r="F189" s="1869"/>
      <c r="G189" s="1869"/>
      <c r="H189" s="1902"/>
      <c r="I189" s="1902"/>
      <c r="J189" s="1902"/>
      <c r="K189" s="1902"/>
      <c r="L189" s="1869"/>
      <c r="M189" s="1869"/>
      <c r="N189" s="1869"/>
      <c r="O189" s="1869"/>
      <c r="P189" s="1869"/>
      <c r="Q189" s="1869"/>
      <c r="R189" s="1869"/>
      <c r="S189" s="1869"/>
      <c r="T189" s="1869"/>
      <c r="U189" s="1869"/>
      <c r="V189" s="1869"/>
      <c r="W189" s="1869"/>
      <c r="X189" s="1869"/>
      <c r="Y189" s="1869"/>
      <c r="Z189" s="1869"/>
      <c r="AA189" s="1869"/>
      <c r="AB189" s="1869"/>
      <c r="AC189" s="1869"/>
      <c r="AD189" s="1869"/>
      <c r="AE189" s="1869"/>
      <c r="AF189" s="1869"/>
      <c r="AG189" s="1869"/>
      <c r="AH189" s="1869"/>
      <c r="AI189" s="1869"/>
      <c r="AJ189" s="1869"/>
      <c r="AK189" s="1869"/>
      <c r="AL189" s="1869"/>
      <c r="AM189" s="1869"/>
      <c r="AN189" s="1869"/>
      <c r="AO189" s="1869"/>
      <c r="AP189" s="1869"/>
      <c r="AQ189" s="1869"/>
      <c r="AR189" s="1869"/>
      <c r="AS189" s="1869"/>
      <c r="AT189" s="1869"/>
      <c r="AU189" s="1869"/>
      <c r="AV189" s="1869"/>
      <c r="AW189" s="1869"/>
      <c r="AX189" s="1869"/>
      <c r="AY189" s="1869"/>
      <c r="AZ189" s="1869"/>
      <c r="BA189" s="1869"/>
      <c r="BB189" s="1869"/>
      <c r="BC189" s="1869"/>
      <c r="BD189" s="1901"/>
      <c r="BE189" s="1860"/>
    </row>
    <row r="190" spans="1:57" ht="15.75" customHeight="1" thickBot="1">
      <c r="A190" s="1854"/>
      <c r="B190" s="1900"/>
      <c r="C190" s="1869"/>
      <c r="D190" s="1869"/>
      <c r="E190" s="1869"/>
      <c r="F190" s="1869"/>
      <c r="G190" s="1869"/>
      <c r="H190" s="3257" t="s">
        <v>444</v>
      </c>
      <c r="I190" s="3257"/>
      <c r="J190" s="1902"/>
      <c r="K190" s="1902"/>
      <c r="L190" s="1869"/>
      <c r="M190" s="1869"/>
      <c r="N190" s="1869"/>
      <c r="O190" s="1869"/>
      <c r="P190" s="1869"/>
      <c r="Q190" s="1869"/>
      <c r="R190" s="1869"/>
      <c r="S190" s="3258" t="s">
        <v>2789</v>
      </c>
      <c r="T190" s="3259"/>
      <c r="U190" s="3259"/>
      <c r="V190" s="3259"/>
      <c r="W190" s="3259"/>
      <c r="X190" s="3259"/>
      <c r="Y190" s="3259"/>
      <c r="Z190" s="3259"/>
      <c r="AA190" s="3259"/>
      <c r="AB190" s="3259"/>
      <c r="AC190" s="3259"/>
      <c r="AD190" s="3259"/>
      <c r="AE190" s="3259"/>
      <c r="AF190" s="3259"/>
      <c r="AG190" s="3259"/>
      <c r="AH190" s="3259"/>
      <c r="AI190" s="3259"/>
      <c r="AJ190" s="3260"/>
      <c r="AK190" s="1869"/>
      <c r="AL190" s="1869"/>
      <c r="AM190" s="1869"/>
      <c r="AN190" s="1869"/>
      <c r="AO190" s="1869"/>
      <c r="AP190" s="1869"/>
      <c r="AQ190" s="1869"/>
      <c r="AR190" s="1869"/>
      <c r="AS190" s="1869"/>
      <c r="AT190" s="1869"/>
      <c r="AU190" s="1869"/>
      <c r="AV190" s="1869"/>
      <c r="AW190" s="1869"/>
      <c r="AX190" s="1869"/>
      <c r="AY190" s="1869"/>
      <c r="AZ190" s="1869"/>
      <c r="BA190" s="1869"/>
      <c r="BB190" s="1869"/>
      <c r="BC190" s="1869"/>
      <c r="BD190" s="1901"/>
      <c r="BE190" s="1860"/>
    </row>
    <row r="191" spans="1:57" ht="15.75" customHeight="1" thickBot="1">
      <c r="A191" s="1854"/>
      <c r="B191" s="1900"/>
      <c r="C191" s="1869"/>
      <c r="D191" s="1869"/>
      <c r="E191" s="1869"/>
      <c r="F191" s="1869"/>
      <c r="G191" s="1869"/>
      <c r="H191" s="1869"/>
      <c r="I191" s="1869"/>
      <c r="J191" s="1869"/>
      <c r="K191" s="1869"/>
      <c r="L191" s="1869"/>
      <c r="M191" s="1869"/>
      <c r="N191" s="1869"/>
      <c r="O191" s="1869"/>
      <c r="P191" s="1869"/>
      <c r="Q191" s="1869"/>
      <c r="R191" s="1869"/>
      <c r="S191" s="1869"/>
      <c r="T191" s="1869"/>
      <c r="U191" s="1869"/>
      <c r="V191" s="1869"/>
      <c r="W191" s="1869"/>
      <c r="X191" s="1869"/>
      <c r="Y191" s="1869"/>
      <c r="Z191" s="1869"/>
      <c r="AA191" s="1869"/>
      <c r="AB191" s="1869"/>
      <c r="AC191" s="1869"/>
      <c r="AD191" s="1869"/>
      <c r="AE191" s="1869"/>
      <c r="AF191" s="1869"/>
      <c r="AG191" s="1869"/>
      <c r="AH191" s="1869"/>
      <c r="AI191" s="1869"/>
      <c r="AJ191" s="1869"/>
      <c r="AK191" s="1869"/>
      <c r="AL191" s="1869"/>
      <c r="AM191" s="1869"/>
      <c r="AN191" s="1869"/>
      <c r="AO191" s="1869"/>
      <c r="AP191" s="1869"/>
      <c r="AQ191" s="1869"/>
      <c r="AR191" s="1869"/>
      <c r="AS191" s="1869"/>
      <c r="AT191" s="1869"/>
      <c r="AU191" s="1869"/>
      <c r="AV191" s="1869"/>
      <c r="AW191" s="1869"/>
      <c r="AX191" s="1869"/>
      <c r="AY191" s="1869"/>
      <c r="AZ191" s="1869"/>
      <c r="BA191" s="1869"/>
      <c r="BB191" s="1869"/>
      <c r="BC191" s="1869"/>
      <c r="BD191" s="1901"/>
      <c r="BE191" s="1860"/>
    </row>
    <row r="192" spans="1:57" ht="15.75" customHeight="1" thickBot="1">
      <c r="A192" s="1854"/>
      <c r="B192" s="1900"/>
      <c r="C192" s="1869"/>
      <c r="D192" s="1869"/>
      <c r="E192" s="1869"/>
      <c r="F192" s="1869"/>
      <c r="G192" s="1869"/>
      <c r="H192" s="3261" t="s">
        <v>1927</v>
      </c>
      <c r="I192" s="3261"/>
      <c r="J192" s="3261"/>
      <c r="K192" s="3261"/>
      <c r="L192" s="3261"/>
      <c r="M192" s="3261"/>
      <c r="N192" s="3261"/>
      <c r="O192" s="3261"/>
      <c r="P192" s="1869"/>
      <c r="Q192" s="1869"/>
      <c r="R192" s="1869"/>
      <c r="S192" s="3258" t="s">
        <v>2613</v>
      </c>
      <c r="T192" s="3259"/>
      <c r="U192" s="3259"/>
      <c r="V192" s="3259"/>
      <c r="W192" s="3259"/>
      <c r="X192" s="3259"/>
      <c r="Y192" s="3259"/>
      <c r="Z192" s="3259"/>
      <c r="AA192" s="3259"/>
      <c r="AB192" s="3259"/>
      <c r="AC192" s="3259"/>
      <c r="AD192" s="3259"/>
      <c r="AE192" s="3259"/>
      <c r="AF192" s="3259"/>
      <c r="AG192" s="3259"/>
      <c r="AH192" s="3259"/>
      <c r="AI192" s="3259"/>
      <c r="AJ192" s="3260"/>
      <c r="AK192" s="1869"/>
      <c r="AL192" s="1869"/>
      <c r="AM192" s="1869"/>
      <c r="AN192" s="1869"/>
      <c r="AO192" s="1869"/>
      <c r="AP192" s="1869"/>
      <c r="AQ192" s="1869"/>
      <c r="AR192" s="1869"/>
      <c r="AS192" s="1869"/>
      <c r="AT192" s="1869"/>
      <c r="AU192" s="1869"/>
      <c r="AV192" s="1869"/>
      <c r="AW192" s="1869"/>
      <c r="AX192" s="1869"/>
      <c r="AY192" s="1869"/>
      <c r="AZ192" s="1869"/>
      <c r="BA192" s="1869"/>
      <c r="BB192" s="1869"/>
      <c r="BC192" s="1869"/>
      <c r="BD192" s="1901"/>
      <c r="BE192" s="1860"/>
    </row>
    <row r="193" spans="1:57" ht="15.75" customHeight="1" thickBot="1">
      <c r="A193" s="1854"/>
      <c r="B193" s="1900"/>
      <c r="C193" s="1869"/>
      <c r="D193" s="1869"/>
      <c r="E193" s="1869"/>
      <c r="F193" s="1869"/>
      <c r="G193" s="1869"/>
      <c r="H193" s="1869"/>
      <c r="I193" s="1869"/>
      <c r="J193" s="1869"/>
      <c r="K193" s="1869"/>
      <c r="L193" s="1869"/>
      <c r="M193" s="1869"/>
      <c r="N193" s="1869"/>
      <c r="O193" s="1869"/>
      <c r="P193" s="1869"/>
      <c r="Q193" s="1869"/>
      <c r="R193" s="1869"/>
      <c r="S193" s="1869"/>
      <c r="T193" s="1869"/>
      <c r="U193" s="1869"/>
      <c r="V193" s="1869"/>
      <c r="W193" s="1869"/>
      <c r="X193" s="1869"/>
      <c r="Y193" s="1869"/>
      <c r="Z193" s="1869"/>
      <c r="AA193" s="1869"/>
      <c r="AB193" s="1869"/>
      <c r="AC193" s="1869"/>
      <c r="AD193" s="1869"/>
      <c r="AE193" s="1869"/>
      <c r="AF193" s="1869"/>
      <c r="AG193" s="1869"/>
      <c r="AH193" s="1869"/>
      <c r="AI193" s="1869"/>
      <c r="AJ193" s="1869"/>
      <c r="AK193" s="1869"/>
      <c r="AL193" s="1869"/>
      <c r="AM193" s="1869"/>
      <c r="AN193" s="1869"/>
      <c r="AO193" s="1869"/>
      <c r="AP193" s="1869"/>
      <c r="AQ193" s="1869"/>
      <c r="AR193" s="1869"/>
      <c r="AS193" s="1869"/>
      <c r="AT193" s="1869"/>
      <c r="AU193" s="1869"/>
      <c r="AV193" s="1869"/>
      <c r="AW193" s="1869"/>
      <c r="AX193" s="1869"/>
      <c r="AY193" s="1869"/>
      <c r="AZ193" s="1869"/>
      <c r="BA193" s="1869"/>
      <c r="BB193" s="1869"/>
      <c r="BC193" s="1869"/>
      <c r="BD193" s="1901"/>
      <c r="BE193" s="1860"/>
    </row>
    <row r="194" spans="1:57" ht="15.75" customHeight="1" thickBot="1">
      <c r="A194" s="1854"/>
      <c r="B194" s="1900"/>
      <c r="C194" s="1869"/>
      <c r="D194" s="1869"/>
      <c r="E194" s="1869"/>
      <c r="F194" s="1869"/>
      <c r="G194" s="1869"/>
      <c r="H194" s="3262" t="s">
        <v>1928</v>
      </c>
      <c r="I194" s="3262"/>
      <c r="J194" s="1869"/>
      <c r="K194" s="1869"/>
      <c r="L194" s="1869"/>
      <c r="M194" s="1869"/>
      <c r="N194" s="1869"/>
      <c r="O194" s="1869"/>
      <c r="P194" s="1869"/>
      <c r="Q194" s="1869"/>
      <c r="R194" s="1869"/>
      <c r="S194" s="3263">
        <v>44963</v>
      </c>
      <c r="T194" s="3264"/>
      <c r="U194" s="3264"/>
      <c r="V194" s="3264"/>
      <c r="W194" s="3264"/>
      <c r="X194" s="3264"/>
      <c r="Y194" s="3264"/>
      <c r="Z194" s="3264"/>
      <c r="AA194" s="3264"/>
      <c r="AB194" s="3264"/>
      <c r="AC194" s="3264"/>
      <c r="AD194" s="3264"/>
      <c r="AE194" s="3264"/>
      <c r="AF194" s="3264"/>
      <c r="AG194" s="3264"/>
      <c r="AH194" s="3264"/>
      <c r="AI194" s="3264"/>
      <c r="AJ194" s="3265"/>
      <c r="AK194" s="1869"/>
      <c r="AL194" s="1869"/>
      <c r="AM194" s="1869"/>
      <c r="AN194" s="1869"/>
      <c r="AO194" s="1869"/>
      <c r="AP194" s="1869"/>
      <c r="AQ194" s="1869"/>
      <c r="AR194" s="1869"/>
      <c r="AS194" s="1869"/>
      <c r="AT194" s="1869"/>
      <c r="AU194" s="1869"/>
      <c r="AV194" s="1869"/>
      <c r="AW194" s="1869"/>
      <c r="AX194" s="1869"/>
      <c r="AY194" s="1869"/>
      <c r="AZ194" s="1869"/>
      <c r="BA194" s="1869"/>
      <c r="BB194" s="1869"/>
      <c r="BC194" s="1869"/>
      <c r="BD194" s="1901"/>
      <c r="BE194" s="1860"/>
    </row>
    <row r="195" spans="1:57" ht="15.75" customHeight="1" thickBot="1">
      <c r="A195" s="1854"/>
      <c r="B195" s="1903"/>
      <c r="C195" s="1904"/>
      <c r="D195" s="1904"/>
      <c r="E195" s="1904"/>
      <c r="F195" s="1904"/>
      <c r="G195" s="1904"/>
      <c r="H195" s="1904"/>
      <c r="I195" s="1904"/>
      <c r="J195" s="1904"/>
      <c r="K195" s="1904"/>
      <c r="L195" s="1904"/>
      <c r="M195" s="1904"/>
      <c r="N195" s="1904"/>
      <c r="O195" s="1904"/>
      <c r="P195" s="1904"/>
      <c r="Q195" s="1904"/>
      <c r="R195" s="1904"/>
      <c r="S195" s="1904"/>
      <c r="T195" s="1904"/>
      <c r="U195" s="1904"/>
      <c r="V195" s="1904"/>
      <c r="W195" s="1904"/>
      <c r="X195" s="1904"/>
      <c r="Y195" s="1904"/>
      <c r="Z195" s="1904"/>
      <c r="AA195" s="1904"/>
      <c r="AB195" s="1904"/>
      <c r="AC195" s="1904"/>
      <c r="AD195" s="1904"/>
      <c r="AE195" s="1904"/>
      <c r="AF195" s="1904"/>
      <c r="AG195" s="1904"/>
      <c r="AH195" s="1904"/>
      <c r="AI195" s="1904"/>
      <c r="AJ195" s="1904"/>
      <c r="AK195" s="1904"/>
      <c r="AL195" s="1904"/>
      <c r="AM195" s="1904"/>
      <c r="AN195" s="1904"/>
      <c r="AO195" s="1904"/>
      <c r="AP195" s="1904"/>
      <c r="AQ195" s="1904"/>
      <c r="AR195" s="1904"/>
      <c r="AS195" s="1904"/>
      <c r="AT195" s="1904"/>
      <c r="AU195" s="1904"/>
      <c r="AV195" s="1904"/>
      <c r="AW195" s="1904"/>
      <c r="AX195" s="1904"/>
      <c r="AY195" s="1904"/>
      <c r="AZ195" s="1904"/>
      <c r="BA195" s="1904"/>
      <c r="BB195" s="1904"/>
      <c r="BC195" s="1904"/>
      <c r="BD195" s="1905"/>
      <c r="BE195" s="1860"/>
    </row>
    <row r="196" spans="1:57" ht="15.75" customHeight="1" thickBot="1">
      <c r="A196" s="1898"/>
      <c r="B196" s="1898"/>
      <c r="C196" s="1898"/>
      <c r="D196" s="1898"/>
      <c r="E196" s="1898"/>
      <c r="F196" s="1898"/>
      <c r="G196" s="1898"/>
      <c r="H196" s="1898"/>
      <c r="I196" s="1898"/>
      <c r="J196" s="1898"/>
      <c r="K196" s="1898"/>
      <c r="L196" s="1898"/>
      <c r="M196" s="1898"/>
      <c r="N196" s="1898"/>
      <c r="O196" s="1898"/>
      <c r="P196" s="1898"/>
      <c r="Q196" s="1898"/>
      <c r="R196" s="1898"/>
      <c r="S196" s="1898"/>
      <c r="T196" s="1898"/>
      <c r="U196" s="1898"/>
      <c r="V196" s="1898"/>
      <c r="W196" s="1898"/>
      <c r="X196" s="1898"/>
      <c r="Y196" s="1898"/>
      <c r="Z196" s="1898"/>
      <c r="AA196" s="1898"/>
      <c r="AB196" s="1898"/>
      <c r="AC196" s="1898"/>
      <c r="AD196" s="1898"/>
      <c r="AE196" s="1898"/>
      <c r="AF196" s="1898"/>
      <c r="AG196" s="1898"/>
      <c r="AH196" s="1898"/>
      <c r="AI196" s="1898"/>
      <c r="AJ196" s="1898"/>
      <c r="AK196" s="1898"/>
      <c r="AL196" s="1898"/>
      <c r="AM196" s="1898"/>
      <c r="AN196" s="1898"/>
      <c r="AO196" s="1898"/>
      <c r="AP196" s="1898"/>
      <c r="AQ196" s="1898"/>
      <c r="AR196" s="1898"/>
      <c r="AS196" s="1898"/>
      <c r="AT196" s="1898"/>
      <c r="AU196" s="1898"/>
      <c r="AV196" s="1898"/>
      <c r="AW196" s="1898"/>
      <c r="AX196" s="1898"/>
      <c r="AY196" s="1898"/>
      <c r="AZ196" s="1898"/>
      <c r="BA196" s="1898"/>
      <c r="BB196" s="1898"/>
      <c r="BC196" s="1898"/>
      <c r="BD196" s="1898"/>
      <c r="BE196" s="1899"/>
    </row>
    <row r="199" spans="1:57" ht="15.75" customHeight="1">
      <c r="D199" s="1852"/>
    </row>
    <row r="200" spans="1:57" ht="15.75" customHeight="1">
      <c r="D200" s="1906"/>
    </row>
    <row r="201" spans="1:57" ht="15.75" customHeight="1">
      <c r="D201" s="1852"/>
    </row>
    <row r="202" spans="1:57" ht="15.75" customHeight="1">
      <c r="D202" s="1852"/>
    </row>
    <row r="203" spans="1:57" ht="15.75" customHeight="1">
      <c r="R203" s="1851" t="s">
        <v>251</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71" sqref="AB71:AF71"/>
    </sheetView>
  </sheetViews>
  <sheetFormatPr defaultColWidth="0" defaultRowHeight="12.95" customHeight="1"/>
  <cols>
    <col min="1" max="1" width="1.5703125" style="779" customWidth="1"/>
    <col min="2" max="2" width="0.85546875" style="779" customWidth="1"/>
    <col min="3" max="18" width="2.5703125" style="779" customWidth="1"/>
    <col min="19" max="19" width="6.28515625" style="779" customWidth="1"/>
    <col min="20" max="39" width="2.7109375" style="779" customWidth="1"/>
    <col min="40" max="40" width="1.5703125" style="779" customWidth="1"/>
    <col min="41" max="76" width="2.5703125" style="779" hidden="1"/>
    <col min="77" max="256" width="2.5703125" style="608" hidden="1"/>
    <col min="257" max="257" width="1.5703125" style="608" hidden="1" customWidth="1"/>
    <col min="258" max="258" width="0.85546875" style="608" hidden="1" customWidth="1"/>
    <col min="259" max="274" width="2.5703125" style="608" hidden="1" customWidth="1"/>
    <col min="275" max="275" width="4" style="608" hidden="1" customWidth="1"/>
    <col min="276" max="279" width="2.5703125" style="608" hidden="1" customWidth="1"/>
    <col min="280" max="280" width="2.42578125" style="608" hidden="1" customWidth="1"/>
    <col min="281" max="284" width="2.5703125" style="608" hidden="1" customWidth="1"/>
    <col min="285" max="285" width="2.42578125" style="608" hidden="1" customWidth="1"/>
    <col min="286" max="289" width="2.5703125" style="608" hidden="1" customWidth="1"/>
    <col min="290" max="295" width="2.42578125" style="608" hidden="1" customWidth="1"/>
    <col min="296" max="296" width="1.5703125" style="608" hidden="1" customWidth="1"/>
    <col min="297" max="512" width="2.5703125" style="608" hidden="1"/>
    <col min="513" max="513" width="1.5703125" style="608" hidden="1" customWidth="1"/>
    <col min="514" max="514" width="0.85546875" style="608" hidden="1" customWidth="1"/>
    <col min="515" max="530" width="2.5703125" style="608" hidden="1" customWidth="1"/>
    <col min="531" max="531" width="4" style="608" hidden="1" customWidth="1"/>
    <col min="532" max="535" width="2.5703125" style="608" hidden="1" customWidth="1"/>
    <col min="536" max="536" width="2.42578125" style="608" hidden="1" customWidth="1"/>
    <col min="537" max="540" width="2.5703125" style="608" hidden="1" customWidth="1"/>
    <col min="541" max="541" width="2.42578125" style="608" hidden="1" customWidth="1"/>
    <col min="542" max="545" width="2.5703125" style="608" hidden="1" customWidth="1"/>
    <col min="546" max="551" width="2.42578125" style="608" hidden="1" customWidth="1"/>
    <col min="552" max="552" width="1.5703125" style="608" hidden="1" customWidth="1"/>
    <col min="553" max="768" width="2.5703125" style="608" hidden="1"/>
    <col min="769" max="769" width="1.5703125" style="608" hidden="1" customWidth="1"/>
    <col min="770" max="770" width="0.85546875" style="608" hidden="1" customWidth="1"/>
    <col min="771" max="786" width="2.5703125" style="608" hidden="1" customWidth="1"/>
    <col min="787" max="787" width="4" style="608" hidden="1" customWidth="1"/>
    <col min="788" max="791" width="2.5703125" style="608" hidden="1" customWidth="1"/>
    <col min="792" max="792" width="2.42578125" style="608" hidden="1" customWidth="1"/>
    <col min="793" max="796" width="2.5703125" style="608" hidden="1" customWidth="1"/>
    <col min="797" max="797" width="2.42578125" style="608" hidden="1" customWidth="1"/>
    <col min="798" max="801" width="2.5703125" style="608" hidden="1" customWidth="1"/>
    <col min="802" max="807" width="2.42578125" style="608" hidden="1" customWidth="1"/>
    <col min="808" max="808" width="1.5703125" style="608" hidden="1" customWidth="1"/>
    <col min="809" max="1024" width="2.5703125" style="608" hidden="1"/>
    <col min="1025" max="1025" width="1.5703125" style="608" hidden="1" customWidth="1"/>
    <col min="1026" max="1026" width="0.85546875" style="608" hidden="1" customWidth="1"/>
    <col min="1027" max="1042" width="2.5703125" style="608" hidden="1" customWidth="1"/>
    <col min="1043" max="1043" width="4" style="608" hidden="1" customWidth="1"/>
    <col min="1044" max="1047" width="2.5703125" style="608" hidden="1" customWidth="1"/>
    <col min="1048" max="1048" width="2.42578125" style="608" hidden="1" customWidth="1"/>
    <col min="1049" max="1052" width="2.5703125" style="608" hidden="1" customWidth="1"/>
    <col min="1053" max="1053" width="2.42578125" style="608" hidden="1" customWidth="1"/>
    <col min="1054" max="1057" width="2.5703125" style="608" hidden="1" customWidth="1"/>
    <col min="1058" max="1063" width="2.42578125" style="608" hidden="1" customWidth="1"/>
    <col min="1064" max="1064" width="1.5703125" style="608" hidden="1" customWidth="1"/>
    <col min="1065" max="1280" width="2.5703125" style="608" hidden="1"/>
    <col min="1281" max="1281" width="1.5703125" style="608" hidden="1" customWidth="1"/>
    <col min="1282" max="1282" width="0.85546875" style="608" hidden="1" customWidth="1"/>
    <col min="1283" max="1298" width="2.5703125" style="608" hidden="1" customWidth="1"/>
    <col min="1299" max="1299" width="4" style="608" hidden="1" customWidth="1"/>
    <col min="1300" max="1303" width="2.5703125" style="608" hidden="1" customWidth="1"/>
    <col min="1304" max="1304" width="2.42578125" style="608" hidden="1" customWidth="1"/>
    <col min="1305" max="1308" width="2.5703125" style="608" hidden="1" customWidth="1"/>
    <col min="1309" max="1309" width="2.42578125" style="608" hidden="1" customWidth="1"/>
    <col min="1310" max="1313" width="2.5703125" style="608" hidden="1" customWidth="1"/>
    <col min="1314" max="1319" width="2.42578125" style="608" hidden="1" customWidth="1"/>
    <col min="1320" max="1320" width="1.5703125" style="608" hidden="1" customWidth="1"/>
    <col min="1321" max="1536" width="2.5703125" style="608" hidden="1"/>
    <col min="1537" max="1537" width="1.5703125" style="608" hidden="1" customWidth="1"/>
    <col min="1538" max="1538" width="0.85546875" style="608" hidden="1" customWidth="1"/>
    <col min="1539" max="1554" width="2.5703125" style="608" hidden="1" customWidth="1"/>
    <col min="1555" max="1555" width="4" style="608" hidden="1" customWidth="1"/>
    <col min="1556" max="1559" width="2.5703125" style="608" hidden="1" customWidth="1"/>
    <col min="1560" max="1560" width="2.42578125" style="608" hidden="1" customWidth="1"/>
    <col min="1561" max="1564" width="2.5703125" style="608" hidden="1" customWidth="1"/>
    <col min="1565" max="1565" width="2.42578125" style="608" hidden="1" customWidth="1"/>
    <col min="1566" max="1569" width="2.5703125" style="608" hidden="1" customWidth="1"/>
    <col min="1570" max="1575" width="2.42578125" style="608" hidden="1" customWidth="1"/>
    <col min="1576" max="1576" width="1.5703125" style="608" hidden="1" customWidth="1"/>
    <col min="1577" max="1792" width="2.5703125" style="608" hidden="1"/>
    <col min="1793" max="1793" width="1.5703125" style="608" hidden="1" customWidth="1"/>
    <col min="1794" max="1794" width="0.85546875" style="608" hidden="1" customWidth="1"/>
    <col min="1795" max="1810" width="2.5703125" style="608" hidden="1" customWidth="1"/>
    <col min="1811" max="1811" width="4" style="608" hidden="1" customWidth="1"/>
    <col min="1812" max="1815" width="2.5703125" style="608" hidden="1" customWidth="1"/>
    <col min="1816" max="1816" width="2.42578125" style="608" hidden="1" customWidth="1"/>
    <col min="1817" max="1820" width="2.5703125" style="608" hidden="1" customWidth="1"/>
    <col min="1821" max="1821" width="2.42578125" style="608" hidden="1" customWidth="1"/>
    <col min="1822" max="1825" width="2.5703125" style="608" hidden="1" customWidth="1"/>
    <col min="1826" max="1831" width="2.42578125" style="608" hidden="1" customWidth="1"/>
    <col min="1832" max="1832" width="1.5703125" style="608" hidden="1" customWidth="1"/>
    <col min="1833" max="2048" width="2.5703125" style="608" hidden="1"/>
    <col min="2049" max="2049" width="1.5703125" style="608" hidden="1" customWidth="1"/>
    <col min="2050" max="2050" width="0.85546875" style="608" hidden="1" customWidth="1"/>
    <col min="2051" max="2066" width="2.5703125" style="608" hidden="1" customWidth="1"/>
    <col min="2067" max="2067" width="4" style="608" hidden="1" customWidth="1"/>
    <col min="2068" max="2071" width="2.5703125" style="608" hidden="1" customWidth="1"/>
    <col min="2072" max="2072" width="2.42578125" style="608" hidden="1" customWidth="1"/>
    <col min="2073" max="2076" width="2.5703125" style="608" hidden="1" customWidth="1"/>
    <col min="2077" max="2077" width="2.42578125" style="608" hidden="1" customWidth="1"/>
    <col min="2078" max="2081" width="2.5703125" style="608" hidden="1" customWidth="1"/>
    <col min="2082" max="2087" width="2.42578125" style="608" hidden="1" customWidth="1"/>
    <col min="2088" max="2088" width="1.5703125" style="608" hidden="1" customWidth="1"/>
    <col min="2089" max="2304" width="2.5703125" style="608" hidden="1"/>
    <col min="2305" max="2305" width="1.5703125" style="608" hidden="1" customWidth="1"/>
    <col min="2306" max="2306" width="0.85546875" style="608" hidden="1" customWidth="1"/>
    <col min="2307" max="2322" width="2.5703125" style="608" hidden="1" customWidth="1"/>
    <col min="2323" max="2323" width="4" style="608" hidden="1" customWidth="1"/>
    <col min="2324" max="2327" width="2.5703125" style="608" hidden="1" customWidth="1"/>
    <col min="2328" max="2328" width="2.42578125" style="608" hidden="1" customWidth="1"/>
    <col min="2329" max="2332" width="2.5703125" style="608" hidden="1" customWidth="1"/>
    <col min="2333" max="2333" width="2.42578125" style="608" hidden="1" customWidth="1"/>
    <col min="2334" max="2337" width="2.5703125" style="608" hidden="1" customWidth="1"/>
    <col min="2338" max="2343" width="2.42578125" style="608" hidden="1" customWidth="1"/>
    <col min="2344" max="2344" width="1.5703125" style="608" hidden="1" customWidth="1"/>
    <col min="2345" max="2560" width="2.5703125" style="608" hidden="1"/>
    <col min="2561" max="2561" width="1.5703125" style="608" hidden="1" customWidth="1"/>
    <col min="2562" max="2562" width="0.85546875" style="608" hidden="1" customWidth="1"/>
    <col min="2563" max="2578" width="2.5703125" style="608" hidden="1" customWidth="1"/>
    <col min="2579" max="2579" width="4" style="608" hidden="1" customWidth="1"/>
    <col min="2580" max="2583" width="2.5703125" style="608" hidden="1" customWidth="1"/>
    <col min="2584" max="2584" width="2.42578125" style="608" hidden="1" customWidth="1"/>
    <col min="2585" max="2588" width="2.5703125" style="608" hidden="1" customWidth="1"/>
    <col min="2589" max="2589" width="2.42578125" style="608" hidden="1" customWidth="1"/>
    <col min="2590" max="2593" width="2.5703125" style="608" hidden="1" customWidth="1"/>
    <col min="2594" max="2599" width="2.42578125" style="608" hidden="1" customWidth="1"/>
    <col min="2600" max="2600" width="1.5703125" style="608" hidden="1" customWidth="1"/>
    <col min="2601" max="2816" width="2.5703125" style="608" hidden="1"/>
    <col min="2817" max="2817" width="1.5703125" style="608" hidden="1" customWidth="1"/>
    <col min="2818" max="2818" width="0.85546875" style="608" hidden="1" customWidth="1"/>
    <col min="2819" max="2834" width="2.5703125" style="608" hidden="1" customWidth="1"/>
    <col min="2835" max="2835" width="4" style="608" hidden="1" customWidth="1"/>
    <col min="2836" max="2839" width="2.5703125" style="608" hidden="1" customWidth="1"/>
    <col min="2840" max="2840" width="2.42578125" style="608" hidden="1" customWidth="1"/>
    <col min="2841" max="2844" width="2.5703125" style="608" hidden="1" customWidth="1"/>
    <col min="2845" max="2845" width="2.42578125" style="608" hidden="1" customWidth="1"/>
    <col min="2846" max="2849" width="2.5703125" style="608" hidden="1" customWidth="1"/>
    <col min="2850" max="2855" width="2.42578125" style="608" hidden="1" customWidth="1"/>
    <col min="2856" max="2856" width="1.5703125" style="608" hidden="1" customWidth="1"/>
    <col min="2857" max="3072" width="2.5703125" style="608" hidden="1"/>
    <col min="3073" max="3073" width="1.5703125" style="608" hidden="1" customWidth="1"/>
    <col min="3074" max="3074" width="0.85546875" style="608" hidden="1" customWidth="1"/>
    <col min="3075" max="3090" width="2.5703125" style="608" hidden="1" customWidth="1"/>
    <col min="3091" max="3091" width="4" style="608" hidden="1" customWidth="1"/>
    <col min="3092" max="3095" width="2.5703125" style="608" hidden="1" customWidth="1"/>
    <col min="3096" max="3096" width="2.42578125" style="608" hidden="1" customWidth="1"/>
    <col min="3097" max="3100" width="2.5703125" style="608" hidden="1" customWidth="1"/>
    <col min="3101" max="3101" width="2.42578125" style="608" hidden="1" customWidth="1"/>
    <col min="3102" max="3105" width="2.5703125" style="608" hidden="1" customWidth="1"/>
    <col min="3106" max="3111" width="2.42578125" style="608" hidden="1" customWidth="1"/>
    <col min="3112" max="3112" width="1.5703125" style="608" hidden="1" customWidth="1"/>
    <col min="3113" max="3328" width="2.5703125" style="608" hidden="1"/>
    <col min="3329" max="3329" width="1.5703125" style="608" hidden="1" customWidth="1"/>
    <col min="3330" max="3330" width="0.85546875" style="608" hidden="1" customWidth="1"/>
    <col min="3331" max="3346" width="2.5703125" style="608" hidden="1" customWidth="1"/>
    <col min="3347" max="3347" width="4" style="608" hidden="1" customWidth="1"/>
    <col min="3348" max="3351" width="2.5703125" style="608" hidden="1" customWidth="1"/>
    <col min="3352" max="3352" width="2.42578125" style="608" hidden="1" customWidth="1"/>
    <col min="3353" max="3356" width="2.5703125" style="608" hidden="1" customWidth="1"/>
    <col min="3357" max="3357" width="2.42578125" style="608" hidden="1" customWidth="1"/>
    <col min="3358" max="3361" width="2.5703125" style="608" hidden="1" customWidth="1"/>
    <col min="3362" max="3367" width="2.42578125" style="608" hidden="1" customWidth="1"/>
    <col min="3368" max="3368" width="1.5703125" style="608" hidden="1" customWidth="1"/>
    <col min="3369" max="3584" width="2.5703125" style="608" hidden="1"/>
    <col min="3585" max="3585" width="1.5703125" style="608" hidden="1" customWidth="1"/>
    <col min="3586" max="3586" width="0.85546875" style="608" hidden="1" customWidth="1"/>
    <col min="3587" max="3602" width="2.5703125" style="608" hidden="1" customWidth="1"/>
    <col min="3603" max="3603" width="4" style="608" hidden="1" customWidth="1"/>
    <col min="3604" max="3607" width="2.5703125" style="608" hidden="1" customWidth="1"/>
    <col min="3608" max="3608" width="2.42578125" style="608" hidden="1" customWidth="1"/>
    <col min="3609" max="3612" width="2.5703125" style="608" hidden="1" customWidth="1"/>
    <col min="3613" max="3613" width="2.42578125" style="608" hidden="1" customWidth="1"/>
    <col min="3614" max="3617" width="2.5703125" style="608" hidden="1" customWidth="1"/>
    <col min="3618" max="3623" width="2.42578125" style="608" hidden="1" customWidth="1"/>
    <col min="3624" max="3624" width="1.5703125" style="608" hidden="1" customWidth="1"/>
    <col min="3625" max="3840" width="2.5703125" style="608" hidden="1"/>
    <col min="3841" max="3841" width="1.5703125" style="608" hidden="1" customWidth="1"/>
    <col min="3842" max="3842" width="0.85546875" style="608" hidden="1" customWidth="1"/>
    <col min="3843" max="3858" width="2.5703125" style="608" hidden="1" customWidth="1"/>
    <col min="3859" max="3859" width="4" style="608" hidden="1" customWidth="1"/>
    <col min="3860" max="3863" width="2.5703125" style="608" hidden="1" customWidth="1"/>
    <col min="3864" max="3864" width="2.42578125" style="608" hidden="1" customWidth="1"/>
    <col min="3865" max="3868" width="2.5703125" style="608" hidden="1" customWidth="1"/>
    <col min="3869" max="3869" width="2.42578125" style="608" hidden="1" customWidth="1"/>
    <col min="3870" max="3873" width="2.5703125" style="608" hidden="1" customWidth="1"/>
    <col min="3874" max="3879" width="2.42578125" style="608" hidden="1" customWidth="1"/>
    <col min="3880" max="3880" width="1.5703125" style="608" hidden="1" customWidth="1"/>
    <col min="3881" max="4096" width="2.5703125" style="608" hidden="1"/>
    <col min="4097" max="4097" width="1.5703125" style="608" hidden="1" customWidth="1"/>
    <col min="4098" max="4098" width="0.85546875" style="608" hidden="1" customWidth="1"/>
    <col min="4099" max="4114" width="2.5703125" style="608" hidden="1" customWidth="1"/>
    <col min="4115" max="4115" width="4" style="608" hidden="1" customWidth="1"/>
    <col min="4116" max="4119" width="2.5703125" style="608" hidden="1" customWidth="1"/>
    <col min="4120" max="4120" width="2.42578125" style="608" hidden="1" customWidth="1"/>
    <col min="4121" max="4124" width="2.5703125" style="608" hidden="1" customWidth="1"/>
    <col min="4125" max="4125" width="2.42578125" style="608" hidden="1" customWidth="1"/>
    <col min="4126" max="4129" width="2.5703125" style="608" hidden="1" customWidth="1"/>
    <col min="4130" max="4135" width="2.42578125" style="608" hidden="1" customWidth="1"/>
    <col min="4136" max="4136" width="1.5703125" style="608" hidden="1" customWidth="1"/>
    <col min="4137" max="4352" width="2.5703125" style="608" hidden="1"/>
    <col min="4353" max="4353" width="1.5703125" style="608" hidden="1" customWidth="1"/>
    <col min="4354" max="4354" width="0.85546875" style="608" hidden="1" customWidth="1"/>
    <col min="4355" max="4370" width="2.5703125" style="608" hidden="1" customWidth="1"/>
    <col min="4371" max="4371" width="4" style="608" hidden="1" customWidth="1"/>
    <col min="4372" max="4375" width="2.5703125" style="608" hidden="1" customWidth="1"/>
    <col min="4376" max="4376" width="2.42578125" style="608" hidden="1" customWidth="1"/>
    <col min="4377" max="4380" width="2.5703125" style="608" hidden="1" customWidth="1"/>
    <col min="4381" max="4381" width="2.42578125" style="608" hidden="1" customWidth="1"/>
    <col min="4382" max="4385" width="2.5703125" style="608" hidden="1" customWidth="1"/>
    <col min="4386" max="4391" width="2.42578125" style="608" hidden="1" customWidth="1"/>
    <col min="4392" max="4392" width="1.5703125" style="608" hidden="1" customWidth="1"/>
    <col min="4393" max="4608" width="2.5703125" style="608" hidden="1"/>
    <col min="4609" max="4609" width="1.5703125" style="608" hidden="1" customWidth="1"/>
    <col min="4610" max="4610" width="0.85546875" style="608" hidden="1" customWidth="1"/>
    <col min="4611" max="4626" width="2.5703125" style="608" hidden="1" customWidth="1"/>
    <col min="4627" max="4627" width="4" style="608" hidden="1" customWidth="1"/>
    <col min="4628" max="4631" width="2.5703125" style="608" hidden="1" customWidth="1"/>
    <col min="4632" max="4632" width="2.42578125" style="608" hidden="1" customWidth="1"/>
    <col min="4633" max="4636" width="2.5703125" style="608" hidden="1" customWidth="1"/>
    <col min="4637" max="4637" width="2.42578125" style="608" hidden="1" customWidth="1"/>
    <col min="4638" max="4641" width="2.5703125" style="608" hidden="1" customWidth="1"/>
    <col min="4642" max="4647" width="2.42578125" style="608" hidden="1" customWidth="1"/>
    <col min="4648" max="4648" width="1.5703125" style="608" hidden="1" customWidth="1"/>
    <col min="4649" max="4864" width="2.5703125" style="608" hidden="1"/>
    <col min="4865" max="4865" width="1.5703125" style="608" hidden="1" customWidth="1"/>
    <col min="4866" max="4866" width="0.85546875" style="608" hidden="1" customWidth="1"/>
    <col min="4867" max="4882" width="2.5703125" style="608" hidden="1" customWidth="1"/>
    <col min="4883" max="4883" width="4" style="608" hidden="1" customWidth="1"/>
    <col min="4884" max="4887" width="2.5703125" style="608" hidden="1" customWidth="1"/>
    <col min="4888" max="4888" width="2.42578125" style="608" hidden="1" customWidth="1"/>
    <col min="4889" max="4892" width="2.5703125" style="608" hidden="1" customWidth="1"/>
    <col min="4893" max="4893" width="2.42578125" style="608" hidden="1" customWidth="1"/>
    <col min="4894" max="4897" width="2.5703125" style="608" hidden="1" customWidth="1"/>
    <col min="4898" max="4903" width="2.42578125" style="608" hidden="1" customWidth="1"/>
    <col min="4904" max="4904" width="1.5703125" style="608" hidden="1" customWidth="1"/>
    <col min="4905" max="5120" width="2.5703125" style="608" hidden="1"/>
    <col min="5121" max="5121" width="1.5703125" style="608" hidden="1" customWidth="1"/>
    <col min="5122" max="5122" width="0.85546875" style="608" hidden="1" customWidth="1"/>
    <col min="5123" max="5138" width="2.5703125" style="608" hidden="1" customWidth="1"/>
    <col min="5139" max="5139" width="4" style="608" hidden="1" customWidth="1"/>
    <col min="5140" max="5143" width="2.5703125" style="608" hidden="1" customWidth="1"/>
    <col min="5144" max="5144" width="2.42578125" style="608" hidden="1" customWidth="1"/>
    <col min="5145" max="5148" width="2.5703125" style="608" hidden="1" customWidth="1"/>
    <col min="5149" max="5149" width="2.42578125" style="608" hidden="1" customWidth="1"/>
    <col min="5150" max="5153" width="2.5703125" style="608" hidden="1" customWidth="1"/>
    <col min="5154" max="5159" width="2.42578125" style="608" hidden="1" customWidth="1"/>
    <col min="5160" max="5160" width="1.5703125" style="608" hidden="1" customWidth="1"/>
    <col min="5161" max="5376" width="2.5703125" style="608" hidden="1"/>
    <col min="5377" max="5377" width="1.5703125" style="608" hidden="1" customWidth="1"/>
    <col min="5378" max="5378" width="0.85546875" style="608" hidden="1" customWidth="1"/>
    <col min="5379" max="5394" width="2.5703125" style="608" hidden="1" customWidth="1"/>
    <col min="5395" max="5395" width="4" style="608" hidden="1" customWidth="1"/>
    <col min="5396" max="5399" width="2.5703125" style="608" hidden="1" customWidth="1"/>
    <col min="5400" max="5400" width="2.42578125" style="608" hidden="1" customWidth="1"/>
    <col min="5401" max="5404" width="2.5703125" style="608" hidden="1" customWidth="1"/>
    <col min="5405" max="5405" width="2.42578125" style="608" hidden="1" customWidth="1"/>
    <col min="5406" max="5409" width="2.5703125" style="608" hidden="1" customWidth="1"/>
    <col min="5410" max="5415" width="2.42578125" style="608" hidden="1" customWidth="1"/>
    <col min="5416" max="5416" width="1.5703125" style="608" hidden="1" customWidth="1"/>
    <col min="5417" max="5632" width="2.5703125" style="608" hidden="1"/>
    <col min="5633" max="5633" width="1.5703125" style="608" hidden="1" customWidth="1"/>
    <col min="5634" max="5634" width="0.85546875" style="608" hidden="1" customWidth="1"/>
    <col min="5635" max="5650" width="2.5703125" style="608" hidden="1" customWidth="1"/>
    <col min="5651" max="5651" width="4" style="608" hidden="1" customWidth="1"/>
    <col min="5652" max="5655" width="2.5703125" style="608" hidden="1" customWidth="1"/>
    <col min="5656" max="5656" width="2.42578125" style="608" hidden="1" customWidth="1"/>
    <col min="5657" max="5660" width="2.5703125" style="608" hidden="1" customWidth="1"/>
    <col min="5661" max="5661" width="2.42578125" style="608" hidden="1" customWidth="1"/>
    <col min="5662" max="5665" width="2.5703125" style="608" hidden="1" customWidth="1"/>
    <col min="5666" max="5671" width="2.42578125" style="608" hidden="1" customWidth="1"/>
    <col min="5672" max="5672" width="1.5703125" style="608" hidden="1" customWidth="1"/>
    <col min="5673" max="5888" width="2.5703125" style="608" hidden="1"/>
    <col min="5889" max="5889" width="1.5703125" style="608" hidden="1" customWidth="1"/>
    <col min="5890" max="5890" width="0.85546875" style="608" hidden="1" customWidth="1"/>
    <col min="5891" max="5906" width="2.5703125" style="608" hidden="1" customWidth="1"/>
    <col min="5907" max="5907" width="4" style="608" hidden="1" customWidth="1"/>
    <col min="5908" max="5911" width="2.5703125" style="608" hidden="1" customWidth="1"/>
    <col min="5912" max="5912" width="2.42578125" style="608" hidden="1" customWidth="1"/>
    <col min="5913" max="5916" width="2.5703125" style="608" hidden="1" customWidth="1"/>
    <col min="5917" max="5917" width="2.42578125" style="608" hidden="1" customWidth="1"/>
    <col min="5918" max="5921" width="2.5703125" style="608" hidden="1" customWidth="1"/>
    <col min="5922" max="5927" width="2.42578125" style="608" hidden="1" customWidth="1"/>
    <col min="5928" max="5928" width="1.5703125" style="608" hidden="1" customWidth="1"/>
    <col min="5929" max="6144" width="2.5703125" style="608" hidden="1"/>
    <col min="6145" max="6145" width="1.5703125" style="608" hidden="1" customWidth="1"/>
    <col min="6146" max="6146" width="0.85546875" style="608" hidden="1" customWidth="1"/>
    <col min="6147" max="6162" width="2.5703125" style="608" hidden="1" customWidth="1"/>
    <col min="6163" max="6163" width="4" style="608" hidden="1" customWidth="1"/>
    <col min="6164" max="6167" width="2.5703125" style="608" hidden="1" customWidth="1"/>
    <col min="6168" max="6168" width="2.42578125" style="608" hidden="1" customWidth="1"/>
    <col min="6169" max="6172" width="2.5703125" style="608" hidden="1" customWidth="1"/>
    <col min="6173" max="6173" width="2.42578125" style="608" hidden="1" customWidth="1"/>
    <col min="6174" max="6177" width="2.5703125" style="608" hidden="1" customWidth="1"/>
    <col min="6178" max="6183" width="2.42578125" style="608" hidden="1" customWidth="1"/>
    <col min="6184" max="6184" width="1.5703125" style="608" hidden="1" customWidth="1"/>
    <col min="6185" max="6400" width="2.5703125" style="608" hidden="1"/>
    <col min="6401" max="6401" width="1.5703125" style="608" hidden="1" customWidth="1"/>
    <col min="6402" max="6402" width="0.85546875" style="608" hidden="1" customWidth="1"/>
    <col min="6403" max="6418" width="2.5703125" style="608" hidden="1" customWidth="1"/>
    <col min="6419" max="6419" width="4" style="608" hidden="1" customWidth="1"/>
    <col min="6420" max="6423" width="2.5703125" style="608" hidden="1" customWidth="1"/>
    <col min="6424" max="6424" width="2.42578125" style="608" hidden="1" customWidth="1"/>
    <col min="6425" max="6428" width="2.5703125" style="608" hidden="1" customWidth="1"/>
    <col min="6429" max="6429" width="2.42578125" style="608" hidden="1" customWidth="1"/>
    <col min="6430" max="6433" width="2.5703125" style="608" hidden="1" customWidth="1"/>
    <col min="6434" max="6439" width="2.42578125" style="608" hidden="1" customWidth="1"/>
    <col min="6440" max="6440" width="1.5703125" style="608" hidden="1" customWidth="1"/>
    <col min="6441" max="6656" width="2.5703125" style="608" hidden="1"/>
    <col min="6657" max="6657" width="1.5703125" style="608" hidden="1" customWidth="1"/>
    <col min="6658" max="6658" width="0.85546875" style="608" hidden="1" customWidth="1"/>
    <col min="6659" max="6674" width="2.5703125" style="608" hidden="1" customWidth="1"/>
    <col min="6675" max="6675" width="4" style="608" hidden="1" customWidth="1"/>
    <col min="6676" max="6679" width="2.5703125" style="608" hidden="1" customWidth="1"/>
    <col min="6680" max="6680" width="2.42578125" style="608" hidden="1" customWidth="1"/>
    <col min="6681" max="6684" width="2.5703125" style="608" hidden="1" customWidth="1"/>
    <col min="6685" max="6685" width="2.42578125" style="608" hidden="1" customWidth="1"/>
    <col min="6686" max="6689" width="2.5703125" style="608" hidden="1" customWidth="1"/>
    <col min="6690" max="6695" width="2.42578125" style="608" hidden="1" customWidth="1"/>
    <col min="6696" max="6696" width="1.5703125" style="608" hidden="1" customWidth="1"/>
    <col min="6697" max="6912" width="2.5703125" style="608" hidden="1"/>
    <col min="6913" max="6913" width="1.5703125" style="608" hidden="1" customWidth="1"/>
    <col min="6914" max="6914" width="0.85546875" style="608" hidden="1" customWidth="1"/>
    <col min="6915" max="6930" width="2.5703125" style="608" hidden="1" customWidth="1"/>
    <col min="6931" max="6931" width="4" style="608" hidden="1" customWidth="1"/>
    <col min="6932" max="6935" width="2.5703125" style="608" hidden="1" customWidth="1"/>
    <col min="6936" max="6936" width="2.42578125" style="608" hidden="1" customWidth="1"/>
    <col min="6937" max="6940" width="2.5703125" style="608" hidden="1" customWidth="1"/>
    <col min="6941" max="6941" width="2.42578125" style="608" hidden="1" customWidth="1"/>
    <col min="6942" max="6945" width="2.5703125" style="608" hidden="1" customWidth="1"/>
    <col min="6946" max="6951" width="2.42578125" style="608" hidden="1" customWidth="1"/>
    <col min="6952" max="6952" width="1.5703125" style="608" hidden="1" customWidth="1"/>
    <col min="6953" max="7168" width="2.5703125" style="608" hidden="1"/>
    <col min="7169" max="7169" width="1.5703125" style="608" hidden="1" customWidth="1"/>
    <col min="7170" max="7170" width="0.85546875" style="608" hidden="1" customWidth="1"/>
    <col min="7171" max="7186" width="2.5703125" style="608" hidden="1" customWidth="1"/>
    <col min="7187" max="7187" width="4" style="608" hidden="1" customWidth="1"/>
    <col min="7188" max="7191" width="2.5703125" style="608" hidden="1" customWidth="1"/>
    <col min="7192" max="7192" width="2.42578125" style="608" hidden="1" customWidth="1"/>
    <col min="7193" max="7196" width="2.5703125" style="608" hidden="1" customWidth="1"/>
    <col min="7197" max="7197" width="2.42578125" style="608" hidden="1" customWidth="1"/>
    <col min="7198" max="7201" width="2.5703125" style="608" hidden="1" customWidth="1"/>
    <col min="7202" max="7207" width="2.42578125" style="608" hidden="1" customWidth="1"/>
    <col min="7208" max="7208" width="1.5703125" style="608" hidden="1" customWidth="1"/>
    <col min="7209" max="7424" width="2.5703125" style="608" hidden="1"/>
    <col min="7425" max="7425" width="1.5703125" style="608" hidden="1" customWidth="1"/>
    <col min="7426" max="7426" width="0.85546875" style="608" hidden="1" customWidth="1"/>
    <col min="7427" max="7442" width="2.5703125" style="608" hidden="1" customWidth="1"/>
    <col min="7443" max="7443" width="4" style="608" hidden="1" customWidth="1"/>
    <col min="7444" max="7447" width="2.5703125" style="608" hidden="1" customWidth="1"/>
    <col min="7448" max="7448" width="2.42578125" style="608" hidden="1" customWidth="1"/>
    <col min="7449" max="7452" width="2.5703125" style="608" hidden="1" customWidth="1"/>
    <col min="7453" max="7453" width="2.42578125" style="608" hidden="1" customWidth="1"/>
    <col min="7454" max="7457" width="2.5703125" style="608" hidden="1" customWidth="1"/>
    <col min="7458" max="7463" width="2.42578125" style="608" hidden="1" customWidth="1"/>
    <col min="7464" max="7464" width="1.5703125" style="608" hidden="1" customWidth="1"/>
    <col min="7465" max="7680" width="2.5703125" style="608" hidden="1"/>
    <col min="7681" max="7681" width="1.5703125" style="608" hidden="1" customWidth="1"/>
    <col min="7682" max="7682" width="0.85546875" style="608" hidden="1" customWidth="1"/>
    <col min="7683" max="7698" width="2.5703125" style="608" hidden="1" customWidth="1"/>
    <col min="7699" max="7699" width="4" style="608" hidden="1" customWidth="1"/>
    <col min="7700" max="7703" width="2.5703125" style="608" hidden="1" customWidth="1"/>
    <col min="7704" max="7704" width="2.42578125" style="608" hidden="1" customWidth="1"/>
    <col min="7705" max="7708" width="2.5703125" style="608" hidden="1" customWidth="1"/>
    <col min="7709" max="7709" width="2.42578125" style="608" hidden="1" customWidth="1"/>
    <col min="7710" max="7713" width="2.5703125" style="608" hidden="1" customWidth="1"/>
    <col min="7714" max="7719" width="2.42578125" style="608" hidden="1" customWidth="1"/>
    <col min="7720" max="7720" width="1.5703125" style="608" hidden="1" customWidth="1"/>
    <col min="7721" max="7936" width="2.5703125" style="608" hidden="1"/>
    <col min="7937" max="7937" width="1.5703125" style="608" hidden="1" customWidth="1"/>
    <col min="7938" max="7938" width="0.85546875" style="608" hidden="1" customWidth="1"/>
    <col min="7939" max="7954" width="2.5703125" style="608" hidden="1" customWidth="1"/>
    <col min="7955" max="7955" width="4" style="608" hidden="1" customWidth="1"/>
    <col min="7956" max="7959" width="2.5703125" style="608" hidden="1" customWidth="1"/>
    <col min="7960" max="7960" width="2.42578125" style="608" hidden="1" customWidth="1"/>
    <col min="7961" max="7964" width="2.5703125" style="608" hidden="1" customWidth="1"/>
    <col min="7965" max="7965" width="2.42578125" style="608" hidden="1" customWidth="1"/>
    <col min="7966" max="7969" width="2.5703125" style="608" hidden="1" customWidth="1"/>
    <col min="7970" max="7975" width="2.42578125" style="608" hidden="1" customWidth="1"/>
    <col min="7976" max="7976" width="1.5703125" style="608" hidden="1" customWidth="1"/>
    <col min="7977" max="8192" width="2.5703125" style="608" hidden="1"/>
    <col min="8193" max="8193" width="1.5703125" style="608" hidden="1" customWidth="1"/>
    <col min="8194" max="8194" width="0.85546875" style="608" hidden="1" customWidth="1"/>
    <col min="8195" max="8210" width="2.5703125" style="608" hidden="1" customWidth="1"/>
    <col min="8211" max="8211" width="4" style="608" hidden="1" customWidth="1"/>
    <col min="8212" max="8215" width="2.5703125" style="608" hidden="1" customWidth="1"/>
    <col min="8216" max="8216" width="2.42578125" style="608" hidden="1" customWidth="1"/>
    <col min="8217" max="8220" width="2.5703125" style="608" hidden="1" customWidth="1"/>
    <col min="8221" max="8221" width="2.42578125" style="608" hidden="1" customWidth="1"/>
    <col min="8222" max="8225" width="2.5703125" style="608" hidden="1" customWidth="1"/>
    <col min="8226" max="8231" width="2.42578125" style="608" hidden="1" customWidth="1"/>
    <col min="8232" max="8232" width="1.5703125" style="608" hidden="1" customWidth="1"/>
    <col min="8233" max="8448" width="2.5703125" style="608" hidden="1"/>
    <col min="8449" max="8449" width="1.5703125" style="608" hidden="1" customWidth="1"/>
    <col min="8450" max="8450" width="0.85546875" style="608" hidden="1" customWidth="1"/>
    <col min="8451" max="8466" width="2.5703125" style="608" hidden="1" customWidth="1"/>
    <col min="8467" max="8467" width="4" style="608" hidden="1" customWidth="1"/>
    <col min="8468" max="8471" width="2.5703125" style="608" hidden="1" customWidth="1"/>
    <col min="8472" max="8472" width="2.42578125" style="608" hidden="1" customWidth="1"/>
    <col min="8473" max="8476" width="2.5703125" style="608" hidden="1" customWidth="1"/>
    <col min="8477" max="8477" width="2.42578125" style="608" hidden="1" customWidth="1"/>
    <col min="8478" max="8481" width="2.5703125" style="608" hidden="1" customWidth="1"/>
    <col min="8482" max="8487" width="2.42578125" style="608" hidden="1" customWidth="1"/>
    <col min="8488" max="8488" width="1.5703125" style="608" hidden="1" customWidth="1"/>
    <col min="8489" max="8704" width="2.5703125" style="608" hidden="1"/>
    <col min="8705" max="8705" width="1.5703125" style="608" hidden="1" customWidth="1"/>
    <col min="8706" max="8706" width="0.85546875" style="608" hidden="1" customWidth="1"/>
    <col min="8707" max="8722" width="2.5703125" style="608" hidden="1" customWidth="1"/>
    <col min="8723" max="8723" width="4" style="608" hidden="1" customWidth="1"/>
    <col min="8724" max="8727" width="2.5703125" style="608" hidden="1" customWidth="1"/>
    <col min="8728" max="8728" width="2.42578125" style="608" hidden="1" customWidth="1"/>
    <col min="8729" max="8732" width="2.5703125" style="608" hidden="1" customWidth="1"/>
    <col min="8733" max="8733" width="2.42578125" style="608" hidden="1" customWidth="1"/>
    <col min="8734" max="8737" width="2.5703125" style="608" hidden="1" customWidth="1"/>
    <col min="8738" max="8743" width="2.42578125" style="608" hidden="1" customWidth="1"/>
    <col min="8744" max="8744" width="1.5703125" style="608" hidden="1" customWidth="1"/>
    <col min="8745" max="8960" width="2.5703125" style="608" hidden="1"/>
    <col min="8961" max="8961" width="1.5703125" style="608" hidden="1" customWidth="1"/>
    <col min="8962" max="8962" width="0.85546875" style="608" hidden="1" customWidth="1"/>
    <col min="8963" max="8978" width="2.5703125" style="608" hidden="1" customWidth="1"/>
    <col min="8979" max="8979" width="4" style="608" hidden="1" customWidth="1"/>
    <col min="8980" max="8983" width="2.5703125" style="608" hidden="1" customWidth="1"/>
    <col min="8984" max="8984" width="2.42578125" style="608" hidden="1" customWidth="1"/>
    <col min="8985" max="8988" width="2.5703125" style="608" hidden="1" customWidth="1"/>
    <col min="8989" max="8989" width="2.42578125" style="608" hidden="1" customWidth="1"/>
    <col min="8990" max="8993" width="2.5703125" style="608" hidden="1" customWidth="1"/>
    <col min="8994" max="8999" width="2.42578125" style="608" hidden="1" customWidth="1"/>
    <col min="9000" max="9000" width="1.5703125" style="608" hidden="1" customWidth="1"/>
    <col min="9001" max="9216" width="2.5703125" style="608" hidden="1"/>
    <col min="9217" max="9217" width="1.5703125" style="608" hidden="1" customWidth="1"/>
    <col min="9218" max="9218" width="0.85546875" style="608" hidden="1" customWidth="1"/>
    <col min="9219" max="9234" width="2.5703125" style="608" hidden="1" customWidth="1"/>
    <col min="9235" max="9235" width="4" style="608" hidden="1" customWidth="1"/>
    <col min="9236" max="9239" width="2.5703125" style="608" hidden="1" customWidth="1"/>
    <col min="9240" max="9240" width="2.42578125" style="608" hidden="1" customWidth="1"/>
    <col min="9241" max="9244" width="2.5703125" style="608" hidden="1" customWidth="1"/>
    <col min="9245" max="9245" width="2.42578125" style="608" hidden="1" customWidth="1"/>
    <col min="9246" max="9249" width="2.5703125" style="608" hidden="1" customWidth="1"/>
    <col min="9250" max="9255" width="2.42578125" style="608" hidden="1" customWidth="1"/>
    <col min="9256" max="9256" width="1.5703125" style="608" hidden="1" customWidth="1"/>
    <col min="9257" max="9472" width="2.5703125" style="608" hidden="1"/>
    <col min="9473" max="9473" width="1.5703125" style="608" hidden="1" customWidth="1"/>
    <col min="9474" max="9474" width="0.85546875" style="608" hidden="1" customWidth="1"/>
    <col min="9475" max="9490" width="2.5703125" style="608" hidden="1" customWidth="1"/>
    <col min="9491" max="9491" width="4" style="608" hidden="1" customWidth="1"/>
    <col min="9492" max="9495" width="2.5703125" style="608" hidden="1" customWidth="1"/>
    <col min="9496" max="9496" width="2.42578125" style="608" hidden="1" customWidth="1"/>
    <col min="9497" max="9500" width="2.5703125" style="608" hidden="1" customWidth="1"/>
    <col min="9501" max="9501" width="2.42578125" style="608" hidden="1" customWidth="1"/>
    <col min="9502" max="9505" width="2.5703125" style="608" hidden="1" customWidth="1"/>
    <col min="9506" max="9511" width="2.42578125" style="608" hidden="1" customWidth="1"/>
    <col min="9512" max="9512" width="1.5703125" style="608" hidden="1" customWidth="1"/>
    <col min="9513" max="9728" width="2.5703125" style="608" hidden="1"/>
    <col min="9729" max="9729" width="1.5703125" style="608" hidden="1" customWidth="1"/>
    <col min="9730" max="9730" width="0.85546875" style="608" hidden="1" customWidth="1"/>
    <col min="9731" max="9746" width="2.5703125" style="608" hidden="1" customWidth="1"/>
    <col min="9747" max="9747" width="4" style="608" hidden="1" customWidth="1"/>
    <col min="9748" max="9751" width="2.5703125" style="608" hidden="1" customWidth="1"/>
    <col min="9752" max="9752" width="2.42578125" style="608" hidden="1" customWidth="1"/>
    <col min="9753" max="9756" width="2.5703125" style="608" hidden="1" customWidth="1"/>
    <col min="9757" max="9757" width="2.42578125" style="608" hidden="1" customWidth="1"/>
    <col min="9758" max="9761" width="2.5703125" style="608" hidden="1" customWidth="1"/>
    <col min="9762" max="9767" width="2.42578125" style="608" hidden="1" customWidth="1"/>
    <col min="9768" max="9768" width="1.5703125" style="608" hidden="1" customWidth="1"/>
    <col min="9769" max="9984" width="2.5703125" style="608" hidden="1"/>
    <col min="9985" max="9985" width="1.5703125" style="608" hidden="1" customWidth="1"/>
    <col min="9986" max="9986" width="0.85546875" style="608" hidden="1" customWidth="1"/>
    <col min="9987" max="10002" width="2.5703125" style="608" hidden="1" customWidth="1"/>
    <col min="10003" max="10003" width="4" style="608" hidden="1" customWidth="1"/>
    <col min="10004" max="10007" width="2.5703125" style="608" hidden="1" customWidth="1"/>
    <col min="10008" max="10008" width="2.42578125" style="608" hidden="1" customWidth="1"/>
    <col min="10009" max="10012" width="2.5703125" style="608" hidden="1" customWidth="1"/>
    <col min="10013" max="10013" width="2.42578125" style="608" hidden="1" customWidth="1"/>
    <col min="10014" max="10017" width="2.5703125" style="608" hidden="1" customWidth="1"/>
    <col min="10018" max="10023" width="2.42578125" style="608" hidden="1" customWidth="1"/>
    <col min="10024" max="10024" width="1.5703125" style="608" hidden="1" customWidth="1"/>
    <col min="10025" max="10240" width="2.5703125" style="608" hidden="1"/>
    <col min="10241" max="10241" width="1.5703125" style="608" hidden="1" customWidth="1"/>
    <col min="10242" max="10242" width="0.85546875" style="608" hidden="1" customWidth="1"/>
    <col min="10243" max="10258" width="2.5703125" style="608" hidden="1" customWidth="1"/>
    <col min="10259" max="10259" width="4" style="608" hidden="1" customWidth="1"/>
    <col min="10260" max="10263" width="2.5703125" style="608" hidden="1" customWidth="1"/>
    <col min="10264" max="10264" width="2.42578125" style="608" hidden="1" customWidth="1"/>
    <col min="10265" max="10268" width="2.5703125" style="608" hidden="1" customWidth="1"/>
    <col min="10269" max="10269" width="2.42578125" style="608" hidden="1" customWidth="1"/>
    <col min="10270" max="10273" width="2.5703125" style="608" hidden="1" customWidth="1"/>
    <col min="10274" max="10279" width="2.42578125" style="608" hidden="1" customWidth="1"/>
    <col min="10280" max="10280" width="1.5703125" style="608" hidden="1" customWidth="1"/>
    <col min="10281" max="10496" width="2.5703125" style="608" hidden="1"/>
    <col min="10497" max="10497" width="1.5703125" style="608" hidden="1" customWidth="1"/>
    <col min="10498" max="10498" width="0.85546875" style="608" hidden="1" customWidth="1"/>
    <col min="10499" max="10514" width="2.5703125" style="608" hidden="1" customWidth="1"/>
    <col min="10515" max="10515" width="4" style="608" hidden="1" customWidth="1"/>
    <col min="10516" max="10519" width="2.5703125" style="608" hidden="1" customWidth="1"/>
    <col min="10520" max="10520" width="2.42578125" style="608" hidden="1" customWidth="1"/>
    <col min="10521" max="10524" width="2.5703125" style="608" hidden="1" customWidth="1"/>
    <col min="10525" max="10525" width="2.42578125" style="608" hidden="1" customWidth="1"/>
    <col min="10526" max="10529" width="2.5703125" style="608" hidden="1" customWidth="1"/>
    <col min="10530" max="10535" width="2.42578125" style="608" hidden="1" customWidth="1"/>
    <col min="10536" max="10536" width="1.5703125" style="608" hidden="1" customWidth="1"/>
    <col min="10537" max="10752" width="2.5703125" style="608" hidden="1"/>
    <col min="10753" max="10753" width="1.5703125" style="608" hidden="1" customWidth="1"/>
    <col min="10754" max="10754" width="0.85546875" style="608" hidden="1" customWidth="1"/>
    <col min="10755" max="10770" width="2.5703125" style="608" hidden="1" customWidth="1"/>
    <col min="10771" max="10771" width="4" style="608" hidden="1" customWidth="1"/>
    <col min="10772" max="10775" width="2.5703125" style="608" hidden="1" customWidth="1"/>
    <col min="10776" max="10776" width="2.42578125" style="608" hidden="1" customWidth="1"/>
    <col min="10777" max="10780" width="2.5703125" style="608" hidden="1" customWidth="1"/>
    <col min="10781" max="10781" width="2.42578125" style="608" hidden="1" customWidth="1"/>
    <col min="10782" max="10785" width="2.5703125" style="608" hidden="1" customWidth="1"/>
    <col min="10786" max="10791" width="2.42578125" style="608" hidden="1" customWidth="1"/>
    <col min="10792" max="10792" width="1.5703125" style="608" hidden="1" customWidth="1"/>
    <col min="10793" max="11008" width="2.5703125" style="608" hidden="1"/>
    <col min="11009" max="11009" width="1.5703125" style="608" hidden="1" customWidth="1"/>
    <col min="11010" max="11010" width="0.85546875" style="608" hidden="1" customWidth="1"/>
    <col min="11011" max="11026" width="2.5703125" style="608" hidden="1" customWidth="1"/>
    <col min="11027" max="11027" width="4" style="608" hidden="1" customWidth="1"/>
    <col min="11028" max="11031" width="2.5703125" style="608" hidden="1" customWidth="1"/>
    <col min="11032" max="11032" width="2.42578125" style="608" hidden="1" customWidth="1"/>
    <col min="11033" max="11036" width="2.5703125" style="608" hidden="1" customWidth="1"/>
    <col min="11037" max="11037" width="2.42578125" style="608" hidden="1" customWidth="1"/>
    <col min="11038" max="11041" width="2.5703125" style="608" hidden="1" customWidth="1"/>
    <col min="11042" max="11047" width="2.42578125" style="608" hidden="1" customWidth="1"/>
    <col min="11048" max="11048" width="1.5703125" style="608" hidden="1" customWidth="1"/>
    <col min="11049" max="11264" width="2.5703125" style="608" hidden="1"/>
    <col min="11265" max="11265" width="1.5703125" style="608" hidden="1" customWidth="1"/>
    <col min="11266" max="11266" width="0.85546875" style="608" hidden="1" customWidth="1"/>
    <col min="11267" max="11282" width="2.5703125" style="608" hidden="1" customWidth="1"/>
    <col min="11283" max="11283" width="4" style="608" hidden="1" customWidth="1"/>
    <col min="11284" max="11287" width="2.5703125" style="608" hidden="1" customWidth="1"/>
    <col min="11288" max="11288" width="2.42578125" style="608" hidden="1" customWidth="1"/>
    <col min="11289" max="11292" width="2.5703125" style="608" hidden="1" customWidth="1"/>
    <col min="11293" max="11293" width="2.42578125" style="608" hidden="1" customWidth="1"/>
    <col min="11294" max="11297" width="2.5703125" style="608" hidden="1" customWidth="1"/>
    <col min="11298" max="11303" width="2.42578125" style="608" hidden="1" customWidth="1"/>
    <col min="11304" max="11304" width="1.5703125" style="608" hidden="1" customWidth="1"/>
    <col min="11305" max="11520" width="2.5703125" style="608" hidden="1"/>
    <col min="11521" max="11521" width="1.5703125" style="608" hidden="1" customWidth="1"/>
    <col min="11522" max="11522" width="0.85546875" style="608" hidden="1" customWidth="1"/>
    <col min="11523" max="11538" width="2.5703125" style="608" hidden="1" customWidth="1"/>
    <col min="11539" max="11539" width="4" style="608" hidden="1" customWidth="1"/>
    <col min="11540" max="11543" width="2.5703125" style="608" hidden="1" customWidth="1"/>
    <col min="11544" max="11544" width="2.42578125" style="608" hidden="1" customWidth="1"/>
    <col min="11545" max="11548" width="2.5703125" style="608" hidden="1" customWidth="1"/>
    <col min="11549" max="11549" width="2.42578125" style="608" hidden="1" customWidth="1"/>
    <col min="11550" max="11553" width="2.5703125" style="608" hidden="1" customWidth="1"/>
    <col min="11554" max="11559" width="2.42578125" style="608" hidden="1" customWidth="1"/>
    <col min="11560" max="11560" width="1.5703125" style="608" hidden="1" customWidth="1"/>
    <col min="11561" max="11776" width="2.5703125" style="608" hidden="1"/>
    <col min="11777" max="11777" width="1.5703125" style="608" hidden="1" customWidth="1"/>
    <col min="11778" max="11778" width="0.85546875" style="608" hidden="1" customWidth="1"/>
    <col min="11779" max="11794" width="2.5703125" style="608" hidden="1" customWidth="1"/>
    <col min="11795" max="11795" width="4" style="608" hidden="1" customWidth="1"/>
    <col min="11796" max="11799" width="2.5703125" style="608" hidden="1" customWidth="1"/>
    <col min="11800" max="11800" width="2.42578125" style="608" hidden="1" customWidth="1"/>
    <col min="11801" max="11804" width="2.5703125" style="608" hidden="1" customWidth="1"/>
    <col min="11805" max="11805" width="2.42578125" style="608" hidden="1" customWidth="1"/>
    <col min="11806" max="11809" width="2.5703125" style="608" hidden="1" customWidth="1"/>
    <col min="11810" max="11815" width="2.42578125" style="608" hidden="1" customWidth="1"/>
    <col min="11816" max="11816" width="1.5703125" style="608" hidden="1" customWidth="1"/>
    <col min="11817" max="12032" width="2.5703125" style="608" hidden="1"/>
    <col min="12033" max="12033" width="1.5703125" style="608" hidden="1" customWidth="1"/>
    <col min="12034" max="12034" width="0.85546875" style="608" hidden="1" customWidth="1"/>
    <col min="12035" max="12050" width="2.5703125" style="608" hidden="1" customWidth="1"/>
    <col min="12051" max="12051" width="4" style="608" hidden="1" customWidth="1"/>
    <col min="12052" max="12055" width="2.5703125" style="608" hidden="1" customWidth="1"/>
    <col min="12056" max="12056" width="2.42578125" style="608" hidden="1" customWidth="1"/>
    <col min="12057" max="12060" width="2.5703125" style="608" hidden="1" customWidth="1"/>
    <col min="12061" max="12061" width="2.42578125" style="608" hidden="1" customWidth="1"/>
    <col min="12062" max="12065" width="2.5703125" style="608" hidden="1" customWidth="1"/>
    <col min="12066" max="12071" width="2.42578125" style="608" hidden="1" customWidth="1"/>
    <col min="12072" max="12072" width="1.5703125" style="608" hidden="1" customWidth="1"/>
    <col min="12073" max="12288" width="2.5703125" style="608" hidden="1"/>
    <col min="12289" max="12289" width="1.5703125" style="608" hidden="1" customWidth="1"/>
    <col min="12290" max="12290" width="0.85546875" style="608" hidden="1" customWidth="1"/>
    <col min="12291" max="12306" width="2.5703125" style="608" hidden="1" customWidth="1"/>
    <col min="12307" max="12307" width="4" style="608" hidden="1" customWidth="1"/>
    <col min="12308" max="12311" width="2.5703125" style="608" hidden="1" customWidth="1"/>
    <col min="12312" max="12312" width="2.42578125" style="608" hidden="1" customWidth="1"/>
    <col min="12313" max="12316" width="2.5703125" style="608" hidden="1" customWidth="1"/>
    <col min="12317" max="12317" width="2.42578125" style="608" hidden="1" customWidth="1"/>
    <col min="12318" max="12321" width="2.5703125" style="608" hidden="1" customWidth="1"/>
    <col min="12322" max="12327" width="2.42578125" style="608" hidden="1" customWidth="1"/>
    <col min="12328" max="12328" width="1.5703125" style="608" hidden="1" customWidth="1"/>
    <col min="12329" max="12544" width="2.5703125" style="608" hidden="1"/>
    <col min="12545" max="12545" width="1.5703125" style="608" hidden="1" customWidth="1"/>
    <col min="12546" max="12546" width="0.85546875" style="608" hidden="1" customWidth="1"/>
    <col min="12547" max="12562" width="2.5703125" style="608" hidden="1" customWidth="1"/>
    <col min="12563" max="12563" width="4" style="608" hidden="1" customWidth="1"/>
    <col min="12564" max="12567" width="2.5703125" style="608" hidden="1" customWidth="1"/>
    <col min="12568" max="12568" width="2.42578125" style="608" hidden="1" customWidth="1"/>
    <col min="12569" max="12572" width="2.5703125" style="608" hidden="1" customWidth="1"/>
    <col min="12573" max="12573" width="2.42578125" style="608" hidden="1" customWidth="1"/>
    <col min="12574" max="12577" width="2.5703125" style="608" hidden="1" customWidth="1"/>
    <col min="12578" max="12583" width="2.42578125" style="608" hidden="1" customWidth="1"/>
    <col min="12584" max="12584" width="1.5703125" style="608" hidden="1" customWidth="1"/>
    <col min="12585" max="12800" width="2.5703125" style="608" hidden="1"/>
    <col min="12801" max="12801" width="1.5703125" style="608" hidden="1" customWidth="1"/>
    <col min="12802" max="12802" width="0.85546875" style="608" hidden="1" customWidth="1"/>
    <col min="12803" max="12818" width="2.5703125" style="608" hidden="1" customWidth="1"/>
    <col min="12819" max="12819" width="4" style="608" hidden="1" customWidth="1"/>
    <col min="12820" max="12823" width="2.5703125" style="608" hidden="1" customWidth="1"/>
    <col min="12824" max="12824" width="2.42578125" style="608" hidden="1" customWidth="1"/>
    <col min="12825" max="12828" width="2.5703125" style="608" hidden="1" customWidth="1"/>
    <col min="12829" max="12829" width="2.42578125" style="608" hidden="1" customWidth="1"/>
    <col min="12830" max="12833" width="2.5703125" style="608" hidden="1" customWidth="1"/>
    <col min="12834" max="12839" width="2.42578125" style="608" hidden="1" customWidth="1"/>
    <col min="12840" max="12840" width="1.5703125" style="608" hidden="1" customWidth="1"/>
    <col min="12841" max="13056" width="2.5703125" style="608" hidden="1"/>
    <col min="13057" max="13057" width="1.5703125" style="608" hidden="1" customWidth="1"/>
    <col min="13058" max="13058" width="0.85546875" style="608" hidden="1" customWidth="1"/>
    <col min="13059" max="13074" width="2.5703125" style="608" hidden="1" customWidth="1"/>
    <col min="13075" max="13075" width="4" style="608" hidden="1" customWidth="1"/>
    <col min="13076" max="13079" width="2.5703125" style="608" hidden="1" customWidth="1"/>
    <col min="13080" max="13080" width="2.42578125" style="608" hidden="1" customWidth="1"/>
    <col min="13081" max="13084" width="2.5703125" style="608" hidden="1" customWidth="1"/>
    <col min="13085" max="13085" width="2.42578125" style="608" hidden="1" customWidth="1"/>
    <col min="13086" max="13089" width="2.5703125" style="608" hidden="1" customWidth="1"/>
    <col min="13090" max="13095" width="2.42578125" style="608" hidden="1" customWidth="1"/>
    <col min="13096" max="13096" width="1.5703125" style="608" hidden="1" customWidth="1"/>
    <col min="13097" max="13312" width="2.5703125" style="608" hidden="1"/>
    <col min="13313" max="13313" width="1.5703125" style="608" hidden="1" customWidth="1"/>
    <col min="13314" max="13314" width="0.85546875" style="608" hidden="1" customWidth="1"/>
    <col min="13315" max="13330" width="2.5703125" style="608" hidden="1" customWidth="1"/>
    <col min="13331" max="13331" width="4" style="608" hidden="1" customWidth="1"/>
    <col min="13332" max="13335" width="2.5703125" style="608" hidden="1" customWidth="1"/>
    <col min="13336" max="13336" width="2.42578125" style="608" hidden="1" customWidth="1"/>
    <col min="13337" max="13340" width="2.5703125" style="608" hidden="1" customWidth="1"/>
    <col min="13341" max="13341" width="2.42578125" style="608" hidden="1" customWidth="1"/>
    <col min="13342" max="13345" width="2.5703125" style="608" hidden="1" customWidth="1"/>
    <col min="13346" max="13351" width="2.42578125" style="608" hidden="1" customWidth="1"/>
    <col min="13352" max="13352" width="1.5703125" style="608" hidden="1" customWidth="1"/>
    <col min="13353" max="13568" width="2.5703125" style="608" hidden="1"/>
    <col min="13569" max="13569" width="1.5703125" style="608" hidden="1" customWidth="1"/>
    <col min="13570" max="13570" width="0.85546875" style="608" hidden="1" customWidth="1"/>
    <col min="13571" max="13586" width="2.5703125" style="608" hidden="1" customWidth="1"/>
    <col min="13587" max="13587" width="4" style="608" hidden="1" customWidth="1"/>
    <col min="13588" max="13591" width="2.5703125" style="608" hidden="1" customWidth="1"/>
    <col min="13592" max="13592" width="2.42578125" style="608" hidden="1" customWidth="1"/>
    <col min="13593" max="13596" width="2.5703125" style="608" hidden="1" customWidth="1"/>
    <col min="13597" max="13597" width="2.42578125" style="608" hidden="1" customWidth="1"/>
    <col min="13598" max="13601" width="2.5703125" style="608" hidden="1" customWidth="1"/>
    <col min="13602" max="13607" width="2.42578125" style="608" hidden="1" customWidth="1"/>
    <col min="13608" max="13608" width="1.5703125" style="608" hidden="1" customWidth="1"/>
    <col min="13609" max="13824" width="2.5703125" style="608" hidden="1"/>
    <col min="13825" max="13825" width="1.5703125" style="608" hidden="1" customWidth="1"/>
    <col min="13826" max="13826" width="0.85546875" style="608" hidden="1" customWidth="1"/>
    <col min="13827" max="13842" width="2.5703125" style="608" hidden="1" customWidth="1"/>
    <col min="13843" max="13843" width="4" style="608" hidden="1" customWidth="1"/>
    <col min="13844" max="13847" width="2.5703125" style="608" hidden="1" customWidth="1"/>
    <col min="13848" max="13848" width="2.42578125" style="608" hidden="1" customWidth="1"/>
    <col min="13849" max="13852" width="2.5703125" style="608" hidden="1" customWidth="1"/>
    <col min="13853" max="13853" width="2.42578125" style="608" hidden="1" customWidth="1"/>
    <col min="13854" max="13857" width="2.5703125" style="608" hidden="1" customWidth="1"/>
    <col min="13858" max="13863" width="2.42578125" style="608" hidden="1" customWidth="1"/>
    <col min="13864" max="13864" width="1.5703125" style="608" hidden="1" customWidth="1"/>
    <col min="13865" max="14080" width="2.5703125" style="608" hidden="1"/>
    <col min="14081" max="14081" width="1.5703125" style="608" hidden="1" customWidth="1"/>
    <col min="14082" max="14082" width="0.85546875" style="608" hidden="1" customWidth="1"/>
    <col min="14083" max="14098" width="2.5703125" style="608" hidden="1" customWidth="1"/>
    <col min="14099" max="14099" width="4" style="608" hidden="1" customWidth="1"/>
    <col min="14100" max="14103" width="2.5703125" style="608" hidden="1" customWidth="1"/>
    <col min="14104" max="14104" width="2.42578125" style="608" hidden="1" customWidth="1"/>
    <col min="14105" max="14108" width="2.5703125" style="608" hidden="1" customWidth="1"/>
    <col min="14109" max="14109" width="2.42578125" style="608" hidden="1" customWidth="1"/>
    <col min="14110" max="14113" width="2.5703125" style="608" hidden="1" customWidth="1"/>
    <col min="14114" max="14119" width="2.42578125" style="608" hidden="1" customWidth="1"/>
    <col min="14120" max="14120" width="1.5703125" style="608" hidden="1" customWidth="1"/>
    <col min="14121" max="14336" width="2.5703125" style="608" hidden="1"/>
    <col min="14337" max="14337" width="1.5703125" style="608" hidden="1" customWidth="1"/>
    <col min="14338" max="14338" width="0.85546875" style="608" hidden="1" customWidth="1"/>
    <col min="14339" max="14354" width="2.5703125" style="608" hidden="1" customWidth="1"/>
    <col min="14355" max="14355" width="4" style="608" hidden="1" customWidth="1"/>
    <col min="14356" max="14359" width="2.5703125" style="608" hidden="1" customWidth="1"/>
    <col min="14360" max="14360" width="2.42578125" style="608" hidden="1" customWidth="1"/>
    <col min="14361" max="14364" width="2.5703125" style="608" hidden="1" customWidth="1"/>
    <col min="14365" max="14365" width="2.42578125" style="608" hidden="1" customWidth="1"/>
    <col min="14366" max="14369" width="2.5703125" style="608" hidden="1" customWidth="1"/>
    <col min="14370" max="14375" width="2.42578125" style="608" hidden="1" customWidth="1"/>
    <col min="14376" max="14376" width="1.5703125" style="608" hidden="1" customWidth="1"/>
    <col min="14377" max="14592" width="2.5703125" style="608" hidden="1"/>
    <col min="14593" max="14593" width="1.5703125" style="608" hidden="1" customWidth="1"/>
    <col min="14594" max="14594" width="0.85546875" style="608" hidden="1" customWidth="1"/>
    <col min="14595" max="14610" width="2.5703125" style="608" hidden="1" customWidth="1"/>
    <col min="14611" max="14611" width="4" style="608" hidden="1" customWidth="1"/>
    <col min="14612" max="14615" width="2.5703125" style="608" hidden="1" customWidth="1"/>
    <col min="14616" max="14616" width="2.42578125" style="608" hidden="1" customWidth="1"/>
    <col min="14617" max="14620" width="2.5703125" style="608" hidden="1" customWidth="1"/>
    <col min="14621" max="14621" width="2.42578125" style="608" hidden="1" customWidth="1"/>
    <col min="14622" max="14625" width="2.5703125" style="608" hidden="1" customWidth="1"/>
    <col min="14626" max="14631" width="2.42578125" style="608" hidden="1" customWidth="1"/>
    <col min="14632" max="14632" width="1.5703125" style="608" hidden="1" customWidth="1"/>
    <col min="14633" max="14848" width="2.5703125" style="608" hidden="1"/>
    <col min="14849" max="14849" width="1.5703125" style="608" hidden="1" customWidth="1"/>
    <col min="14850" max="14850" width="0.85546875" style="608" hidden="1" customWidth="1"/>
    <col min="14851" max="14866" width="2.5703125" style="608" hidden="1" customWidth="1"/>
    <col min="14867" max="14867" width="4" style="608" hidden="1" customWidth="1"/>
    <col min="14868" max="14871" width="2.5703125" style="608" hidden="1" customWidth="1"/>
    <col min="14872" max="14872" width="2.42578125" style="608" hidden="1" customWidth="1"/>
    <col min="14873" max="14876" width="2.5703125" style="608" hidden="1" customWidth="1"/>
    <col min="14877" max="14877" width="2.42578125" style="608" hidden="1" customWidth="1"/>
    <col min="14878" max="14881" width="2.5703125" style="608" hidden="1" customWidth="1"/>
    <col min="14882" max="14887" width="2.42578125" style="608" hidden="1" customWidth="1"/>
    <col min="14888" max="14888" width="1.5703125" style="608" hidden="1" customWidth="1"/>
    <col min="14889" max="15104" width="2.5703125" style="608" hidden="1"/>
    <col min="15105" max="15105" width="1.5703125" style="608" hidden="1" customWidth="1"/>
    <col min="15106" max="15106" width="0.85546875" style="608" hidden="1" customWidth="1"/>
    <col min="15107" max="15122" width="2.5703125" style="608" hidden="1" customWidth="1"/>
    <col min="15123" max="15123" width="4" style="608" hidden="1" customWidth="1"/>
    <col min="15124" max="15127" width="2.5703125" style="608" hidden="1" customWidth="1"/>
    <col min="15128" max="15128" width="2.42578125" style="608" hidden="1" customWidth="1"/>
    <col min="15129" max="15132" width="2.5703125" style="608" hidden="1" customWidth="1"/>
    <col min="15133" max="15133" width="2.42578125" style="608" hidden="1" customWidth="1"/>
    <col min="15134" max="15137" width="2.5703125" style="608" hidden="1" customWidth="1"/>
    <col min="15138" max="15143" width="2.42578125" style="608" hidden="1" customWidth="1"/>
    <col min="15144" max="15144" width="1.5703125" style="608" hidden="1" customWidth="1"/>
    <col min="15145" max="15360" width="2.5703125" style="608" hidden="1"/>
    <col min="15361" max="15361" width="1.5703125" style="608" hidden="1" customWidth="1"/>
    <col min="15362" max="15362" width="0.85546875" style="608" hidden="1" customWidth="1"/>
    <col min="15363" max="15378" width="2.5703125" style="608" hidden="1" customWidth="1"/>
    <col min="15379" max="15379" width="4" style="608" hidden="1" customWidth="1"/>
    <col min="15380" max="15383" width="2.5703125" style="608" hidden="1" customWidth="1"/>
    <col min="15384" max="15384" width="2.42578125" style="608" hidden="1" customWidth="1"/>
    <col min="15385" max="15388" width="2.5703125" style="608" hidden="1" customWidth="1"/>
    <col min="15389" max="15389" width="2.42578125" style="608" hidden="1" customWidth="1"/>
    <col min="15390" max="15393" width="2.5703125" style="608" hidden="1" customWidth="1"/>
    <col min="15394" max="15399" width="2.42578125" style="608" hidden="1" customWidth="1"/>
    <col min="15400" max="15400" width="1.5703125" style="608" hidden="1" customWidth="1"/>
    <col min="15401" max="15616" width="2.5703125" style="608" hidden="1"/>
    <col min="15617" max="15617" width="1.5703125" style="608" hidden="1" customWidth="1"/>
    <col min="15618" max="15618" width="0.85546875" style="608" hidden="1" customWidth="1"/>
    <col min="15619" max="15634" width="2.5703125" style="608" hidden="1" customWidth="1"/>
    <col min="15635" max="15635" width="4" style="608" hidden="1" customWidth="1"/>
    <col min="15636" max="15639" width="2.5703125" style="608" hidden="1" customWidth="1"/>
    <col min="15640" max="15640" width="2.42578125" style="608" hidden="1" customWidth="1"/>
    <col min="15641" max="15644" width="2.5703125" style="608" hidden="1" customWidth="1"/>
    <col min="15645" max="15645" width="2.42578125" style="608" hidden="1" customWidth="1"/>
    <col min="15646" max="15649" width="2.5703125" style="608" hidden="1" customWidth="1"/>
    <col min="15650" max="15655" width="2.42578125" style="608" hidden="1" customWidth="1"/>
    <col min="15656" max="15656" width="1.5703125" style="608" hidden="1" customWidth="1"/>
    <col min="15657" max="15872" width="2.5703125" style="608" hidden="1"/>
    <col min="15873" max="15873" width="1.5703125" style="608" hidden="1" customWidth="1"/>
    <col min="15874" max="15874" width="0.85546875" style="608" hidden="1" customWidth="1"/>
    <col min="15875" max="15890" width="2.5703125" style="608" hidden="1" customWidth="1"/>
    <col min="15891" max="15891" width="4" style="608" hidden="1" customWidth="1"/>
    <col min="15892" max="15895" width="2.5703125" style="608" hidden="1" customWidth="1"/>
    <col min="15896" max="15896" width="2.42578125" style="608" hidden="1" customWidth="1"/>
    <col min="15897" max="15900" width="2.5703125" style="608" hidden="1" customWidth="1"/>
    <col min="15901" max="15901" width="2.42578125" style="608" hidden="1" customWidth="1"/>
    <col min="15902" max="15905" width="2.5703125" style="608" hidden="1" customWidth="1"/>
    <col min="15906" max="15911" width="2.42578125" style="608" hidden="1" customWidth="1"/>
    <col min="15912" max="15912" width="1.5703125" style="608" hidden="1" customWidth="1"/>
    <col min="15913" max="16128" width="2.5703125" style="608" hidden="1"/>
    <col min="16129" max="16129" width="1.5703125" style="608" hidden="1" customWidth="1"/>
    <col min="16130" max="16130" width="0.85546875" style="608" hidden="1" customWidth="1"/>
    <col min="16131" max="16146" width="2.5703125" style="608" hidden="1" customWidth="1"/>
    <col min="16147" max="16147" width="4" style="608" hidden="1" customWidth="1"/>
    <col min="16148" max="16151" width="2.5703125" style="608" hidden="1" customWidth="1"/>
    <col min="16152" max="16152" width="2.42578125" style="608" hidden="1" customWidth="1"/>
    <col min="16153" max="16156" width="2.5703125" style="608" hidden="1" customWidth="1"/>
    <col min="16157" max="16157" width="2.42578125" style="608" hidden="1" customWidth="1"/>
    <col min="16158" max="16161" width="2.5703125" style="608" hidden="1" customWidth="1"/>
    <col min="16162" max="16167" width="2.42578125" style="608" hidden="1" customWidth="1"/>
    <col min="16168" max="16168" width="1.5703125" style="608" hidden="1" customWidth="1"/>
    <col min="16169" max="16384" width="2.5703125" style="608" hidden="1"/>
  </cols>
  <sheetData>
    <row r="1" spans="1:98" ht="12.95" customHeight="1">
      <c r="A1" s="3309" t="s">
        <v>1443</v>
      </c>
      <c r="B1" s="3309"/>
      <c r="C1" s="3309"/>
      <c r="D1" s="3309"/>
      <c r="E1" s="3309"/>
      <c r="F1" s="3309"/>
      <c r="G1" s="3309"/>
      <c r="H1" s="3309"/>
      <c r="I1" s="3309"/>
      <c r="J1" s="3309"/>
      <c r="K1" s="3309"/>
      <c r="L1" s="3309"/>
      <c r="M1" s="3309"/>
      <c r="N1" s="3309"/>
      <c r="O1" s="3309"/>
      <c r="P1" s="3309"/>
      <c r="Q1" s="3309"/>
      <c r="R1" s="3309"/>
      <c r="S1" s="3309"/>
      <c r="T1" s="3309"/>
      <c r="U1" s="3309"/>
      <c r="V1" s="3309"/>
      <c r="W1" s="3309"/>
      <c r="X1" s="3309"/>
      <c r="Y1" s="3309"/>
      <c r="Z1" s="3309"/>
      <c r="AA1" s="3309"/>
      <c r="AB1" s="3309"/>
      <c r="AC1" s="3309"/>
      <c r="AD1" s="3309"/>
      <c r="AE1" s="3309"/>
      <c r="AF1" s="3309"/>
      <c r="AG1" s="3309"/>
      <c r="AH1" s="3309"/>
      <c r="AI1" s="3309"/>
      <c r="AJ1" s="3309"/>
      <c r="AK1" s="3309"/>
      <c r="AL1" s="3309"/>
      <c r="AM1" s="3309"/>
      <c r="AN1" s="3309"/>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2.95" customHeight="1" thickBot="1">
      <c r="A2" s="3310"/>
      <c r="B2" s="3310"/>
      <c r="C2" s="3310"/>
      <c r="D2" s="3310"/>
      <c r="E2" s="3310"/>
      <c r="F2" s="3310"/>
      <c r="G2" s="3310"/>
      <c r="H2" s="3310"/>
      <c r="I2" s="3310"/>
      <c r="J2" s="3310"/>
      <c r="K2" s="3310"/>
      <c r="L2" s="3310"/>
      <c r="M2" s="3310"/>
      <c r="N2" s="3310"/>
      <c r="O2" s="3310"/>
      <c r="P2" s="3310"/>
      <c r="Q2" s="3310"/>
      <c r="R2" s="3310"/>
      <c r="S2" s="3310"/>
      <c r="T2" s="3310"/>
      <c r="U2" s="3310"/>
      <c r="V2" s="3310"/>
      <c r="W2" s="3310"/>
      <c r="X2" s="3310"/>
      <c r="Y2" s="3310"/>
      <c r="Z2" s="3310"/>
      <c r="AA2" s="3310"/>
      <c r="AB2" s="3310"/>
      <c r="AC2" s="3310"/>
      <c r="AD2" s="3310"/>
      <c r="AE2" s="3310"/>
      <c r="AF2" s="3310"/>
      <c r="AG2" s="3310"/>
      <c r="AH2" s="3310"/>
      <c r="AI2" s="3310"/>
      <c r="AJ2" s="3310"/>
      <c r="AK2" s="3310"/>
      <c r="AL2" s="3310"/>
      <c r="AM2" s="3310"/>
      <c r="AN2" s="3310"/>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2.95" customHeight="1"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2.95" customHeight="1">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2.95" customHeight="1">
      <c r="A5" s="613" t="s">
        <v>320</v>
      </c>
      <c r="B5" s="711"/>
      <c r="C5" s="613" t="s">
        <v>123</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2.95" customHeight="1">
      <c r="A6" s="613"/>
      <c r="B6" s="608"/>
      <c r="C6" s="661" t="s">
        <v>1384</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2.95" customHeight="1">
      <c r="A7" s="608"/>
      <c r="B7" s="614"/>
      <c r="C7" s="615"/>
      <c r="D7" s="615"/>
      <c r="E7" s="615"/>
      <c r="F7" s="615"/>
      <c r="G7" s="615"/>
      <c r="H7" s="615"/>
      <c r="I7" s="615"/>
      <c r="J7" s="615"/>
      <c r="K7" s="615"/>
      <c r="L7" s="615"/>
      <c r="M7" s="615"/>
      <c r="N7" s="615"/>
      <c r="O7" s="615"/>
      <c r="P7" s="615"/>
      <c r="Q7" s="615"/>
      <c r="R7" s="615"/>
      <c r="S7" s="615"/>
      <c r="T7" s="3311" t="str">
        <f xml:space="preserve"> IF(T25=100%,'Sources and Basis Breakdown'!G2,'Sources and Basis Breakdown'!F2)</f>
        <v>30% PVC for New Const/
Rehabilitation
NON-DDA/
NON-QCT Building(s)</v>
      </c>
      <c r="U7" s="3311"/>
      <c r="V7" s="3311"/>
      <c r="W7" s="3311"/>
      <c r="X7" s="3311"/>
      <c r="Y7" s="3311" t="str">
        <f>IF(T25=100%," ",'Sources and Basis Breakdown'!G2)</f>
        <v xml:space="preserve"> </v>
      </c>
      <c r="Z7" s="3311"/>
      <c r="AA7" s="3311"/>
      <c r="AB7" s="3311"/>
      <c r="AC7" s="3311"/>
      <c r="AD7" s="3311" t="str">
        <f xml:space="preserve"> IF(T25=100%, 'Sources and Basis Breakdown'!J2,'Sources and Basis Breakdown'!I2)</f>
        <v>30% PVC for Acquisition
NON-DDA/
NON-QCT Building(s)</v>
      </c>
      <c r="AE7" s="3311"/>
      <c r="AF7" s="3311"/>
      <c r="AG7" s="3311"/>
      <c r="AH7" s="3311"/>
      <c r="AI7" s="3311" t="str">
        <f>IF(T25=100%," ",'Sources and Basis Breakdown'!J2)</f>
        <v xml:space="preserve"> </v>
      </c>
      <c r="AJ7" s="3311"/>
      <c r="AK7" s="3311"/>
      <c r="AL7" s="3311"/>
      <c r="AM7" s="3311"/>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2.95" customHeight="1">
      <c r="A8" s="608"/>
      <c r="B8" s="616"/>
      <c r="C8" s="617"/>
      <c r="D8" s="617"/>
      <c r="E8" s="617"/>
      <c r="F8" s="617"/>
      <c r="G8" s="617"/>
      <c r="H8" s="617"/>
      <c r="I8" s="617"/>
      <c r="J8" s="617"/>
      <c r="K8" s="617"/>
      <c r="L8" s="617"/>
      <c r="M8" s="617"/>
      <c r="N8" s="617"/>
      <c r="O8" s="617"/>
      <c r="P8" s="617"/>
      <c r="Q8" s="617"/>
      <c r="R8" s="617"/>
      <c r="S8" s="617"/>
      <c r="T8" s="3311"/>
      <c r="U8" s="3311"/>
      <c r="V8" s="3311"/>
      <c r="W8" s="3311"/>
      <c r="X8" s="3311"/>
      <c r="Y8" s="3311"/>
      <c r="Z8" s="3311"/>
      <c r="AA8" s="3311"/>
      <c r="AB8" s="3311"/>
      <c r="AC8" s="3311"/>
      <c r="AD8" s="3311"/>
      <c r="AE8" s="3311"/>
      <c r="AF8" s="3311"/>
      <c r="AG8" s="3311"/>
      <c r="AH8" s="3311"/>
      <c r="AI8" s="3311"/>
      <c r="AJ8" s="3311"/>
      <c r="AK8" s="3311"/>
      <c r="AL8" s="3311"/>
      <c r="AM8" s="3311"/>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2.95" customHeight="1">
      <c r="A9" s="608"/>
      <c r="B9" s="616"/>
      <c r="C9" s="617"/>
      <c r="D9" s="617"/>
      <c r="E9" s="617"/>
      <c r="F9" s="617"/>
      <c r="G9" s="617"/>
      <c r="H9" s="617"/>
      <c r="I9" s="617"/>
      <c r="J9" s="617"/>
      <c r="K9" s="617"/>
      <c r="L9" s="617"/>
      <c r="M9" s="617"/>
      <c r="N9" s="617"/>
      <c r="O9" s="617"/>
      <c r="P9" s="617"/>
      <c r="Q9" s="617"/>
      <c r="R9" s="617"/>
      <c r="S9" s="617"/>
      <c r="T9" s="3311"/>
      <c r="U9" s="3311"/>
      <c r="V9" s="3311"/>
      <c r="W9" s="3311"/>
      <c r="X9" s="3311"/>
      <c r="Y9" s="3311"/>
      <c r="Z9" s="3311"/>
      <c r="AA9" s="3311"/>
      <c r="AB9" s="3311"/>
      <c r="AC9" s="3311"/>
      <c r="AD9" s="3311"/>
      <c r="AE9" s="3311"/>
      <c r="AF9" s="3311"/>
      <c r="AG9" s="3311"/>
      <c r="AH9" s="3311"/>
      <c r="AI9" s="3311"/>
      <c r="AJ9" s="3311"/>
      <c r="AK9" s="3311"/>
      <c r="AL9" s="3311"/>
      <c r="AM9" s="3311"/>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12.95" customHeight="1">
      <c r="A10" s="608"/>
      <c r="B10" s="618"/>
      <c r="C10" s="619"/>
      <c r="D10" s="619"/>
      <c r="E10" s="619"/>
      <c r="F10" s="619"/>
      <c r="G10" s="619"/>
      <c r="H10" s="619"/>
      <c r="I10" s="619"/>
      <c r="J10" s="619"/>
      <c r="K10" s="619"/>
      <c r="L10" s="619"/>
      <c r="M10" s="619"/>
      <c r="N10" s="619"/>
      <c r="O10" s="619"/>
      <c r="P10" s="619"/>
      <c r="Q10" s="619"/>
      <c r="R10" s="619"/>
      <c r="S10" s="619"/>
      <c r="T10" s="3311"/>
      <c r="U10" s="3311"/>
      <c r="V10" s="3311"/>
      <c r="W10" s="3311"/>
      <c r="X10" s="3311"/>
      <c r="Y10" s="3311"/>
      <c r="Z10" s="3311"/>
      <c r="AA10" s="3311"/>
      <c r="AB10" s="3311"/>
      <c r="AC10" s="3311"/>
      <c r="AD10" s="3311"/>
      <c r="AE10" s="3311"/>
      <c r="AF10" s="3311"/>
      <c r="AG10" s="3311"/>
      <c r="AH10" s="3311"/>
      <c r="AI10" s="3311"/>
      <c r="AJ10" s="3311"/>
      <c r="AK10" s="3311"/>
      <c r="AL10" s="3311"/>
      <c r="AM10" s="3311"/>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2.95" customHeight="1">
      <c r="A11" s="608"/>
      <c r="B11" s="3281" t="s">
        <v>376</v>
      </c>
      <c r="C11" s="3282"/>
      <c r="D11" s="3282"/>
      <c r="E11" s="3282"/>
      <c r="F11" s="3282"/>
      <c r="G11" s="3282"/>
      <c r="H11" s="3282"/>
      <c r="I11" s="3282"/>
      <c r="J11" s="3282"/>
      <c r="K11" s="3282"/>
      <c r="L11" s="3282"/>
      <c r="M11" s="3282"/>
      <c r="N11" s="3282"/>
      <c r="O11" s="3282"/>
      <c r="P11" s="3282"/>
      <c r="Q11" s="3282"/>
      <c r="R11" s="3282"/>
      <c r="S11" s="3283"/>
      <c r="T11" s="3312">
        <f>IF('Sources and Basis Breakdown'!F107=0,'Sources and Basis Breakdown'!E107,'Sources and Basis Breakdown'!F107)</f>
        <v>40559791</v>
      </c>
      <c r="U11" s="3313"/>
      <c r="V11" s="3313"/>
      <c r="W11" s="3313"/>
      <c r="X11" s="3313"/>
      <c r="Y11" s="3312">
        <f>IF(Y7=" ",0,IF('Sources and Basis Breakdown'!G107+'Sources and Basis Breakdown'!F107='Sources and Basis Breakdown'!E107,'Sources and Basis Breakdown'!G107,0))</f>
        <v>0</v>
      </c>
      <c r="Z11" s="3313"/>
      <c r="AA11" s="3313"/>
      <c r="AB11" s="3313"/>
      <c r="AC11" s="3313"/>
      <c r="AD11" s="3313">
        <f>IF('Sources and Basis Breakdown'!I107=0,'Sources and Basis Breakdown'!H107,'Sources and Basis Breakdown'!I107)</f>
        <v>0</v>
      </c>
      <c r="AE11" s="3313"/>
      <c r="AF11" s="3313"/>
      <c r="AG11" s="3313"/>
      <c r="AH11" s="3313"/>
      <c r="AI11" s="3313">
        <f>IF(Y7=" ",0,IF('Sources and Basis Breakdown'!I107+'Sources and Basis Breakdown'!J107='Sources and Basis Breakdown'!H107,'Sources and Basis Breakdown'!J107,0))</f>
        <v>0</v>
      </c>
      <c r="AJ11" s="3313"/>
      <c r="AK11" s="3313"/>
      <c r="AL11" s="3313"/>
      <c r="AM11" s="3313"/>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2.95" customHeight="1">
      <c r="A12" s="608"/>
      <c r="B12" s="3304" t="s">
        <v>506</v>
      </c>
      <c r="C12" s="3305"/>
      <c r="D12" s="3305"/>
      <c r="E12" s="3305"/>
      <c r="F12" s="3305"/>
      <c r="G12" s="3305"/>
      <c r="H12" s="3305"/>
      <c r="I12" s="3305"/>
      <c r="J12" s="3305"/>
      <c r="K12" s="3305"/>
      <c r="L12" s="3305"/>
      <c r="M12" s="3305"/>
      <c r="N12" s="3305"/>
      <c r="O12" s="3305"/>
      <c r="P12" s="3305"/>
      <c r="Q12" s="3305"/>
      <c r="R12" s="3305"/>
      <c r="S12" s="3306"/>
      <c r="T12" s="3269"/>
      <c r="U12" s="3270"/>
      <c r="V12" s="3270"/>
      <c r="W12" s="3270"/>
      <c r="X12" s="3271"/>
      <c r="Y12" s="3269"/>
      <c r="Z12" s="3270"/>
      <c r="AA12" s="3270"/>
      <c r="AB12" s="3270"/>
      <c r="AC12" s="3271"/>
      <c r="AD12" s="3269"/>
      <c r="AE12" s="3270"/>
      <c r="AF12" s="3270"/>
      <c r="AG12" s="3270"/>
      <c r="AH12" s="3271"/>
      <c r="AI12" s="3269"/>
      <c r="AJ12" s="3270"/>
      <c r="AK12" s="3270"/>
      <c r="AL12" s="3270"/>
      <c r="AM12" s="3271"/>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2.95" customHeight="1">
      <c r="A13" s="608"/>
      <c r="B13" s="659"/>
      <c r="C13" s="3307" t="s">
        <v>507</v>
      </c>
      <c r="D13" s="3307"/>
      <c r="E13" s="3307"/>
      <c r="F13" s="3307"/>
      <c r="G13" s="3307"/>
      <c r="H13" s="3307"/>
      <c r="I13" s="3307"/>
      <c r="J13" s="3307"/>
      <c r="K13" s="3307"/>
      <c r="L13" s="3307"/>
      <c r="M13" s="3307"/>
      <c r="N13" s="3307"/>
      <c r="O13" s="3307"/>
      <c r="P13" s="3307"/>
      <c r="Q13" s="3307"/>
      <c r="R13" s="3307"/>
      <c r="S13" s="3308"/>
      <c r="T13" s="3314"/>
      <c r="U13" s="3315"/>
      <c r="V13" s="3315"/>
      <c r="W13" s="3315"/>
      <c r="X13" s="3315"/>
      <c r="Y13" s="3314"/>
      <c r="Z13" s="3315"/>
      <c r="AA13" s="3315"/>
      <c r="AB13" s="3315"/>
      <c r="AC13" s="3315"/>
      <c r="AD13" s="3315"/>
      <c r="AE13" s="3315"/>
      <c r="AF13" s="3315"/>
      <c r="AG13" s="3315"/>
      <c r="AH13" s="3315"/>
      <c r="AI13" s="3315"/>
      <c r="AJ13" s="3315"/>
      <c r="AK13" s="3315"/>
      <c r="AL13" s="3315"/>
      <c r="AM13" s="3315"/>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2.95" customHeight="1">
      <c r="A14" s="608"/>
      <c r="B14" s="659"/>
      <c r="C14" s="3307" t="s">
        <v>508</v>
      </c>
      <c r="D14" s="3307"/>
      <c r="E14" s="3307"/>
      <c r="F14" s="3307"/>
      <c r="G14" s="3307"/>
      <c r="H14" s="3307"/>
      <c r="I14" s="3307"/>
      <c r="J14" s="3307"/>
      <c r="K14" s="3307"/>
      <c r="L14" s="3307"/>
      <c r="M14" s="3307"/>
      <c r="N14" s="3307"/>
      <c r="O14" s="3307"/>
      <c r="P14" s="3307"/>
      <c r="Q14" s="3307"/>
      <c r="R14" s="3307"/>
      <c r="S14" s="3308"/>
      <c r="T14" s="3272"/>
      <c r="U14" s="3273"/>
      <c r="V14" s="3273"/>
      <c r="W14" s="3273"/>
      <c r="X14" s="3273"/>
      <c r="Y14" s="3272"/>
      <c r="Z14" s="3273"/>
      <c r="AA14" s="3273"/>
      <c r="AB14" s="3273"/>
      <c r="AC14" s="3273"/>
      <c r="AD14" s="3273"/>
      <c r="AE14" s="3273"/>
      <c r="AF14" s="3273"/>
      <c r="AG14" s="3273"/>
      <c r="AH14" s="3273"/>
      <c r="AI14" s="3273"/>
      <c r="AJ14" s="3273"/>
      <c r="AK14" s="3273"/>
      <c r="AL14" s="3273"/>
      <c r="AM14" s="3273"/>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2.95" customHeight="1">
      <c r="A15" s="608"/>
      <c r="B15" s="659"/>
      <c r="C15" s="3307" t="s">
        <v>509</v>
      </c>
      <c r="D15" s="3307"/>
      <c r="E15" s="3307"/>
      <c r="F15" s="3307"/>
      <c r="G15" s="3307"/>
      <c r="H15" s="3307"/>
      <c r="I15" s="3307"/>
      <c r="J15" s="3307"/>
      <c r="K15" s="3307"/>
      <c r="L15" s="3307"/>
      <c r="M15" s="3307"/>
      <c r="N15" s="3307"/>
      <c r="O15" s="3307"/>
      <c r="P15" s="3307"/>
      <c r="Q15" s="3307"/>
      <c r="R15" s="3307"/>
      <c r="S15" s="3308"/>
      <c r="T15" s="3272"/>
      <c r="U15" s="3273"/>
      <c r="V15" s="3273"/>
      <c r="W15" s="3273"/>
      <c r="X15" s="3273"/>
      <c r="Y15" s="3272"/>
      <c r="Z15" s="3273"/>
      <c r="AA15" s="3273"/>
      <c r="AB15" s="3273"/>
      <c r="AC15" s="3273"/>
      <c r="AD15" s="3273"/>
      <c r="AE15" s="3273"/>
      <c r="AF15" s="3273"/>
      <c r="AG15" s="3273"/>
      <c r="AH15" s="3273"/>
      <c r="AI15" s="3273"/>
      <c r="AJ15" s="3273"/>
      <c r="AK15" s="3273"/>
      <c r="AL15" s="3273"/>
      <c r="AM15" s="3273"/>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2.95" customHeight="1">
      <c r="A16" s="608"/>
      <c r="B16" s="659"/>
      <c r="C16" s="3307" t="s">
        <v>830</v>
      </c>
      <c r="D16" s="3307"/>
      <c r="E16" s="3307"/>
      <c r="F16" s="3307"/>
      <c r="G16" s="3307"/>
      <c r="H16" s="3307"/>
      <c r="I16" s="3307"/>
      <c r="J16" s="3307"/>
      <c r="K16" s="3307"/>
      <c r="L16" s="3307"/>
      <c r="M16" s="3307"/>
      <c r="N16" s="3307"/>
      <c r="O16" s="3307"/>
      <c r="P16" s="3307"/>
      <c r="Q16" s="3307"/>
      <c r="R16" s="3307"/>
      <c r="S16" s="3308"/>
      <c r="T16" s="3272"/>
      <c r="U16" s="3273"/>
      <c r="V16" s="3273"/>
      <c r="W16" s="3273"/>
      <c r="X16" s="3273"/>
      <c r="Y16" s="3272"/>
      <c r="Z16" s="3273"/>
      <c r="AA16" s="3273"/>
      <c r="AB16" s="3273"/>
      <c r="AC16" s="3273"/>
      <c r="AD16" s="3273"/>
      <c r="AE16" s="3273"/>
      <c r="AF16" s="3273"/>
      <c r="AG16" s="3273"/>
      <c r="AH16" s="3273"/>
      <c r="AI16" s="3273"/>
      <c r="AJ16" s="3273"/>
      <c r="AK16" s="3273"/>
      <c r="AL16" s="3273"/>
      <c r="AM16" s="3273"/>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2.95" customHeight="1">
      <c r="A17" s="608"/>
      <c r="B17" s="659"/>
      <c r="C17" s="3307" t="s">
        <v>510</v>
      </c>
      <c r="D17" s="3307"/>
      <c r="E17" s="3307"/>
      <c r="F17" s="3307"/>
      <c r="G17" s="3307"/>
      <c r="H17" s="3307"/>
      <c r="I17" s="3307"/>
      <c r="J17" s="3307"/>
      <c r="K17" s="3307"/>
      <c r="L17" s="3307"/>
      <c r="M17" s="3307"/>
      <c r="N17" s="3307"/>
      <c r="O17" s="3307"/>
      <c r="P17" s="3307"/>
      <c r="Q17" s="3307"/>
      <c r="R17" s="3307"/>
      <c r="S17" s="3308"/>
      <c r="T17" s="3272"/>
      <c r="U17" s="3273"/>
      <c r="V17" s="3273"/>
      <c r="W17" s="3273"/>
      <c r="X17" s="3273"/>
      <c r="Y17" s="3272"/>
      <c r="Z17" s="3273"/>
      <c r="AA17" s="3273"/>
      <c r="AB17" s="3273"/>
      <c r="AC17" s="3273"/>
      <c r="AD17" s="3273"/>
      <c r="AE17" s="3273"/>
      <c r="AF17" s="3273"/>
      <c r="AG17" s="3273"/>
      <c r="AH17" s="3273"/>
      <c r="AI17" s="3273"/>
      <c r="AJ17" s="3273"/>
      <c r="AK17" s="3273"/>
      <c r="AL17" s="3273"/>
      <c r="AM17" s="3273"/>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2.95" customHeight="1">
      <c r="A18" s="706"/>
      <c r="B18" s="1849"/>
      <c r="C18" s="2391" t="s">
        <v>999</v>
      </c>
      <c r="D18" s="2391"/>
      <c r="E18" s="2391"/>
      <c r="F18" s="2391"/>
      <c r="G18" s="2391"/>
      <c r="H18" s="2391"/>
      <c r="I18" s="2391"/>
      <c r="J18" s="2391"/>
      <c r="K18" s="2391"/>
      <c r="L18" s="2391"/>
      <c r="M18" s="2391"/>
      <c r="N18" s="2391"/>
      <c r="O18" s="2391"/>
      <c r="P18" s="2391"/>
      <c r="Q18" s="2391"/>
      <c r="R18" s="2391"/>
      <c r="S18" s="2392"/>
      <c r="T18" s="3272"/>
      <c r="U18" s="3273"/>
      <c r="V18" s="3273"/>
      <c r="W18" s="3273"/>
      <c r="X18" s="3273"/>
      <c r="Y18" s="3272"/>
      <c r="Z18" s="3273"/>
      <c r="AA18" s="3273"/>
      <c r="AB18" s="3273"/>
      <c r="AC18" s="3273"/>
      <c r="AD18" s="3273"/>
      <c r="AE18" s="3273"/>
      <c r="AF18" s="3273"/>
      <c r="AG18" s="3273"/>
      <c r="AH18" s="3273"/>
      <c r="AI18" s="3273"/>
      <c r="AJ18" s="3273"/>
      <c r="AK18" s="3273"/>
      <c r="AL18" s="3273"/>
      <c r="AM18" s="3273"/>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2.95" customHeight="1">
      <c r="A19" s="608"/>
      <c r="B19" s="1849"/>
      <c r="C19" s="2391" t="s">
        <v>999</v>
      </c>
      <c r="D19" s="2391"/>
      <c r="E19" s="2391"/>
      <c r="F19" s="2391"/>
      <c r="G19" s="2391"/>
      <c r="H19" s="2391"/>
      <c r="I19" s="2391"/>
      <c r="J19" s="2391"/>
      <c r="K19" s="2391"/>
      <c r="L19" s="2391"/>
      <c r="M19" s="2391"/>
      <c r="N19" s="2391"/>
      <c r="O19" s="2391"/>
      <c r="P19" s="2391"/>
      <c r="Q19" s="2391"/>
      <c r="R19" s="2391"/>
      <c r="S19" s="2392"/>
      <c r="T19" s="3272"/>
      <c r="U19" s="3273"/>
      <c r="V19" s="3273"/>
      <c r="W19" s="3273"/>
      <c r="X19" s="3273"/>
      <c r="Y19" s="3272"/>
      <c r="Z19" s="3273"/>
      <c r="AA19" s="3273"/>
      <c r="AB19" s="3273"/>
      <c r="AC19" s="3273"/>
      <c r="AD19" s="3273"/>
      <c r="AE19" s="3273"/>
      <c r="AF19" s="3273"/>
      <c r="AG19" s="3273"/>
      <c r="AH19" s="3273"/>
      <c r="AI19" s="3273"/>
      <c r="AJ19" s="3273"/>
      <c r="AK19" s="3273"/>
      <c r="AL19" s="3273"/>
      <c r="AM19" s="3273"/>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2.95" customHeight="1">
      <c r="A20" s="608"/>
      <c r="B20" s="3281" t="s">
        <v>511</v>
      </c>
      <c r="C20" s="3282"/>
      <c r="D20" s="3282"/>
      <c r="E20" s="3282"/>
      <c r="F20" s="3282"/>
      <c r="G20" s="3282"/>
      <c r="H20" s="3282"/>
      <c r="I20" s="3282"/>
      <c r="J20" s="3282"/>
      <c r="K20" s="3282"/>
      <c r="L20" s="3282"/>
      <c r="M20" s="3282"/>
      <c r="N20" s="3282"/>
      <c r="O20" s="3282"/>
      <c r="P20" s="3282"/>
      <c r="Q20" s="3282"/>
      <c r="R20" s="3282"/>
      <c r="S20" s="3283"/>
      <c r="T20" s="3274">
        <f>SUM(T13:X19)</f>
        <v>0</v>
      </c>
      <c r="U20" s="3275"/>
      <c r="V20" s="3275"/>
      <c r="W20" s="3275"/>
      <c r="X20" s="3275"/>
      <c r="Y20" s="3274">
        <f>SUM(Y13:AC19)</f>
        <v>0</v>
      </c>
      <c r="Z20" s="3275"/>
      <c r="AA20" s="3275"/>
      <c r="AB20" s="3275"/>
      <c r="AC20" s="3275"/>
      <c r="AD20" s="3276">
        <f>SUM(AD13:AH19)</f>
        <v>0</v>
      </c>
      <c r="AE20" s="3277"/>
      <c r="AF20" s="3277"/>
      <c r="AG20" s="3277"/>
      <c r="AH20" s="3274"/>
      <c r="AI20" s="3276">
        <f>SUM(AI13:AM19)</f>
        <v>0</v>
      </c>
      <c r="AJ20" s="3277"/>
      <c r="AK20" s="3277"/>
      <c r="AL20" s="3277"/>
      <c r="AM20" s="3274"/>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2.95" customHeight="1">
      <c r="A21" s="608"/>
      <c r="B21" s="3281" t="s">
        <v>1420</v>
      </c>
      <c r="C21" s="3282"/>
      <c r="D21" s="3282"/>
      <c r="E21" s="3282"/>
      <c r="F21" s="3282"/>
      <c r="G21" s="3282"/>
      <c r="H21" s="3282"/>
      <c r="I21" s="3282"/>
      <c r="J21" s="3282"/>
      <c r="K21" s="3282"/>
      <c r="L21" s="3282"/>
      <c r="M21" s="3282"/>
      <c r="N21" s="3282"/>
      <c r="O21" s="3282"/>
      <c r="P21" s="3282"/>
      <c r="Q21" s="3282"/>
      <c r="R21" s="3282"/>
      <c r="S21" s="3283"/>
      <c r="T21" s="3272"/>
      <c r="U21" s="3273"/>
      <c r="V21" s="3273"/>
      <c r="W21" s="3273"/>
      <c r="X21" s="3273"/>
      <c r="Y21" s="3272"/>
      <c r="Z21" s="3273"/>
      <c r="AA21" s="3273"/>
      <c r="AB21" s="3273"/>
      <c r="AC21" s="3273"/>
      <c r="AD21" s="3269"/>
      <c r="AE21" s="3270"/>
      <c r="AF21" s="3270"/>
      <c r="AG21" s="3270"/>
      <c r="AH21" s="3271"/>
      <c r="AI21" s="3269"/>
      <c r="AJ21" s="3270"/>
      <c r="AK21" s="3270"/>
      <c r="AL21" s="3270"/>
      <c r="AM21" s="3271"/>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2.95" customHeight="1">
      <c r="A22" s="608"/>
      <c r="B22" s="3281" t="s">
        <v>512</v>
      </c>
      <c r="C22" s="3282"/>
      <c r="D22" s="3282"/>
      <c r="E22" s="3282"/>
      <c r="F22" s="3282"/>
      <c r="G22" s="3282"/>
      <c r="H22" s="3282"/>
      <c r="I22" s="3282"/>
      <c r="J22" s="3282"/>
      <c r="K22" s="3282"/>
      <c r="L22" s="3282"/>
      <c r="M22" s="3282"/>
      <c r="N22" s="3282"/>
      <c r="O22" s="3282"/>
      <c r="P22" s="3282"/>
      <c r="Q22" s="3282"/>
      <c r="R22" s="3282"/>
      <c r="S22" s="3283"/>
      <c r="T22" s="3316">
        <f>(T20+T21)*-1</f>
        <v>0</v>
      </c>
      <c r="U22" s="3317"/>
      <c r="V22" s="3317"/>
      <c r="W22" s="3317"/>
      <c r="X22" s="3317"/>
      <c r="Y22" s="3316">
        <f>(Y20+Y21)*-1</f>
        <v>0</v>
      </c>
      <c r="Z22" s="3317"/>
      <c r="AA22" s="3317"/>
      <c r="AB22" s="3317"/>
      <c r="AC22" s="3317"/>
      <c r="AD22" s="3318">
        <f>(AD20)*-1</f>
        <v>0</v>
      </c>
      <c r="AE22" s="3319"/>
      <c r="AF22" s="3319"/>
      <c r="AG22" s="3319"/>
      <c r="AH22" s="3316"/>
      <c r="AI22" s="3318">
        <f>(AI20)*-1</f>
        <v>0</v>
      </c>
      <c r="AJ22" s="3319"/>
      <c r="AK22" s="3319"/>
      <c r="AL22" s="3319"/>
      <c r="AM22" s="3316"/>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2.95" customHeight="1">
      <c r="A23" s="609"/>
      <c r="B23" s="3284" t="s">
        <v>513</v>
      </c>
      <c r="C23" s="3285"/>
      <c r="D23" s="3285"/>
      <c r="E23" s="3285"/>
      <c r="F23" s="3285"/>
      <c r="G23" s="3285"/>
      <c r="H23" s="3285"/>
      <c r="I23" s="3285"/>
      <c r="J23" s="3285"/>
      <c r="K23" s="3285"/>
      <c r="L23" s="3285"/>
      <c r="M23" s="3285"/>
      <c r="N23" s="3285"/>
      <c r="O23" s="3285"/>
      <c r="P23" s="3285"/>
      <c r="Q23" s="3285"/>
      <c r="R23" s="3285"/>
      <c r="S23" s="3286"/>
      <c r="T23" s="3274">
        <f>T11+T22</f>
        <v>40559791</v>
      </c>
      <c r="U23" s="3275"/>
      <c r="V23" s="3275"/>
      <c r="W23" s="3275"/>
      <c r="X23" s="3275"/>
      <c r="Y23" s="3274">
        <f>Y11+Y22</f>
        <v>0</v>
      </c>
      <c r="Z23" s="3275"/>
      <c r="AA23" s="3275"/>
      <c r="AB23" s="3275"/>
      <c r="AC23" s="3275"/>
      <c r="AD23" s="3274">
        <f>AD11+AD22</f>
        <v>0</v>
      </c>
      <c r="AE23" s="3275"/>
      <c r="AF23" s="3275"/>
      <c r="AG23" s="3275"/>
      <c r="AH23" s="3275"/>
      <c r="AI23" s="3274">
        <f>AI11+AI22</f>
        <v>0</v>
      </c>
      <c r="AJ23" s="3275"/>
      <c r="AK23" s="3275"/>
      <c r="AL23" s="3275"/>
      <c r="AM23" s="3275"/>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2.95" customHeight="1">
      <c r="A24" s="608"/>
      <c r="B24" s="3281" t="s">
        <v>1000</v>
      </c>
      <c r="C24" s="3282"/>
      <c r="D24" s="3282"/>
      <c r="E24" s="3282"/>
      <c r="F24" s="3282"/>
      <c r="G24" s="3282"/>
      <c r="H24" s="3282"/>
      <c r="I24" s="3282"/>
      <c r="J24" s="3282"/>
      <c r="K24" s="3282"/>
      <c r="L24" s="3282"/>
      <c r="M24" s="3282"/>
      <c r="N24" s="3282"/>
      <c r="O24" s="3282"/>
      <c r="P24" s="3282"/>
      <c r="Q24" s="3282"/>
      <c r="R24" s="3282"/>
      <c r="S24" s="3283"/>
      <c r="T24" s="3276">
        <f>Application!AJ1018</f>
        <v>58255074.200000003</v>
      </c>
      <c r="U24" s="3277"/>
      <c r="V24" s="3277"/>
      <c r="W24" s="3277"/>
      <c r="X24" s="3277"/>
      <c r="Y24" s="3277"/>
      <c r="Z24" s="3277"/>
      <c r="AA24" s="3277"/>
      <c r="AB24" s="3277"/>
      <c r="AC24" s="3277"/>
      <c r="AD24" s="3277"/>
      <c r="AE24" s="3277"/>
      <c r="AF24" s="3277"/>
      <c r="AG24" s="3277"/>
      <c r="AH24" s="3277"/>
      <c r="AI24" s="3277"/>
      <c r="AJ24" s="3277"/>
      <c r="AK24" s="3277"/>
      <c r="AL24" s="3277"/>
      <c r="AM24" s="3274"/>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2.95" customHeight="1">
      <c r="A25" s="608"/>
      <c r="B25" s="3288" t="s">
        <v>1421</v>
      </c>
      <c r="C25" s="3289"/>
      <c r="D25" s="3289"/>
      <c r="E25" s="3289"/>
      <c r="F25" s="3289"/>
      <c r="G25" s="3289"/>
      <c r="H25" s="3289"/>
      <c r="I25" s="3289"/>
      <c r="J25" s="3289"/>
      <c r="K25" s="3289"/>
      <c r="L25" s="3289"/>
      <c r="M25" s="3289"/>
      <c r="N25" s="3289"/>
      <c r="O25" s="3289"/>
      <c r="P25" s="3289"/>
      <c r="Q25" s="3289"/>
      <c r="R25" s="3289"/>
      <c r="S25" s="3290"/>
      <c r="T25" s="3320">
        <f>IF(OR(Application!T195="yes",Application!T194="yes"),1.3,1)</f>
        <v>1</v>
      </c>
      <c r="U25" s="3321"/>
      <c r="V25" s="3321"/>
      <c r="W25" s="3321"/>
      <c r="X25" s="3321"/>
      <c r="Y25" s="3320">
        <v>1</v>
      </c>
      <c r="Z25" s="3321"/>
      <c r="AA25" s="3321"/>
      <c r="AB25" s="3321"/>
      <c r="AC25" s="3321"/>
      <c r="AD25" s="3320">
        <v>1</v>
      </c>
      <c r="AE25" s="3321"/>
      <c r="AF25" s="3321"/>
      <c r="AG25" s="3321"/>
      <c r="AH25" s="3322"/>
      <c r="AI25" s="3320">
        <v>1</v>
      </c>
      <c r="AJ25" s="3321"/>
      <c r="AK25" s="3321"/>
      <c r="AL25" s="3321"/>
      <c r="AM25" s="3322"/>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2.95" customHeight="1">
      <c r="A26" s="608"/>
      <c r="B26" s="3281" t="s">
        <v>514</v>
      </c>
      <c r="C26" s="3282"/>
      <c r="D26" s="3282"/>
      <c r="E26" s="3282"/>
      <c r="F26" s="3282"/>
      <c r="G26" s="3282"/>
      <c r="H26" s="3282"/>
      <c r="I26" s="3282"/>
      <c r="J26" s="3282"/>
      <c r="K26" s="3282"/>
      <c r="L26" s="3282"/>
      <c r="M26" s="3282"/>
      <c r="N26" s="3282"/>
      <c r="O26" s="3282"/>
      <c r="P26" s="3282"/>
      <c r="Q26" s="3282"/>
      <c r="R26" s="3282"/>
      <c r="S26" s="3283"/>
      <c r="T26" s="3323">
        <f>T23*T25</f>
        <v>40559791</v>
      </c>
      <c r="U26" s="3324"/>
      <c r="V26" s="3324"/>
      <c r="W26" s="3324"/>
      <c r="X26" s="3324"/>
      <c r="Y26" s="3323">
        <f>Y23*Y25</f>
        <v>0</v>
      </c>
      <c r="Z26" s="3324"/>
      <c r="AA26" s="3324"/>
      <c r="AB26" s="3324"/>
      <c r="AC26" s="3324"/>
      <c r="AD26" s="3323">
        <f>AD23*AD25</f>
        <v>0</v>
      </c>
      <c r="AE26" s="3324"/>
      <c r="AF26" s="3324"/>
      <c r="AG26" s="3324"/>
      <c r="AH26" s="3324"/>
      <c r="AI26" s="3323">
        <f>AI23*AI25</f>
        <v>0</v>
      </c>
      <c r="AJ26" s="3324"/>
      <c r="AK26" s="3324"/>
      <c r="AL26" s="3324"/>
      <c r="AM26" s="3324"/>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2.95" customHeight="1">
      <c r="A27" s="620"/>
      <c r="B27" s="3291" t="s">
        <v>427</v>
      </c>
      <c r="C27" s="3292"/>
      <c r="D27" s="3292"/>
      <c r="E27" s="3292"/>
      <c r="F27" s="3292"/>
      <c r="G27" s="3292"/>
      <c r="H27" s="3292"/>
      <c r="I27" s="3292"/>
      <c r="J27" s="3292"/>
      <c r="K27" s="3292"/>
      <c r="L27" s="3292"/>
      <c r="M27" s="3292"/>
      <c r="N27" s="3292"/>
      <c r="O27" s="3292"/>
      <c r="P27" s="3292"/>
      <c r="Q27" s="3292"/>
      <c r="R27" s="3292"/>
      <c r="S27" s="3293"/>
      <c r="T27" s="3302">
        <f>Application!$AG$444</f>
        <v>1</v>
      </c>
      <c r="U27" s="3303"/>
      <c r="V27" s="3303"/>
      <c r="W27" s="3303"/>
      <c r="X27" s="3303"/>
      <c r="Y27" s="3302">
        <f>Application!$AG$444</f>
        <v>1</v>
      </c>
      <c r="Z27" s="3303"/>
      <c r="AA27" s="3303"/>
      <c r="AB27" s="3303"/>
      <c r="AC27" s="3303"/>
      <c r="AD27" s="3302">
        <f>Application!$AG$444</f>
        <v>1</v>
      </c>
      <c r="AE27" s="3303"/>
      <c r="AF27" s="3303"/>
      <c r="AG27" s="3303"/>
      <c r="AH27" s="3303"/>
      <c r="AI27" s="3302">
        <f>Application!$AG$444</f>
        <v>1</v>
      </c>
      <c r="AJ27" s="3303"/>
      <c r="AK27" s="3303"/>
      <c r="AL27" s="3303"/>
      <c r="AM27" s="3303"/>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2.95" customHeight="1">
      <c r="A28" s="613"/>
      <c r="B28" s="3281" t="s">
        <v>515</v>
      </c>
      <c r="C28" s="3282"/>
      <c r="D28" s="3282"/>
      <c r="E28" s="3282"/>
      <c r="F28" s="3282"/>
      <c r="G28" s="3282"/>
      <c r="H28" s="3282"/>
      <c r="I28" s="3282"/>
      <c r="J28" s="3282"/>
      <c r="K28" s="3282"/>
      <c r="L28" s="3282"/>
      <c r="M28" s="3282"/>
      <c r="N28" s="3282"/>
      <c r="O28" s="3282"/>
      <c r="P28" s="3282"/>
      <c r="Q28" s="3282"/>
      <c r="R28" s="3282"/>
      <c r="S28" s="3283"/>
      <c r="T28" s="3294">
        <f>IF(ISERROR((T26*T27)),0,(T26*T27))</f>
        <v>40559791</v>
      </c>
      <c r="U28" s="3295"/>
      <c r="V28" s="3295"/>
      <c r="W28" s="3295"/>
      <c r="X28" s="3295"/>
      <c r="Y28" s="3294">
        <f>IF(ISERROR((Y26*Y27)),0,(Y26*Y27))</f>
        <v>0</v>
      </c>
      <c r="Z28" s="3295"/>
      <c r="AA28" s="3295"/>
      <c r="AB28" s="3295"/>
      <c r="AC28" s="3295"/>
      <c r="AD28" s="3294">
        <f>IF(ISERROR((AD26*AD27)),0,(AD26*AD27))</f>
        <v>0</v>
      </c>
      <c r="AE28" s="3295"/>
      <c r="AF28" s="3295"/>
      <c r="AG28" s="3295"/>
      <c r="AH28" s="3295"/>
      <c r="AI28" s="3294">
        <f>IF(ISERROR((AI26*AI27)),0,(AI26*AI27))</f>
        <v>0</v>
      </c>
      <c r="AJ28" s="3295"/>
      <c r="AK28" s="3295"/>
      <c r="AL28" s="3295"/>
      <c r="AM28" s="3295"/>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2.95" customHeight="1">
      <c r="A29" s="608"/>
      <c r="B29" s="3281" t="s">
        <v>532</v>
      </c>
      <c r="C29" s="3282"/>
      <c r="D29" s="3282"/>
      <c r="E29" s="3282"/>
      <c r="F29" s="3282"/>
      <c r="G29" s="3282"/>
      <c r="H29" s="3282"/>
      <c r="I29" s="3282"/>
      <c r="J29" s="3282"/>
      <c r="K29" s="3282"/>
      <c r="L29" s="3282"/>
      <c r="M29" s="3282"/>
      <c r="N29" s="3282"/>
      <c r="O29" s="3282"/>
      <c r="P29" s="3282"/>
      <c r="Q29" s="3282"/>
      <c r="R29" s="3282"/>
      <c r="S29" s="3283"/>
      <c r="T29" s="3276">
        <f>T28+Y28+AD28+AI28</f>
        <v>40559791</v>
      </c>
      <c r="U29" s="3277"/>
      <c r="V29" s="3277"/>
      <c r="W29" s="3277"/>
      <c r="X29" s="3277"/>
      <c r="Y29" s="3277"/>
      <c r="Z29" s="3277"/>
      <c r="AA29" s="3277"/>
      <c r="AB29" s="3277"/>
      <c r="AC29" s="3277"/>
      <c r="AD29" s="3277"/>
      <c r="AE29" s="3277"/>
      <c r="AF29" s="3277"/>
      <c r="AG29" s="3277"/>
      <c r="AH29" s="3277"/>
      <c r="AI29" s="3277"/>
      <c r="AJ29" s="3277"/>
      <c r="AK29" s="3277"/>
      <c r="AL29" s="3277"/>
      <c r="AM29" s="3274"/>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2.95" customHeight="1">
      <c r="A30" s="608"/>
      <c r="B30" s="3287" t="s">
        <v>1423</v>
      </c>
      <c r="C30" s="3287"/>
      <c r="D30" s="3287"/>
      <c r="E30" s="3287"/>
      <c r="F30" s="3287"/>
      <c r="G30" s="3287"/>
      <c r="H30" s="3287"/>
      <c r="I30" s="3287"/>
      <c r="J30" s="3287"/>
      <c r="K30" s="3287"/>
      <c r="L30" s="3287"/>
      <c r="M30" s="3287"/>
      <c r="N30" s="3287"/>
      <c r="O30" s="3287"/>
      <c r="P30" s="3287"/>
      <c r="Q30" s="3287"/>
      <c r="R30" s="3287"/>
      <c r="S30" s="3287"/>
      <c r="T30" s="3287"/>
      <c r="U30" s="3287"/>
      <c r="V30" s="3287"/>
      <c r="W30" s="3287"/>
      <c r="X30" s="3287"/>
      <c r="Y30" s="3287"/>
      <c r="Z30" s="3287"/>
      <c r="AA30" s="3287"/>
      <c r="AB30" s="3287"/>
      <c r="AC30" s="3287"/>
      <c r="AD30" s="3287"/>
      <c r="AE30" s="3287"/>
      <c r="AF30" s="3287"/>
      <c r="AG30" s="3287"/>
      <c r="AH30" s="3287"/>
      <c r="AI30" s="3287"/>
      <c r="AJ30" s="3287"/>
      <c r="AK30" s="3287"/>
      <c r="AL30" s="3287"/>
      <c r="AM30" s="3287"/>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0" customFormat="1" ht="12.95" customHeight="1">
      <c r="A31" s="617"/>
      <c r="B31" s="3287" t="s">
        <v>1422</v>
      </c>
      <c r="C31" s="3287"/>
      <c r="D31" s="3287"/>
      <c r="E31" s="3287"/>
      <c r="F31" s="3287"/>
      <c r="G31" s="3287"/>
      <c r="H31" s="3287"/>
      <c r="I31" s="3287"/>
      <c r="J31" s="3287"/>
      <c r="K31" s="3287"/>
      <c r="L31" s="3287"/>
      <c r="M31" s="3287"/>
      <c r="N31" s="3287"/>
      <c r="O31" s="3287"/>
      <c r="P31" s="3287"/>
      <c r="Q31" s="3287"/>
      <c r="R31" s="3287"/>
      <c r="S31" s="3287"/>
      <c r="T31" s="3287"/>
      <c r="U31" s="3287"/>
      <c r="V31" s="3287"/>
      <c r="W31" s="3287"/>
      <c r="X31" s="3287"/>
      <c r="Y31" s="3287"/>
      <c r="Z31" s="3287"/>
      <c r="AA31" s="3287"/>
      <c r="AB31" s="3287"/>
      <c r="AC31" s="3287"/>
      <c r="AD31" s="3287"/>
      <c r="AE31" s="3287"/>
      <c r="AF31" s="3287"/>
      <c r="AG31" s="3287"/>
      <c r="AH31" s="3287"/>
      <c r="AI31" s="3287"/>
      <c r="AJ31" s="3287"/>
      <c r="AK31" s="3287"/>
      <c r="AL31" s="3287"/>
      <c r="AM31" s="3287"/>
      <c r="AN31" s="867"/>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row>
    <row r="32" spans="1:98" ht="12.95" customHeight="1">
      <c r="A32" s="608"/>
      <c r="B32" s="658"/>
      <c r="C32" s="851" t="s">
        <v>388</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2.95" customHeight="1">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2.95" customHeight="1">
      <c r="A34" s="613" t="s">
        <v>585</v>
      </c>
      <c r="B34" s="608"/>
      <c r="C34" s="613" t="s">
        <v>577</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2.95"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311" t="s">
        <v>1292</v>
      </c>
      <c r="Z35" s="3311"/>
      <c r="AA35" s="3311"/>
      <c r="AB35" s="3311"/>
      <c r="AC35" s="3311"/>
      <c r="AD35" s="3337" t="s">
        <v>370</v>
      </c>
      <c r="AE35" s="3337"/>
      <c r="AF35" s="3337"/>
      <c r="AG35" s="3337"/>
      <c r="AH35" s="3337"/>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2.95"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311"/>
      <c r="Z36" s="3311"/>
      <c r="AA36" s="3311"/>
      <c r="AB36" s="3311"/>
      <c r="AC36" s="3311"/>
      <c r="AD36" s="3337"/>
      <c r="AE36" s="3337"/>
      <c r="AF36" s="3337"/>
      <c r="AG36" s="3337"/>
      <c r="AH36" s="3337"/>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2.95" customHeight="1">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311"/>
      <c r="Z37" s="3311"/>
      <c r="AA37" s="3311"/>
      <c r="AB37" s="3311"/>
      <c r="AC37" s="3311"/>
      <c r="AD37" s="3337"/>
      <c r="AE37" s="3337"/>
      <c r="AF37" s="3337"/>
      <c r="AG37" s="3337"/>
      <c r="AH37" s="3337"/>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2.95" customHeight="1">
      <c r="A38" s="613"/>
      <c r="B38" s="3281" t="s">
        <v>515</v>
      </c>
      <c r="C38" s="3282"/>
      <c r="D38" s="3282"/>
      <c r="E38" s="3282"/>
      <c r="F38" s="3282"/>
      <c r="G38" s="3282"/>
      <c r="H38" s="3282"/>
      <c r="I38" s="3282"/>
      <c r="J38" s="3282"/>
      <c r="K38" s="3282"/>
      <c r="L38" s="3282"/>
      <c r="M38" s="3282"/>
      <c r="N38" s="3282"/>
      <c r="O38" s="3282"/>
      <c r="P38" s="3282"/>
      <c r="Q38" s="3282"/>
      <c r="R38" s="3282"/>
      <c r="S38" s="3282"/>
      <c r="T38" s="3282"/>
      <c r="U38" s="3282"/>
      <c r="V38" s="3282"/>
      <c r="W38" s="3282"/>
      <c r="X38" s="3283"/>
      <c r="Y38" s="3275">
        <f>IF(T24&gt;=(T23+Y23+AD23+AI23),T28+Y28,0)</f>
        <v>40559791</v>
      </c>
      <c r="Z38" s="3275"/>
      <c r="AA38" s="3275"/>
      <c r="AB38" s="3275"/>
      <c r="AC38" s="3275"/>
      <c r="AD38" s="3275">
        <f>IF(T24&gt;=(T23+Y23+AD23+AI23),AD28+AI28,0)</f>
        <v>0</v>
      </c>
      <c r="AE38" s="3275"/>
      <c r="AF38" s="3275"/>
      <c r="AG38" s="3275"/>
      <c r="AH38" s="3275"/>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2.95" customHeight="1">
      <c r="A39" s="608"/>
      <c r="B39" s="3281" t="s">
        <v>1945</v>
      </c>
      <c r="C39" s="3282"/>
      <c r="D39" s="3282"/>
      <c r="E39" s="3282"/>
      <c r="F39" s="3282"/>
      <c r="G39" s="3282"/>
      <c r="H39" s="3282"/>
      <c r="I39" s="3282"/>
      <c r="J39" s="3282"/>
      <c r="K39" s="3282"/>
      <c r="L39" s="3282"/>
      <c r="M39" s="3282"/>
      <c r="N39" s="3282"/>
      <c r="O39" s="3282"/>
      <c r="P39" s="3282"/>
      <c r="Q39" s="3282"/>
      <c r="R39" s="3282"/>
      <c r="S39" s="3282"/>
      <c r="T39" s="3282"/>
      <c r="U39" s="3282"/>
      <c r="V39" s="3282"/>
      <c r="W39" s="3282"/>
      <c r="X39" s="3283"/>
      <c r="Y39" s="3338">
        <v>0.04</v>
      </c>
      <c r="Z39" s="3338"/>
      <c r="AA39" s="3338"/>
      <c r="AB39" s="3338"/>
      <c r="AC39" s="3338"/>
      <c r="AD39" s="3338">
        <v>0.04</v>
      </c>
      <c r="AE39" s="3338"/>
      <c r="AF39" s="3338"/>
      <c r="AG39" s="3338"/>
      <c r="AH39" s="3338"/>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2.95" customHeight="1">
      <c r="A40" s="613"/>
      <c r="B40" s="3281" t="s">
        <v>651</v>
      </c>
      <c r="C40" s="3282"/>
      <c r="D40" s="3282"/>
      <c r="E40" s="3282"/>
      <c r="F40" s="3282"/>
      <c r="G40" s="3282"/>
      <c r="H40" s="3282"/>
      <c r="I40" s="3282"/>
      <c r="J40" s="3282"/>
      <c r="K40" s="3282"/>
      <c r="L40" s="3282"/>
      <c r="M40" s="3282"/>
      <c r="N40" s="3282"/>
      <c r="O40" s="3282"/>
      <c r="P40" s="3282"/>
      <c r="Q40" s="3282"/>
      <c r="R40" s="3282"/>
      <c r="S40" s="3282"/>
      <c r="T40" s="3282"/>
      <c r="U40" s="3282"/>
      <c r="V40" s="3282"/>
      <c r="W40" s="3282"/>
      <c r="X40" s="3283"/>
      <c r="Y40" s="3275">
        <f>ROUND(Y38*Y39,0)</f>
        <v>1622392</v>
      </c>
      <c r="Z40" s="3275"/>
      <c r="AA40" s="3275"/>
      <c r="AB40" s="3275"/>
      <c r="AC40" s="3275"/>
      <c r="AD40" s="3274">
        <f>ROUND(AD38*AD39,0)</f>
        <v>0</v>
      </c>
      <c r="AE40" s="3275"/>
      <c r="AF40" s="3275"/>
      <c r="AG40" s="3275"/>
      <c r="AH40" s="3275"/>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2.95" customHeight="1">
      <c r="A41" s="608"/>
      <c r="B41" s="3281" t="s">
        <v>652</v>
      </c>
      <c r="C41" s="3282"/>
      <c r="D41" s="3282"/>
      <c r="E41" s="3282"/>
      <c r="F41" s="3282"/>
      <c r="G41" s="3282"/>
      <c r="H41" s="3282"/>
      <c r="I41" s="3282"/>
      <c r="J41" s="3282"/>
      <c r="K41" s="3282"/>
      <c r="L41" s="3282"/>
      <c r="M41" s="3282"/>
      <c r="N41" s="3282"/>
      <c r="O41" s="3282"/>
      <c r="P41" s="3282"/>
      <c r="Q41" s="3282"/>
      <c r="R41" s="3282"/>
      <c r="S41" s="3282"/>
      <c r="T41" s="3282"/>
      <c r="U41" s="3282"/>
      <c r="V41" s="3282"/>
      <c r="W41" s="3282"/>
      <c r="X41" s="3283"/>
      <c r="Y41" s="3296">
        <f>Y40+AD40</f>
        <v>1622392</v>
      </c>
      <c r="Z41" s="3297"/>
      <c r="AA41" s="3297"/>
      <c r="AB41" s="3297"/>
      <c r="AC41" s="3297"/>
      <c r="AD41" s="3297"/>
      <c r="AE41" s="3297"/>
      <c r="AF41" s="3297"/>
      <c r="AG41" s="3297"/>
      <c r="AH41" s="3298"/>
      <c r="AI41" s="711"/>
      <c r="AJ41" s="711"/>
      <c r="AK41" s="711"/>
      <c r="AL41" s="711"/>
      <c r="AM41" s="711"/>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2.95" customHeight="1">
      <c r="A42" s="613"/>
      <c r="B42" s="1470"/>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2.95" customHeight="1">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4" customFormat="1" ht="12.95" customHeight="1" thickBot="1">
      <c r="A44" s="3279" t="s">
        <v>1433</v>
      </c>
      <c r="B44" s="3279"/>
      <c r="C44" s="3279"/>
      <c r="D44" s="3279"/>
      <c r="E44" s="3279"/>
      <c r="F44" s="3279"/>
      <c r="G44" s="3279"/>
      <c r="H44" s="3279"/>
      <c r="I44" s="3279"/>
      <c r="J44" s="3279"/>
      <c r="K44" s="3279"/>
      <c r="L44" s="3279"/>
      <c r="M44" s="3279"/>
      <c r="N44" s="3279"/>
      <c r="O44" s="3279"/>
      <c r="P44" s="3279"/>
      <c r="Q44" s="3279"/>
      <c r="R44" s="3279"/>
      <c r="S44" s="3279"/>
      <c r="T44" s="3279"/>
      <c r="U44" s="3279"/>
      <c r="V44" s="3279"/>
      <c r="W44" s="3279"/>
      <c r="X44" s="3279"/>
      <c r="Y44" s="3279"/>
      <c r="Z44" s="3279"/>
      <c r="AA44" s="3279"/>
      <c r="AB44" s="3279"/>
      <c r="AC44" s="3279"/>
      <c r="AD44" s="3279"/>
      <c r="AE44" s="3279"/>
      <c r="AF44" s="3279"/>
      <c r="AG44" s="3279"/>
      <c r="AH44" s="3279"/>
      <c r="AI44" s="3279"/>
      <c r="AJ44" s="3279"/>
      <c r="AK44" s="3279"/>
      <c r="AL44" s="3279"/>
      <c r="AM44" s="3279"/>
      <c r="AN44" s="3279"/>
      <c r="AO44" s="3279"/>
      <c r="AP44" s="3279"/>
      <c r="AQ44" s="3279"/>
      <c r="AR44" s="3279"/>
      <c r="AS44" s="3279"/>
      <c r="AT44" s="3279"/>
      <c r="AU44" s="3279"/>
      <c r="AV44" s="3279"/>
      <c r="AW44" s="3279"/>
      <c r="AX44" s="3279"/>
      <c r="AY44" s="3279"/>
      <c r="AZ44" s="3279"/>
      <c r="BA44" s="3279"/>
      <c r="BB44" s="3279"/>
      <c r="BC44" s="3279"/>
      <c r="BD44" s="3279"/>
      <c r="BE44" s="3279"/>
      <c r="BF44" s="3279"/>
      <c r="BG44" s="3279"/>
      <c r="BH44" s="3279"/>
      <c r="BI44" s="3279"/>
      <c r="BJ44" s="3279"/>
      <c r="BK44" s="3279"/>
      <c r="BL44" s="3279"/>
      <c r="BM44" s="3279"/>
      <c r="BN44" s="3279"/>
      <c r="BO44" s="3279"/>
      <c r="BP44" s="3279"/>
      <c r="BQ44" s="3279"/>
      <c r="BR44" s="3279"/>
      <c r="BS44" s="3279"/>
      <c r="BT44" s="3279"/>
      <c r="BU44" s="3279"/>
      <c r="BV44" s="3279"/>
      <c r="BW44" s="3279"/>
      <c r="BX44" s="3279"/>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2.95"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2.95" customHeight="1">
      <c r="A46" s="613" t="s">
        <v>595</v>
      </c>
      <c r="B46" s="608"/>
      <c r="C46" s="613" t="s">
        <v>283</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2.95" customHeight="1">
      <c r="A47" s="608"/>
      <c r="B47" s="608"/>
      <c r="C47" s="608"/>
      <c r="D47" s="613" t="s">
        <v>284</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299">
        <f>'Sources and Uses Budget'!B105-MAX(IF('Sources and Uses Budget'!B15="",0,'Sources and Uses Budget'!B15),IF(Application!AG393="",0,Application!AG393))</f>
        <v>44255888</v>
      </c>
      <c r="AC47" s="3300"/>
      <c r="AD47" s="3300"/>
      <c r="AE47" s="3300"/>
      <c r="AF47" s="3301"/>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2.95"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299">
        <f>Application!AO635-MAX(IF('Sources and Uses Budget'!B15="",0,'Sources and Uses Budget'!B15),IF(Application!AG393="",0,Application!AG393))</f>
        <v>18150589</v>
      </c>
      <c r="AC48" s="3300"/>
      <c r="AD48" s="3300"/>
      <c r="AE48" s="3300"/>
      <c r="AF48" s="3301"/>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2.95" customHeight="1">
      <c r="A49" s="608"/>
      <c r="B49" s="608"/>
      <c r="C49" s="608"/>
      <c r="D49" s="613" t="s">
        <v>92</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299">
        <f>AB47-AB48</f>
        <v>26105299</v>
      </c>
      <c r="AC49" s="3300"/>
      <c r="AD49" s="3300"/>
      <c r="AE49" s="3300"/>
      <c r="AF49" s="3301"/>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2.95" customHeight="1">
      <c r="A50" s="608"/>
      <c r="B50" s="608"/>
      <c r="C50" s="608"/>
      <c r="D50" s="613" t="s">
        <v>690</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330">
        <v>0.95</v>
      </c>
      <c r="AC50" s="3331"/>
      <c r="AD50" s="3331"/>
      <c r="AE50" s="3331"/>
      <c r="AF50" s="3332"/>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2.95" customHeight="1">
      <c r="A51" s="609"/>
      <c r="B51" s="609"/>
      <c r="C51" s="609"/>
      <c r="D51" s="626"/>
      <c r="E51" s="3333" t="s">
        <v>2106</v>
      </c>
      <c r="F51" s="3333"/>
      <c r="G51" s="3333"/>
      <c r="H51" s="3333"/>
      <c r="I51" s="3333"/>
      <c r="J51" s="3333"/>
      <c r="K51" s="3333"/>
      <c r="L51" s="3333"/>
      <c r="M51" s="3333"/>
      <c r="N51" s="3333"/>
      <c r="O51" s="3333"/>
      <c r="P51" s="3333"/>
      <c r="Q51" s="3333"/>
      <c r="R51" s="3333"/>
      <c r="S51" s="3333"/>
      <c r="T51" s="3333"/>
      <c r="U51" s="3333"/>
      <c r="V51" s="3333"/>
      <c r="W51" s="3333"/>
      <c r="X51" s="3333"/>
      <c r="Y51" s="3333"/>
      <c r="Z51" s="3333"/>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2.95" customHeight="1">
      <c r="A52" s="609"/>
      <c r="B52" s="609"/>
      <c r="C52" s="609"/>
      <c r="D52" s="626"/>
      <c r="E52" s="3333"/>
      <c r="F52" s="3333"/>
      <c r="G52" s="3333"/>
      <c r="H52" s="3333"/>
      <c r="I52" s="3333"/>
      <c r="J52" s="3333"/>
      <c r="K52" s="3333"/>
      <c r="L52" s="3333"/>
      <c r="M52" s="3333"/>
      <c r="N52" s="3333"/>
      <c r="O52" s="3333"/>
      <c r="P52" s="3333"/>
      <c r="Q52" s="3333"/>
      <c r="R52" s="3333"/>
      <c r="S52" s="3333"/>
      <c r="T52" s="3333"/>
      <c r="U52" s="3333"/>
      <c r="V52" s="3333"/>
      <c r="W52" s="3333"/>
      <c r="X52" s="3333"/>
      <c r="Y52" s="3333"/>
      <c r="Z52" s="3333"/>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2.95"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2.95" customHeight="1">
      <c r="A54" s="608"/>
      <c r="B54" s="608"/>
      <c r="C54" s="608"/>
      <c r="D54" s="613" t="s">
        <v>333</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299">
        <f>ROUND(IF(ISERROR((AB49/AB50)),0,(AB49/AB50)),0)</f>
        <v>27479262</v>
      </c>
      <c r="AC54" s="3300"/>
      <c r="AD54" s="3300"/>
      <c r="AE54" s="3300"/>
      <c r="AF54" s="3301"/>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2.95" customHeight="1">
      <c r="A55" s="608"/>
      <c r="B55" s="608"/>
      <c r="C55" s="608"/>
      <c r="D55" s="613" t="s">
        <v>334</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299">
        <f>(AB54/10)</f>
        <v>2747926.2</v>
      </c>
      <c r="AC55" s="3300"/>
      <c r="AD55" s="3300"/>
      <c r="AE55" s="3300"/>
      <c r="AF55" s="3301"/>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2.95" customHeight="1">
      <c r="A56" s="608"/>
      <c r="B56" s="608"/>
      <c r="C56" s="608"/>
      <c r="D56" s="613" t="s">
        <v>768</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334">
        <f>(IF((Y41&lt;AB55),Y41,AB55))</f>
        <v>1622392</v>
      </c>
      <c r="AC56" s="3335"/>
      <c r="AD56" s="3335"/>
      <c r="AE56" s="3335"/>
      <c r="AF56" s="3336"/>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2.95" customHeight="1">
      <c r="A57" s="608"/>
      <c r="B57" s="608"/>
      <c r="C57" s="608"/>
      <c r="D57" s="613" t="s">
        <v>767</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299">
        <f>ROUND((10*AB56*AB50),0)</f>
        <v>15412724</v>
      </c>
      <c r="AC57" s="3300"/>
      <c r="AD57" s="3300"/>
      <c r="AE57" s="3300"/>
      <c r="AF57" s="3301"/>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2.95" customHeight="1">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2.95" customHeight="1">
      <c r="A59" s="608"/>
      <c r="B59" s="608"/>
      <c r="C59" s="608"/>
      <c r="D59" s="613" t="s">
        <v>766</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325">
        <f>AB49-AB57</f>
        <v>10692575</v>
      </c>
      <c r="AC59" s="3325"/>
      <c r="AD59" s="3325"/>
      <c r="AE59" s="3325"/>
      <c r="AF59" s="3325"/>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2.95"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4" customFormat="1" ht="12.95" customHeight="1" thickBot="1">
      <c r="A61" s="3279" t="str">
        <f>IF(Application!AP204="yes","Farmworker State Credit", "State Credit" )</f>
        <v>State Credit</v>
      </c>
      <c r="B61" s="3279"/>
      <c r="C61" s="3279"/>
      <c r="D61" s="3279"/>
      <c r="E61" s="3279"/>
      <c r="F61" s="3279"/>
      <c r="G61" s="3279"/>
      <c r="H61" s="3279"/>
      <c r="I61" s="3279"/>
      <c r="J61" s="3279"/>
      <c r="K61" s="3279"/>
      <c r="L61" s="3279"/>
      <c r="M61" s="3279"/>
      <c r="N61" s="3279"/>
      <c r="O61" s="3279"/>
      <c r="P61" s="3279"/>
      <c r="Q61" s="3279"/>
      <c r="R61" s="3279"/>
      <c r="S61" s="3279"/>
      <c r="T61" s="3279"/>
      <c r="U61" s="3279"/>
      <c r="V61" s="3279"/>
      <c r="W61" s="3279"/>
      <c r="X61" s="3279"/>
      <c r="Y61" s="3279"/>
      <c r="Z61" s="3279"/>
      <c r="AA61" s="3279"/>
      <c r="AB61" s="3279"/>
      <c r="AC61" s="3279"/>
      <c r="AD61" s="3279"/>
      <c r="AE61" s="3279"/>
      <c r="AF61" s="3279"/>
      <c r="AG61" s="3279"/>
      <c r="AH61" s="3279"/>
      <c r="AI61" s="3279"/>
      <c r="AJ61" s="3279"/>
      <c r="AK61" s="3279"/>
      <c r="AL61" s="3279"/>
      <c r="AM61" s="3279"/>
      <c r="AN61" s="3279"/>
      <c r="AO61" s="3279"/>
      <c r="AP61" s="3279"/>
      <c r="AQ61" s="3279"/>
      <c r="AR61" s="3279"/>
      <c r="AS61" s="3279"/>
      <c r="AT61" s="3279"/>
      <c r="AU61" s="3279"/>
      <c r="AV61" s="3279"/>
      <c r="AW61" s="3279"/>
      <c r="AX61" s="3279"/>
      <c r="AY61" s="3279"/>
      <c r="AZ61" s="3279"/>
      <c r="BA61" s="3279"/>
      <c r="BB61" s="3279"/>
      <c r="BC61" s="3279"/>
      <c r="BD61" s="3279"/>
      <c r="BE61" s="3279"/>
      <c r="BF61" s="3279"/>
      <c r="BG61" s="3279"/>
      <c r="BH61" s="3279"/>
      <c r="BI61" s="3279"/>
      <c r="BJ61" s="3279"/>
      <c r="BK61" s="3279"/>
      <c r="BL61" s="3279"/>
      <c r="BM61" s="3279"/>
      <c r="BN61" s="3279"/>
      <c r="BO61" s="3279"/>
      <c r="BP61" s="3279"/>
      <c r="BQ61" s="3279"/>
      <c r="BR61" s="3279"/>
      <c r="BS61" s="3279"/>
      <c r="BT61" s="3279"/>
      <c r="BU61" s="3279"/>
      <c r="BV61" s="3279"/>
      <c r="BW61" s="3279"/>
      <c r="BX61" s="3279"/>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2.95"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2.95" customHeight="1">
      <c r="A63" s="613" t="s">
        <v>598</v>
      </c>
      <c r="B63" s="608"/>
      <c r="C63" s="325" t="s">
        <v>1404</v>
      </c>
      <c r="D63" s="608"/>
      <c r="E63" s="608"/>
      <c r="F63" s="608"/>
      <c r="G63" s="608"/>
      <c r="H63" s="608"/>
      <c r="I63" s="608"/>
      <c r="J63" s="608"/>
      <c r="K63" s="608"/>
      <c r="L63" s="608"/>
      <c r="M63" s="608"/>
      <c r="N63" s="608"/>
      <c r="O63" s="608"/>
      <c r="P63" s="608"/>
      <c r="Q63" s="608"/>
      <c r="R63" s="608"/>
      <c r="S63" s="608"/>
      <c r="T63" s="608"/>
      <c r="U63" s="608"/>
      <c r="V63" s="608"/>
      <c r="W63" s="608"/>
      <c r="X63" s="608"/>
      <c r="Y63" s="3326" t="s">
        <v>1023</v>
      </c>
      <c r="Z63" s="3326"/>
      <c r="AA63" s="3326"/>
      <c r="AB63" s="3326"/>
      <c r="AC63" s="3326"/>
      <c r="AD63" s="3326" t="s">
        <v>370</v>
      </c>
      <c r="AE63" s="3326"/>
      <c r="AF63" s="3326"/>
      <c r="AG63" s="3326"/>
      <c r="AH63" s="3326"/>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2.95" customHeight="1">
      <c r="A64" s="608"/>
      <c r="B64" s="608"/>
      <c r="C64" s="633"/>
      <c r="D64" s="634" t="s">
        <v>1405</v>
      </c>
      <c r="E64" s="635"/>
      <c r="F64" s="635"/>
      <c r="G64" s="635"/>
      <c r="H64" s="635"/>
      <c r="I64" s="635"/>
      <c r="J64" s="635"/>
      <c r="K64" s="635"/>
      <c r="L64" s="636"/>
      <c r="M64" s="636"/>
      <c r="N64" s="636"/>
      <c r="O64" s="636"/>
      <c r="P64" s="636"/>
      <c r="Q64" s="636"/>
      <c r="R64" s="636"/>
      <c r="S64" s="636"/>
      <c r="T64" s="636"/>
      <c r="U64" s="636"/>
      <c r="V64" s="636"/>
      <c r="W64" s="636"/>
      <c r="X64" s="636"/>
      <c r="Y64" s="3327">
        <f>IF(Application!Z204="(select)",0,((T23*T27)+Y28))</f>
        <v>40559791</v>
      </c>
      <c r="Z64" s="3328"/>
      <c r="AA64" s="3328"/>
      <c r="AB64" s="3328"/>
      <c r="AC64" s="3329"/>
      <c r="AD64" s="3327">
        <f>IF(AND(OR(Application!D210="At-Risk",Application!D210="At-Risk and Special Needs"),Application!M357="yes"),AD28+AI28,0)</f>
        <v>0</v>
      </c>
      <c r="AE64" s="3328"/>
      <c r="AF64" s="3328"/>
      <c r="AG64" s="3328"/>
      <c r="AH64" s="3329"/>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2.95" customHeight="1">
      <c r="A65" s="608"/>
      <c r="B65" s="608"/>
      <c r="C65" s="613"/>
      <c r="D65" s="608"/>
      <c r="E65" s="1647" t="s">
        <v>2104</v>
      </c>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680"/>
      <c r="AJ65" s="680"/>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22.5" customHeight="1">
      <c r="A66" s="608"/>
      <c r="B66" s="608"/>
      <c r="C66" s="613"/>
      <c r="D66" s="609"/>
      <c r="E66" s="1647" t="s">
        <v>2105</v>
      </c>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680"/>
      <c r="AJ66" s="680"/>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2.95" customHeight="1">
      <c r="A67" s="608"/>
      <c r="B67" s="608"/>
      <c r="C67" s="613"/>
      <c r="D67" s="613" t="s">
        <v>271</v>
      </c>
      <c r="E67" s="637"/>
      <c r="F67" s="637"/>
      <c r="G67" s="637"/>
      <c r="H67" s="637"/>
      <c r="I67" s="637"/>
      <c r="J67" s="637"/>
      <c r="K67" s="637"/>
      <c r="L67" s="637"/>
      <c r="M67" s="637"/>
      <c r="N67" s="637"/>
      <c r="O67" s="637"/>
      <c r="P67" s="637"/>
      <c r="Q67" s="637"/>
      <c r="R67" s="637"/>
      <c r="S67" s="637"/>
      <c r="T67" s="637"/>
      <c r="U67" s="637"/>
      <c r="V67" s="637"/>
      <c r="W67" s="637"/>
      <c r="X67" s="637"/>
      <c r="Y67" s="3344">
        <f>IF(Application!AP204="yes",0.75,IF(Application!Z203="15% set-aside",0.13,IF(Application!Z203="15% set-aside with qualifying low value rehab",0.95,0.3)))</f>
        <v>0.3</v>
      </c>
      <c r="Z67" s="3344"/>
      <c r="AA67" s="3344"/>
      <c r="AB67" s="3344"/>
      <c r="AC67" s="3344"/>
      <c r="AD67" s="3344">
        <f>IF(Application!Z203="15% set-aside with qualifying low value rehab", 0.95,0.13)</f>
        <v>0.13</v>
      </c>
      <c r="AE67" s="3344"/>
      <c r="AF67" s="3344"/>
      <c r="AG67" s="3344"/>
      <c r="AH67" s="3344"/>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2.95" customHeight="1">
      <c r="A68" s="608"/>
      <c r="B68" s="608"/>
      <c r="C68" s="613"/>
      <c r="D68" s="333" t="s">
        <v>1406</v>
      </c>
      <c r="E68" s="608"/>
      <c r="F68" s="608"/>
      <c r="G68" s="608"/>
      <c r="H68" s="608"/>
      <c r="I68" s="608"/>
      <c r="J68" s="608"/>
      <c r="K68" s="608"/>
      <c r="L68" s="608"/>
      <c r="M68" s="608"/>
      <c r="N68" s="608"/>
      <c r="O68" s="608"/>
      <c r="P68" s="608"/>
      <c r="Q68" s="608"/>
      <c r="R68" s="608"/>
      <c r="S68" s="608"/>
      <c r="T68" s="608"/>
      <c r="U68" s="608"/>
      <c r="V68" s="608"/>
      <c r="W68" s="608"/>
      <c r="X68" s="608"/>
      <c r="Y68" s="3345">
        <f>ROUND(Y64*Y67,0)</f>
        <v>12167937</v>
      </c>
      <c r="Z68" s="3346"/>
      <c r="AA68" s="3346"/>
      <c r="AB68" s="3346"/>
      <c r="AC68" s="3346"/>
      <c r="AD68" s="3345">
        <f>ROUND(AD64*AD67,0)</f>
        <v>0</v>
      </c>
      <c r="AE68" s="3346"/>
      <c r="AF68" s="3346"/>
      <c r="AG68" s="3346"/>
      <c r="AH68" s="3346"/>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2.95" customHeight="1">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2.95" customHeight="1">
      <c r="A70" s="613" t="s">
        <v>599</v>
      </c>
      <c r="B70" s="608"/>
      <c r="C70" s="333" t="s">
        <v>285</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2.95" customHeight="1">
      <c r="A71" s="633"/>
      <c r="B71" s="609"/>
      <c r="C71" s="633"/>
      <c r="D71" s="329" t="s">
        <v>1407</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330">
        <v>0.88</v>
      </c>
      <c r="AC71" s="3331"/>
      <c r="AD71" s="3331"/>
      <c r="AE71" s="3331"/>
      <c r="AF71" s="3332"/>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2.95" customHeight="1">
      <c r="A72" s="633"/>
      <c r="C72" s="633"/>
      <c r="D72" s="633"/>
      <c r="E72" s="3347" t="s">
        <v>1408</v>
      </c>
      <c r="F72" s="3347"/>
      <c r="G72" s="3347"/>
      <c r="H72" s="3347"/>
      <c r="I72" s="3347"/>
      <c r="J72" s="3347"/>
      <c r="K72" s="3347"/>
      <c r="L72" s="3347"/>
      <c r="M72" s="3347"/>
      <c r="N72" s="3347"/>
      <c r="O72" s="3347"/>
      <c r="P72" s="3347"/>
      <c r="Q72" s="3347"/>
      <c r="R72" s="3347"/>
      <c r="S72" s="3347"/>
      <c r="T72" s="3347"/>
      <c r="U72" s="3347"/>
      <c r="V72" s="3347"/>
      <c r="W72" s="3347"/>
      <c r="X72" s="3347"/>
      <c r="Y72" s="3347"/>
      <c r="Z72" s="3347"/>
      <c r="AA72" s="3347"/>
      <c r="AB72" s="679"/>
      <c r="AC72" s="679"/>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2.95" customHeight="1">
      <c r="A73" s="633"/>
      <c r="C73" s="633"/>
      <c r="D73" s="633"/>
      <c r="E73" s="3347"/>
      <c r="F73" s="3347"/>
      <c r="G73" s="3347"/>
      <c r="H73" s="3347"/>
      <c r="I73" s="3347"/>
      <c r="J73" s="3347"/>
      <c r="K73" s="3347"/>
      <c r="L73" s="3347"/>
      <c r="M73" s="3347"/>
      <c r="N73" s="3347"/>
      <c r="O73" s="3347"/>
      <c r="P73" s="3347"/>
      <c r="Q73" s="3347"/>
      <c r="R73" s="3347"/>
      <c r="S73" s="3347"/>
      <c r="T73" s="3347"/>
      <c r="U73" s="3347"/>
      <c r="V73" s="3347"/>
      <c r="W73" s="3347"/>
      <c r="X73" s="3347"/>
      <c r="Y73" s="3347"/>
      <c r="Z73" s="3347"/>
      <c r="AA73" s="3347"/>
      <c r="AB73" s="679"/>
      <c r="AC73" s="679"/>
      <c r="AD73" s="711"/>
      <c r="AE73" s="711"/>
      <c r="AF73" s="711"/>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2"/>
      <c r="CD73" s="682"/>
      <c r="CE73" s="682"/>
      <c r="CF73" s="682"/>
      <c r="CG73" s="682"/>
      <c r="CH73" s="682"/>
      <c r="CI73" s="682"/>
      <c r="CJ73" s="682"/>
      <c r="CK73" s="682"/>
      <c r="CL73" s="682"/>
      <c r="CM73" s="682"/>
      <c r="CN73" s="682"/>
      <c r="CO73" s="682"/>
      <c r="CP73" s="682"/>
      <c r="CQ73" s="682"/>
      <c r="CR73" s="682"/>
      <c r="CS73" s="682"/>
      <c r="CT73" s="682"/>
    </row>
    <row r="74" spans="1:98" ht="12.95" customHeight="1">
      <c r="A74" s="633"/>
      <c r="B74" s="609"/>
      <c r="C74" s="633"/>
      <c r="D74" s="633"/>
      <c r="E74" s="3347"/>
      <c r="F74" s="3347"/>
      <c r="G74" s="3347"/>
      <c r="H74" s="3347"/>
      <c r="I74" s="3347"/>
      <c r="J74" s="3347"/>
      <c r="K74" s="3347"/>
      <c r="L74" s="3347"/>
      <c r="M74" s="3347"/>
      <c r="N74" s="3347"/>
      <c r="O74" s="3347"/>
      <c r="P74" s="3347"/>
      <c r="Q74" s="3347"/>
      <c r="R74" s="3347"/>
      <c r="S74" s="3347"/>
      <c r="T74" s="3347"/>
      <c r="U74" s="3347"/>
      <c r="V74" s="3347"/>
      <c r="W74" s="3347"/>
      <c r="X74" s="3347"/>
      <c r="Y74" s="3347"/>
      <c r="Z74" s="3347"/>
      <c r="AA74" s="3347"/>
      <c r="AB74" s="679"/>
      <c r="AC74" s="679"/>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2.95"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2.95" customHeight="1">
      <c r="A76" s="608"/>
      <c r="B76" s="608"/>
      <c r="C76" s="613"/>
      <c r="D76" s="325" t="s">
        <v>1409</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339">
        <f>ROUND(IF(ISERROR((AB59/AB71)),0,(AB59/AB71)),0)</f>
        <v>12150653</v>
      </c>
      <c r="AC76" s="3339"/>
      <c r="AD76" s="3339"/>
      <c r="AE76" s="3339"/>
      <c r="AF76" s="3339"/>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2.95" customHeight="1">
      <c r="A77" s="608"/>
      <c r="B77" s="608"/>
      <c r="C77" s="613"/>
      <c r="D77" s="325" t="s">
        <v>1410</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340">
        <f>IF((Y68+AD68&lt;AB76),Y68+AD68,AB76)</f>
        <v>12150653</v>
      </c>
      <c r="AC77" s="3341"/>
      <c r="AD77" s="3341"/>
      <c r="AE77" s="3341"/>
      <c r="AF77" s="3342"/>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2.95" customHeight="1">
      <c r="A78" s="608"/>
      <c r="B78" s="608"/>
      <c r="C78" s="613"/>
      <c r="D78" s="325" t="s">
        <v>1411</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343">
        <f>AB77*AB71</f>
        <v>10692574.640000001</v>
      </c>
      <c r="AC78" s="3343"/>
      <c r="AD78" s="3343"/>
      <c r="AE78" s="3343"/>
      <c r="AF78" s="3343"/>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2.95"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2.95" customHeight="1">
      <c r="A80" s="617"/>
      <c r="B80" s="617"/>
      <c r="C80" s="617"/>
      <c r="D80" s="613" t="s">
        <v>766</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325">
        <f>AB49-(AB57+AB78)</f>
        <v>0.35999999940395355</v>
      </c>
      <c r="AC80" s="3325"/>
      <c r="AD80" s="3325"/>
      <c r="AE80" s="3325"/>
      <c r="AF80" s="3325"/>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2.95" customHeight="1">
      <c r="A81" s="610"/>
      <c r="B81" s="610"/>
      <c r="C81" s="610"/>
      <c r="D81" s="610"/>
      <c r="F81" s="876"/>
      <c r="J81" s="876" t="str">
        <f>IF(AB80&gt;0,"FUNDING GAP MUST NOT EXCEED ZERO","")</f>
        <v>FUNDING GAP MUST NOT EXCEED ZERO</v>
      </c>
      <c r="AB81" s="610"/>
      <c r="AC81" s="610"/>
      <c r="AD81" s="610"/>
      <c r="AE81" s="610"/>
      <c r="AF81" s="610"/>
      <c r="AG81" s="610"/>
      <c r="AH81" s="610"/>
      <c r="AI81" s="610"/>
      <c r="AJ81" s="610"/>
      <c r="AK81" s="610"/>
      <c r="AL81" s="610"/>
      <c r="AM81" s="610"/>
      <c r="AN81" s="610"/>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2.95" customHeight="1">
      <c r="A82" s="610"/>
      <c r="B82" s="610"/>
      <c r="C82" s="610"/>
      <c r="D82" s="877"/>
      <c r="AB82" s="610"/>
      <c r="AC82" s="610"/>
      <c r="AD82" s="610"/>
      <c r="AE82" s="610"/>
      <c r="AF82" s="610"/>
      <c r="AG82" s="610"/>
      <c r="AH82" s="610"/>
      <c r="AI82" s="610"/>
      <c r="AJ82" s="610"/>
      <c r="AK82" s="610"/>
      <c r="AL82" s="610"/>
      <c r="AM82" s="610"/>
      <c r="AN82" s="610"/>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2.95" customHeight="1" thickBot="1">
      <c r="A83" s="3279"/>
      <c r="B83" s="3279"/>
      <c r="C83" s="3279"/>
      <c r="D83" s="3279"/>
      <c r="E83" s="3279"/>
      <c r="F83" s="3279"/>
      <c r="G83" s="3279"/>
      <c r="H83" s="3279"/>
      <c r="I83" s="3279"/>
      <c r="J83" s="3279"/>
      <c r="K83" s="3279"/>
      <c r="L83" s="3279"/>
      <c r="M83" s="3279"/>
      <c r="N83" s="3279"/>
      <c r="O83" s="3279"/>
      <c r="P83" s="3279"/>
      <c r="Q83" s="3279"/>
      <c r="R83" s="3279"/>
      <c r="S83" s="3279"/>
      <c r="T83" s="3279"/>
      <c r="U83" s="3279"/>
      <c r="V83" s="3279"/>
      <c r="W83" s="3279"/>
      <c r="X83" s="3279"/>
      <c r="Y83" s="3279"/>
      <c r="Z83" s="3279"/>
      <c r="AA83" s="3279"/>
      <c r="AB83" s="3279"/>
      <c r="AC83" s="3279"/>
      <c r="AD83" s="3279"/>
      <c r="AE83" s="3279"/>
      <c r="AF83" s="3279"/>
      <c r="AG83" s="3279"/>
      <c r="AH83" s="3279"/>
      <c r="AI83" s="3279"/>
      <c r="AJ83" s="3279"/>
      <c r="AK83" s="3279"/>
      <c r="AL83" s="3279"/>
      <c r="AM83" s="3279"/>
      <c r="AN83" s="3279"/>
      <c r="AO83" s="3279"/>
      <c r="AP83" s="3279"/>
      <c r="AQ83" s="3279"/>
      <c r="AR83" s="3279"/>
      <c r="AS83" s="3279"/>
      <c r="AT83" s="3279"/>
      <c r="AU83" s="3279"/>
      <c r="AV83" s="3279"/>
      <c r="AW83" s="3279"/>
      <c r="AX83" s="3279"/>
      <c r="AY83" s="3279"/>
      <c r="AZ83" s="3279"/>
      <c r="BA83" s="3279"/>
      <c r="BB83" s="3279"/>
      <c r="BC83" s="3279"/>
      <c r="BD83" s="3279"/>
      <c r="BE83" s="3279"/>
      <c r="BF83" s="3279"/>
      <c r="BG83" s="3279"/>
      <c r="BH83" s="3279"/>
      <c r="BI83" s="3279"/>
      <c r="BJ83" s="3279"/>
      <c r="BK83" s="3279"/>
      <c r="BL83" s="3279"/>
      <c r="BM83" s="3279"/>
      <c r="BN83" s="3279"/>
      <c r="BO83" s="3279"/>
      <c r="BP83" s="3279"/>
      <c r="BQ83" s="3279"/>
      <c r="BR83" s="3279"/>
      <c r="BS83" s="3279"/>
      <c r="BT83" s="3279"/>
      <c r="BU83" s="3279"/>
      <c r="BV83" s="3279"/>
      <c r="BW83" s="3279"/>
      <c r="BX83" s="3279"/>
    </row>
    <row r="84" spans="1:98" ht="12.95" customHeight="1" thickTop="1"/>
    <row r="85" spans="1:98" ht="12.95" customHeight="1">
      <c r="A85" s="783"/>
      <c r="C85" s="333"/>
      <c r="Z85" s="610"/>
      <c r="AA85" s="610"/>
      <c r="AB85" s="610"/>
      <c r="AC85" s="610"/>
      <c r="AD85" s="610"/>
      <c r="AE85" s="610"/>
      <c r="AF85" s="610"/>
      <c r="AG85" s="610"/>
      <c r="AH85" s="610"/>
    </row>
    <row r="86" spans="1:98" ht="12.95" customHeight="1">
      <c r="D86" s="333"/>
      <c r="Z86" s="610"/>
      <c r="AA86" s="610"/>
      <c r="AB86" s="3280"/>
      <c r="AC86" s="3280"/>
      <c r="AD86" s="3280"/>
      <c r="AE86" s="3280"/>
      <c r="AF86" s="3280"/>
      <c r="AG86" s="610"/>
      <c r="AH86" s="610"/>
    </row>
    <row r="87" spans="1:98" ht="12.95" customHeight="1" thickBot="1">
      <c r="D87" s="333"/>
      <c r="Z87" s="610"/>
      <c r="AA87" s="610"/>
      <c r="AB87" s="3278"/>
      <c r="AC87" s="3278"/>
      <c r="AD87" s="3278"/>
      <c r="AE87" s="3278"/>
      <c r="AF87" s="3278"/>
      <c r="AG87" s="610"/>
      <c r="AH87" s="610"/>
      <c r="AO87" s="875"/>
      <c r="AP87" s="875"/>
      <c r="AQ87" s="875"/>
      <c r="AR87" s="875"/>
      <c r="AS87" s="875"/>
      <c r="AT87" s="875"/>
      <c r="AU87" s="875"/>
      <c r="AV87" s="875"/>
      <c r="AW87" s="875"/>
      <c r="AX87" s="875"/>
      <c r="AY87" s="875"/>
      <c r="AZ87" s="875"/>
      <c r="BA87" s="875"/>
      <c r="BB87" s="875"/>
      <c r="BC87" s="875"/>
      <c r="BD87" s="875"/>
      <c r="BE87" s="875"/>
      <c r="BF87" s="875"/>
      <c r="BG87" s="875"/>
      <c r="BH87" s="875"/>
      <c r="BI87" s="875"/>
      <c r="BJ87" s="875"/>
      <c r="BK87" s="875"/>
      <c r="BL87" s="875"/>
      <c r="BM87" s="875"/>
      <c r="BN87" s="875"/>
      <c r="BO87" s="875"/>
      <c r="BP87" s="875"/>
      <c r="BQ87" s="875"/>
      <c r="BR87" s="875"/>
      <c r="BS87" s="875"/>
      <c r="BT87" s="875"/>
      <c r="BU87" s="875"/>
      <c r="BV87" s="875"/>
      <c r="BW87" s="875"/>
      <c r="BX87" s="875"/>
      <c r="BY87" s="875"/>
      <c r="BZ87" s="875"/>
    </row>
    <row r="88" spans="1:98" ht="12.95" customHeight="1" thickTop="1">
      <c r="Z88" s="610"/>
      <c r="AA88" s="610"/>
      <c r="AB88" s="610"/>
      <c r="AC88" s="610"/>
      <c r="AD88" s="610"/>
      <c r="AE88" s="610"/>
      <c r="AF88" s="610"/>
      <c r="AG88" s="610"/>
      <c r="AH88" s="610"/>
    </row>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zoomScaleNormal="100" zoomScaleSheetLayoutView="100" workbookViewId="0">
      <selection activeCell="F24" sqref="F24"/>
    </sheetView>
  </sheetViews>
  <sheetFormatPr defaultColWidth="0" defaultRowHeight="14.25" zeroHeight="1"/>
  <cols>
    <col min="1" max="2" width="15.7109375" style="467" customWidth="1"/>
    <col min="3" max="3" width="11" style="467" customWidth="1"/>
    <col min="4" max="4" width="15.7109375" style="467" customWidth="1"/>
    <col min="5" max="5" width="3.7109375" style="467" customWidth="1"/>
    <col min="6" max="7" width="15.7109375" style="467" customWidth="1"/>
    <col min="8" max="8" width="3.7109375" style="467" customWidth="1"/>
    <col min="9" max="10" width="15.7109375" style="467" customWidth="1"/>
    <col min="11" max="11" width="3.28515625" style="467" customWidth="1"/>
    <col min="12" max="17" width="15.7109375" style="467" hidden="1" customWidth="1"/>
    <col min="18" max="16384" width="9.140625" style="467" hidden="1"/>
  </cols>
  <sheetData>
    <row r="1" spans="1:12">
      <c r="A1" s="3348" t="s">
        <v>942</v>
      </c>
      <c r="B1" s="3348"/>
      <c r="C1" s="3348"/>
      <c r="D1" s="3348"/>
      <c r="E1" s="3348"/>
      <c r="F1" s="3348"/>
      <c r="G1" s="3348"/>
      <c r="H1" s="3348"/>
      <c r="I1" s="3348"/>
      <c r="J1" s="3348"/>
      <c r="K1" s="324"/>
      <c r="L1" s="324"/>
    </row>
    <row r="2" spans="1:12">
      <c r="A2" s="646"/>
      <c r="B2" s="646"/>
      <c r="C2" s="646"/>
      <c r="D2" s="646"/>
      <c r="E2" s="646"/>
      <c r="F2" s="646"/>
      <c r="G2" s="646"/>
      <c r="H2" s="646"/>
      <c r="I2" s="646"/>
      <c r="J2" s="646"/>
    </row>
    <row r="3" spans="1:12" ht="99.75">
      <c r="A3" s="647" t="s">
        <v>943</v>
      </c>
      <c r="B3" s="647" t="s">
        <v>944</v>
      </c>
      <c r="C3" s="647" t="s">
        <v>2331</v>
      </c>
      <c r="D3" s="1844" t="s">
        <v>945</v>
      </c>
      <c r="E3" s="378"/>
      <c r="F3" s="1844" t="s">
        <v>946</v>
      </c>
      <c r="G3" s="647" t="s">
        <v>947</v>
      </c>
      <c r="H3" s="648"/>
      <c r="I3" s="647" t="s">
        <v>948</v>
      </c>
      <c r="J3" s="647" t="s">
        <v>949</v>
      </c>
      <c r="K3" s="324"/>
      <c r="L3" s="468"/>
    </row>
    <row r="4" spans="1:12">
      <c r="A4" s="649" t="str">
        <f>Application!B714</f>
        <v>1 Bedroom</v>
      </c>
      <c r="B4" s="1764">
        <f>Application!G714</f>
        <v>25</v>
      </c>
      <c r="C4" s="1765" t="s">
        <v>386</v>
      </c>
      <c r="D4" s="649">
        <f>Application!O714</f>
        <v>271</v>
      </c>
      <c r="E4" s="650"/>
      <c r="F4" s="1766">
        <f>1537-59</f>
        <v>1478</v>
      </c>
      <c r="G4" s="651">
        <f>F4*B4</f>
        <v>36950</v>
      </c>
      <c r="H4" s="652"/>
      <c r="I4" s="649">
        <f>IF(F4=0," ",(F4-D4))</f>
        <v>1207</v>
      </c>
      <c r="J4" s="651">
        <f>IF(F4=0," ",(I4*B4))</f>
        <v>30175</v>
      </c>
      <c r="K4" s="324"/>
      <c r="L4" s="468"/>
    </row>
    <row r="5" spans="1:12">
      <c r="A5" s="649" t="str">
        <f>Application!B715</f>
        <v>1 Bedroom</v>
      </c>
      <c r="B5" s="1764">
        <f>Application!G715</f>
        <v>7</v>
      </c>
      <c r="C5" s="1765" t="s">
        <v>386</v>
      </c>
      <c r="D5" s="649">
        <f>Application!O715</f>
        <v>436</v>
      </c>
      <c r="E5" s="650"/>
      <c r="F5" s="1766">
        <f>1537-59</f>
        <v>1478</v>
      </c>
      <c r="G5" s="651">
        <f t="shared" ref="G5:G28" si="0">F5*B5</f>
        <v>10346</v>
      </c>
      <c r="H5" s="652"/>
      <c r="I5" s="649">
        <f t="shared" ref="I5:I28" si="1">IF(F5=0," ",(F5-D5))</f>
        <v>1042</v>
      </c>
      <c r="J5" s="651">
        <f t="shared" ref="J5:J28" si="2">IF(F5=0," ",(I5*B5))</f>
        <v>7294</v>
      </c>
      <c r="K5" s="324"/>
      <c r="L5" s="468"/>
    </row>
    <row r="6" spans="1:12">
      <c r="A6" s="649" t="str">
        <f>Application!B716</f>
        <v>1 Bedroom</v>
      </c>
      <c r="B6" s="1764">
        <f>Application!G716</f>
        <v>3</v>
      </c>
      <c r="C6" s="1765"/>
      <c r="D6" s="649">
        <f>Application!O716</f>
        <v>766</v>
      </c>
      <c r="E6" s="650"/>
      <c r="F6" s="1766"/>
      <c r="G6" s="651">
        <f t="shared" si="0"/>
        <v>0</v>
      </c>
      <c r="H6" s="652"/>
      <c r="I6" s="649" t="str">
        <f t="shared" si="1"/>
        <v xml:space="preserve"> </v>
      </c>
      <c r="J6" s="651" t="str">
        <f t="shared" si="2"/>
        <v xml:space="preserve"> </v>
      </c>
      <c r="K6" s="324"/>
      <c r="L6" s="468"/>
    </row>
    <row r="7" spans="1:12">
      <c r="A7" s="649" t="str">
        <f>Application!B717</f>
        <v>1 Bedroom</v>
      </c>
      <c r="B7" s="1764">
        <f>Application!G717</f>
        <v>12</v>
      </c>
      <c r="C7" s="1765"/>
      <c r="D7" s="649">
        <f>Application!O717</f>
        <v>931</v>
      </c>
      <c r="E7" s="650"/>
      <c r="F7" s="1766"/>
      <c r="G7" s="651">
        <f t="shared" si="0"/>
        <v>0</v>
      </c>
      <c r="H7" s="652"/>
      <c r="I7" s="649" t="str">
        <f t="shared" si="1"/>
        <v xml:space="preserve"> </v>
      </c>
      <c r="J7" s="651" t="str">
        <f t="shared" si="2"/>
        <v xml:space="preserve"> </v>
      </c>
      <c r="K7" s="324"/>
      <c r="L7" s="468"/>
    </row>
    <row r="8" spans="1:12">
      <c r="A8" s="649" t="str">
        <f>Application!B718</f>
        <v>1 Bedroom</v>
      </c>
      <c r="B8" s="1764">
        <f>Application!G718</f>
        <v>22</v>
      </c>
      <c r="C8" s="1765"/>
      <c r="D8" s="649">
        <f>Application!O718</f>
        <v>1261</v>
      </c>
      <c r="E8" s="650"/>
      <c r="F8" s="1766"/>
      <c r="G8" s="651">
        <f t="shared" si="0"/>
        <v>0</v>
      </c>
      <c r="H8" s="652"/>
      <c r="I8" s="649" t="str">
        <f t="shared" si="1"/>
        <v xml:space="preserve"> </v>
      </c>
      <c r="J8" s="651" t="str">
        <f t="shared" si="2"/>
        <v xml:space="preserve"> </v>
      </c>
      <c r="K8" s="324"/>
      <c r="L8" s="468"/>
    </row>
    <row r="9" spans="1:12">
      <c r="A9" s="649">
        <f>Application!B719</f>
        <v>0</v>
      </c>
      <c r="B9" s="1764">
        <f>Application!G719</f>
        <v>0</v>
      </c>
      <c r="C9" s="1765"/>
      <c r="D9" s="649">
        <f>Application!O719</f>
        <v>0</v>
      </c>
      <c r="E9" s="650"/>
      <c r="F9" s="1766"/>
      <c r="G9" s="651">
        <f t="shared" si="0"/>
        <v>0</v>
      </c>
      <c r="H9" s="652"/>
      <c r="I9" s="649" t="str">
        <f t="shared" si="1"/>
        <v xml:space="preserve"> </v>
      </c>
      <c r="J9" s="651" t="str">
        <f t="shared" si="2"/>
        <v xml:space="preserve"> </v>
      </c>
      <c r="K9" s="324"/>
      <c r="L9" s="468"/>
    </row>
    <row r="10" spans="1:12">
      <c r="A10" s="649">
        <f>Application!B720</f>
        <v>0</v>
      </c>
      <c r="B10" s="1764">
        <f>Application!G720</f>
        <v>0</v>
      </c>
      <c r="C10" s="1765"/>
      <c r="D10" s="649">
        <f>Application!O720</f>
        <v>0</v>
      </c>
      <c r="E10" s="650"/>
      <c r="F10" s="1766"/>
      <c r="G10" s="651">
        <f t="shared" si="0"/>
        <v>0</v>
      </c>
      <c r="H10" s="652"/>
      <c r="I10" s="649" t="str">
        <f t="shared" si="1"/>
        <v xml:space="preserve"> </v>
      </c>
      <c r="J10" s="651" t="str">
        <f t="shared" si="2"/>
        <v xml:space="preserve"> </v>
      </c>
      <c r="K10" s="324"/>
      <c r="L10" s="468"/>
    </row>
    <row r="11" spans="1:12">
      <c r="A11" s="649">
        <f>Application!B721</f>
        <v>0</v>
      </c>
      <c r="B11" s="1764">
        <f>Application!G721</f>
        <v>0</v>
      </c>
      <c r="C11" s="1765"/>
      <c r="D11" s="649">
        <f>Application!O721</f>
        <v>0</v>
      </c>
      <c r="E11" s="650"/>
      <c r="F11" s="1766"/>
      <c r="G11" s="651">
        <f t="shared" si="0"/>
        <v>0</v>
      </c>
      <c r="H11" s="652"/>
      <c r="I11" s="649" t="str">
        <f t="shared" si="1"/>
        <v xml:space="preserve"> </v>
      </c>
      <c r="J11" s="651" t="str">
        <f t="shared" si="2"/>
        <v xml:space="preserve"> </v>
      </c>
      <c r="K11" s="324"/>
      <c r="L11" s="468"/>
    </row>
    <row r="12" spans="1:12">
      <c r="A12" s="649">
        <f>Application!B722</f>
        <v>0</v>
      </c>
      <c r="B12" s="1764">
        <f>Application!G722</f>
        <v>0</v>
      </c>
      <c r="C12" s="1765"/>
      <c r="D12" s="649">
        <f>Application!O722</f>
        <v>0</v>
      </c>
      <c r="E12" s="650"/>
      <c r="F12" s="1766"/>
      <c r="G12" s="651">
        <f t="shared" si="0"/>
        <v>0</v>
      </c>
      <c r="H12" s="652"/>
      <c r="I12" s="649" t="str">
        <f t="shared" si="1"/>
        <v xml:space="preserve"> </v>
      </c>
      <c r="J12" s="651" t="str">
        <f t="shared" si="2"/>
        <v xml:space="preserve"> </v>
      </c>
      <c r="K12" s="324"/>
      <c r="L12" s="468"/>
    </row>
    <row r="13" spans="1:12">
      <c r="A13" s="649">
        <f>Application!B723</f>
        <v>0</v>
      </c>
      <c r="B13" s="1764">
        <f>Application!G723</f>
        <v>0</v>
      </c>
      <c r="C13" s="1765"/>
      <c r="D13" s="649">
        <f>Application!O723</f>
        <v>0</v>
      </c>
      <c r="E13" s="650"/>
      <c r="F13" s="1766"/>
      <c r="G13" s="651">
        <f t="shared" si="0"/>
        <v>0</v>
      </c>
      <c r="H13" s="652"/>
      <c r="I13" s="649" t="str">
        <f t="shared" si="1"/>
        <v xml:space="preserve"> </v>
      </c>
      <c r="J13" s="651" t="str">
        <f t="shared" si="2"/>
        <v xml:space="preserve"> </v>
      </c>
      <c r="K13" s="324"/>
      <c r="L13" s="468"/>
    </row>
    <row r="14" spans="1:12">
      <c r="A14" s="649">
        <f>Application!B724</f>
        <v>0</v>
      </c>
      <c r="B14" s="1764">
        <f>Application!G724</f>
        <v>0</v>
      </c>
      <c r="C14" s="1765"/>
      <c r="D14" s="649">
        <f>Application!O724</f>
        <v>0</v>
      </c>
      <c r="E14" s="650"/>
      <c r="F14" s="1766"/>
      <c r="G14" s="651">
        <f t="shared" si="0"/>
        <v>0</v>
      </c>
      <c r="H14" s="652"/>
      <c r="I14" s="649" t="str">
        <f t="shared" si="1"/>
        <v xml:space="preserve"> </v>
      </c>
      <c r="J14" s="651" t="str">
        <f t="shared" si="2"/>
        <v xml:space="preserve"> </v>
      </c>
      <c r="K14" s="324"/>
      <c r="L14" s="468"/>
    </row>
    <row r="15" spans="1:12">
      <c r="A15" s="649">
        <f>Application!B725</f>
        <v>0</v>
      </c>
      <c r="B15" s="1764">
        <f>Application!G725</f>
        <v>0</v>
      </c>
      <c r="C15" s="1765"/>
      <c r="D15" s="649">
        <f>Application!O725</f>
        <v>0</v>
      </c>
      <c r="E15" s="650"/>
      <c r="F15" s="1766"/>
      <c r="G15" s="651">
        <f t="shared" si="0"/>
        <v>0</v>
      </c>
      <c r="H15" s="652"/>
      <c r="I15" s="649" t="str">
        <f t="shared" si="1"/>
        <v xml:space="preserve"> </v>
      </c>
      <c r="J15" s="651" t="str">
        <f t="shared" si="2"/>
        <v xml:space="preserve"> </v>
      </c>
      <c r="K15" s="324"/>
      <c r="L15" s="468"/>
    </row>
    <row r="16" spans="1:12">
      <c r="A16" s="649">
        <f>Application!B726</f>
        <v>0</v>
      </c>
      <c r="B16" s="1764">
        <f>Application!G726</f>
        <v>0</v>
      </c>
      <c r="C16" s="1765"/>
      <c r="D16" s="649">
        <f>Application!O726</f>
        <v>0</v>
      </c>
      <c r="E16" s="650"/>
      <c r="F16" s="1766"/>
      <c r="G16" s="651">
        <f t="shared" si="0"/>
        <v>0</v>
      </c>
      <c r="H16" s="652"/>
      <c r="I16" s="649" t="str">
        <f t="shared" si="1"/>
        <v xml:space="preserve"> </v>
      </c>
      <c r="J16" s="651" t="str">
        <f t="shared" si="2"/>
        <v xml:space="preserve"> </v>
      </c>
      <c r="K16" s="324"/>
      <c r="L16" s="468"/>
    </row>
    <row r="17" spans="1:12">
      <c r="A17" s="649">
        <f>Application!B727</f>
        <v>0</v>
      </c>
      <c r="B17" s="1764">
        <f>Application!G727</f>
        <v>0</v>
      </c>
      <c r="C17" s="1765"/>
      <c r="D17" s="649">
        <f>Application!O727</f>
        <v>0</v>
      </c>
      <c r="E17" s="650"/>
      <c r="F17" s="1766"/>
      <c r="G17" s="651">
        <f t="shared" si="0"/>
        <v>0</v>
      </c>
      <c r="H17" s="652"/>
      <c r="I17" s="649" t="str">
        <f t="shared" si="1"/>
        <v xml:space="preserve"> </v>
      </c>
      <c r="J17" s="651" t="str">
        <f t="shared" si="2"/>
        <v xml:space="preserve"> </v>
      </c>
      <c r="K17" s="324"/>
      <c r="L17" s="468"/>
    </row>
    <row r="18" spans="1:12">
      <c r="A18" s="649">
        <f>Application!B728</f>
        <v>0</v>
      </c>
      <c r="B18" s="1764">
        <f>Application!G728</f>
        <v>0</v>
      </c>
      <c r="C18" s="1765"/>
      <c r="D18" s="649">
        <f>Application!O728</f>
        <v>0</v>
      </c>
      <c r="E18" s="650"/>
      <c r="F18" s="1766"/>
      <c r="G18" s="651">
        <f t="shared" si="0"/>
        <v>0</v>
      </c>
      <c r="H18" s="652"/>
      <c r="I18" s="649" t="str">
        <f t="shared" si="1"/>
        <v xml:space="preserve"> </v>
      </c>
      <c r="J18" s="651" t="str">
        <f t="shared" si="2"/>
        <v xml:space="preserve"> </v>
      </c>
      <c r="K18" s="324"/>
      <c r="L18" s="468"/>
    </row>
    <row r="19" spans="1:12">
      <c r="A19" s="649">
        <f>Application!B729</f>
        <v>0</v>
      </c>
      <c r="B19" s="1764">
        <f>Application!G729</f>
        <v>0</v>
      </c>
      <c r="C19" s="1765"/>
      <c r="D19" s="649">
        <f>Application!O729</f>
        <v>0</v>
      </c>
      <c r="E19" s="650"/>
      <c r="F19" s="1766"/>
      <c r="G19" s="651">
        <f t="shared" si="0"/>
        <v>0</v>
      </c>
      <c r="H19" s="652"/>
      <c r="I19" s="649" t="str">
        <f t="shared" si="1"/>
        <v xml:space="preserve"> </v>
      </c>
      <c r="J19" s="651" t="str">
        <f t="shared" si="2"/>
        <v xml:space="preserve"> </v>
      </c>
      <c r="K19" s="324"/>
      <c r="L19" s="468"/>
    </row>
    <row r="20" spans="1:12">
      <c r="A20" s="649">
        <f>Application!B730</f>
        <v>0</v>
      </c>
      <c r="B20" s="1764">
        <f>Application!G730</f>
        <v>0</v>
      </c>
      <c r="C20" s="1765"/>
      <c r="D20" s="649">
        <f>Application!O730</f>
        <v>0</v>
      </c>
      <c r="E20" s="650"/>
      <c r="F20" s="1766"/>
      <c r="G20" s="651">
        <f t="shared" si="0"/>
        <v>0</v>
      </c>
      <c r="H20" s="652"/>
      <c r="I20" s="649" t="str">
        <f t="shared" si="1"/>
        <v xml:space="preserve"> </v>
      </c>
      <c r="J20" s="651" t="str">
        <f t="shared" si="2"/>
        <v xml:space="preserve"> </v>
      </c>
      <c r="K20" s="324"/>
      <c r="L20" s="468"/>
    </row>
    <row r="21" spans="1:12">
      <c r="A21" s="649">
        <f>Application!B731</f>
        <v>0</v>
      </c>
      <c r="B21" s="1764">
        <f>Application!G731</f>
        <v>0</v>
      </c>
      <c r="C21" s="1765"/>
      <c r="D21" s="649">
        <f>Application!O731</f>
        <v>0</v>
      </c>
      <c r="E21" s="650"/>
      <c r="F21" s="1766"/>
      <c r="G21" s="651">
        <f t="shared" si="0"/>
        <v>0</v>
      </c>
      <c r="H21" s="652"/>
      <c r="I21" s="649" t="str">
        <f t="shared" si="1"/>
        <v xml:space="preserve"> </v>
      </c>
      <c r="J21" s="651" t="str">
        <f t="shared" si="2"/>
        <v xml:space="preserve"> </v>
      </c>
      <c r="K21" s="324"/>
      <c r="L21" s="468"/>
    </row>
    <row r="22" spans="1:12">
      <c r="A22" s="649">
        <f>Application!B732</f>
        <v>0</v>
      </c>
      <c r="B22" s="1764">
        <f>Application!G732</f>
        <v>0</v>
      </c>
      <c r="C22" s="1765"/>
      <c r="D22" s="649">
        <f>Application!O732</f>
        <v>0</v>
      </c>
      <c r="E22" s="650"/>
      <c r="F22" s="1766"/>
      <c r="G22" s="651">
        <f t="shared" si="0"/>
        <v>0</v>
      </c>
      <c r="H22" s="652"/>
      <c r="I22" s="649" t="str">
        <f t="shared" si="1"/>
        <v xml:space="preserve"> </v>
      </c>
      <c r="J22" s="651" t="str">
        <f t="shared" si="2"/>
        <v xml:space="preserve"> </v>
      </c>
      <c r="K22" s="324"/>
      <c r="L22" s="468"/>
    </row>
    <row r="23" spans="1:12">
      <c r="A23" s="649">
        <f>Application!B733</f>
        <v>0</v>
      </c>
      <c r="B23" s="1764">
        <f>Application!G733</f>
        <v>0</v>
      </c>
      <c r="C23" s="1765"/>
      <c r="D23" s="649">
        <f>Application!O733</f>
        <v>0</v>
      </c>
      <c r="E23" s="650"/>
      <c r="F23" s="1766"/>
      <c r="G23" s="651">
        <f t="shared" si="0"/>
        <v>0</v>
      </c>
      <c r="H23" s="652"/>
      <c r="I23" s="649" t="str">
        <f t="shared" si="1"/>
        <v xml:space="preserve"> </v>
      </c>
      <c r="J23" s="651" t="str">
        <f t="shared" si="2"/>
        <v xml:space="preserve"> </v>
      </c>
      <c r="K23" s="324"/>
      <c r="L23" s="468"/>
    </row>
    <row r="24" spans="1:12">
      <c r="A24" s="649">
        <f>Application!B734</f>
        <v>0</v>
      </c>
      <c r="B24" s="1764">
        <f>Application!G734</f>
        <v>0</v>
      </c>
      <c r="C24" s="1765"/>
      <c r="D24" s="649">
        <f>Application!O734</f>
        <v>0</v>
      </c>
      <c r="E24" s="650"/>
      <c r="F24" s="1766"/>
      <c r="G24" s="651">
        <f t="shared" si="0"/>
        <v>0</v>
      </c>
      <c r="H24" s="652"/>
      <c r="I24" s="649" t="str">
        <f t="shared" si="1"/>
        <v xml:space="preserve"> </v>
      </c>
      <c r="J24" s="651" t="str">
        <f t="shared" si="2"/>
        <v xml:space="preserve"> </v>
      </c>
      <c r="K24" s="324"/>
      <c r="L24" s="468"/>
    </row>
    <row r="25" spans="1:12">
      <c r="A25" s="649">
        <f>Application!B735</f>
        <v>0</v>
      </c>
      <c r="B25" s="1764">
        <f>Application!G735</f>
        <v>0</v>
      </c>
      <c r="C25" s="1765"/>
      <c r="D25" s="649">
        <f>Application!O735</f>
        <v>0</v>
      </c>
      <c r="E25" s="650"/>
      <c r="F25" s="1766"/>
      <c r="G25" s="651">
        <f t="shared" si="0"/>
        <v>0</v>
      </c>
      <c r="H25" s="652"/>
      <c r="I25" s="649" t="str">
        <f t="shared" si="1"/>
        <v xml:space="preserve"> </v>
      </c>
      <c r="J25" s="651" t="str">
        <f t="shared" si="2"/>
        <v xml:space="preserve"> </v>
      </c>
      <c r="K25" s="324"/>
      <c r="L25" s="468"/>
    </row>
    <row r="26" spans="1:12">
      <c r="A26" s="649">
        <f>Application!B736</f>
        <v>0</v>
      </c>
      <c r="B26" s="1764">
        <f>Application!G736</f>
        <v>0</v>
      </c>
      <c r="C26" s="1765"/>
      <c r="D26" s="649">
        <f>Application!O736</f>
        <v>0</v>
      </c>
      <c r="E26" s="650"/>
      <c r="F26" s="1766"/>
      <c r="G26" s="651">
        <f t="shared" si="0"/>
        <v>0</v>
      </c>
      <c r="H26" s="652"/>
      <c r="I26" s="649" t="str">
        <f t="shared" si="1"/>
        <v xml:space="preserve"> </v>
      </c>
      <c r="J26" s="651" t="str">
        <f t="shared" si="2"/>
        <v xml:space="preserve"> </v>
      </c>
      <c r="K26" s="324"/>
      <c r="L26" s="468"/>
    </row>
    <row r="27" spans="1:12">
      <c r="A27" s="649">
        <f>Application!B737</f>
        <v>0</v>
      </c>
      <c r="B27" s="1764">
        <f>Application!G737</f>
        <v>0</v>
      </c>
      <c r="C27" s="1765"/>
      <c r="D27" s="649">
        <f>Application!O737</f>
        <v>0</v>
      </c>
      <c r="E27" s="650"/>
      <c r="F27" s="1766"/>
      <c r="G27" s="651">
        <f t="shared" si="0"/>
        <v>0</v>
      </c>
      <c r="H27" s="652"/>
      <c r="I27" s="649" t="str">
        <f t="shared" si="1"/>
        <v xml:space="preserve"> </v>
      </c>
      <c r="J27" s="651" t="str">
        <f t="shared" si="2"/>
        <v xml:space="preserve"> </v>
      </c>
      <c r="K27" s="324"/>
      <c r="L27" s="468"/>
    </row>
    <row r="28" spans="1:12">
      <c r="A28" s="649">
        <f>Application!B738</f>
        <v>0</v>
      </c>
      <c r="B28" s="1764">
        <f>Application!G738</f>
        <v>0</v>
      </c>
      <c r="C28" s="1765"/>
      <c r="D28" s="649">
        <f>Application!O738</f>
        <v>0</v>
      </c>
      <c r="E28" s="650"/>
      <c r="F28" s="1766"/>
      <c r="G28" s="651">
        <f t="shared" si="0"/>
        <v>0</v>
      </c>
      <c r="H28" s="652"/>
      <c r="I28" s="649" t="str">
        <f t="shared" si="1"/>
        <v xml:space="preserve"> </v>
      </c>
      <c r="J28" s="651" t="str">
        <f t="shared" si="2"/>
        <v xml:space="preserve"> </v>
      </c>
      <c r="K28" s="324"/>
      <c r="L28" s="468"/>
    </row>
    <row r="29" spans="1:12">
      <c r="A29" s="378"/>
      <c r="B29" s="378"/>
      <c r="C29" s="378"/>
      <c r="D29" s="650"/>
      <c r="E29" s="650"/>
      <c r="F29" s="650"/>
      <c r="G29" s="650"/>
      <c r="H29" s="652"/>
      <c r="I29" s="650"/>
      <c r="J29" s="378"/>
      <c r="K29" s="324"/>
      <c r="L29" s="468"/>
    </row>
    <row r="30" spans="1:12" ht="15">
      <c r="A30" s="653" t="s">
        <v>950</v>
      </c>
      <c r="B30" s="654"/>
      <c r="C30" s="654"/>
      <c r="D30" s="655">
        <f>Application!O739</f>
        <v>51039</v>
      </c>
      <c r="E30" s="650"/>
      <c r="F30" s="650"/>
      <c r="G30" s="655">
        <f>SUM(G4:G28)*12</f>
        <v>567552</v>
      </c>
      <c r="H30" s="656"/>
      <c r="I30" s="654"/>
      <c r="J30" s="655">
        <f>SUM(J4:J28)*12</f>
        <v>449628</v>
      </c>
      <c r="K30" s="324"/>
      <c r="L30" s="469"/>
    </row>
    <row r="31" spans="1:12" ht="15">
      <c r="A31" s="653"/>
      <c r="B31" s="654"/>
      <c r="C31" s="654"/>
      <c r="D31" s="656"/>
      <c r="E31" s="650"/>
      <c r="F31" s="650"/>
      <c r="G31" s="656"/>
      <c r="H31" s="656"/>
      <c r="I31" s="654"/>
      <c r="J31" s="656"/>
      <c r="K31" s="324"/>
      <c r="L31" s="469"/>
    </row>
    <row r="32" spans="1:12">
      <c r="A32" s="657" t="s">
        <v>951</v>
      </c>
      <c r="B32" s="646"/>
      <c r="C32" s="646"/>
      <c r="D32" s="646"/>
      <c r="E32" s="646"/>
      <c r="F32" s="646"/>
      <c r="G32" s="646"/>
      <c r="H32" s="646"/>
      <c r="I32" s="646"/>
      <c r="J32" s="646"/>
    </row>
    <row r="33" spans="1:10">
      <c r="A33" s="657" t="s">
        <v>952</v>
      </c>
      <c r="B33" s="646"/>
      <c r="C33" s="646"/>
      <c r="D33" s="646"/>
      <c r="E33" s="646"/>
      <c r="F33" s="646"/>
      <c r="G33" s="646"/>
      <c r="H33" s="646"/>
      <c r="I33" s="646"/>
      <c r="J33" s="646"/>
    </row>
    <row r="34" spans="1:10">
      <c r="A34" s="646" t="s">
        <v>2517</v>
      </c>
      <c r="B34" s="646"/>
      <c r="C34" s="646"/>
      <c r="D34" s="646"/>
      <c r="E34" s="646"/>
      <c r="F34" s="646"/>
      <c r="G34" s="646"/>
      <c r="H34" s="646"/>
      <c r="I34" s="646"/>
      <c r="J34" s="646"/>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E45" sqref="E45"/>
    </sheetView>
  </sheetViews>
  <sheetFormatPr defaultColWidth="0" defaultRowHeight="12.75" zeroHeight="1"/>
  <cols>
    <col min="1" max="1" width="3.7109375" customWidth="1"/>
    <col min="2" max="2" width="27.7109375" customWidth="1"/>
    <col min="3" max="3" width="9.140625" style="3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39" t="s">
        <v>2507</v>
      </c>
      <c r="B1" s="339"/>
    </row>
    <row r="2" spans="1:34"/>
    <row r="3" spans="1:34" ht="15.75">
      <c r="A3" s="340" t="s">
        <v>847</v>
      </c>
      <c r="B3" s="340"/>
      <c r="C3" s="367" t="s">
        <v>848</v>
      </c>
      <c r="D3" s="342"/>
      <c r="E3" s="368" t="s">
        <v>849</v>
      </c>
      <c r="F3" s="323"/>
      <c r="G3" s="368" t="s">
        <v>850</v>
      </c>
      <c r="H3" s="323"/>
      <c r="I3" s="368" t="s">
        <v>851</v>
      </c>
      <c r="J3" s="323"/>
      <c r="K3" s="368" t="s">
        <v>852</v>
      </c>
      <c r="L3" s="323"/>
      <c r="M3" s="368" t="s">
        <v>853</v>
      </c>
      <c r="N3" s="323"/>
      <c r="O3" s="368" t="s">
        <v>854</v>
      </c>
      <c r="P3" s="323"/>
      <c r="Q3" s="368" t="s">
        <v>855</v>
      </c>
      <c r="R3" s="323"/>
      <c r="S3" s="368" t="s">
        <v>856</v>
      </c>
      <c r="T3" s="323"/>
      <c r="U3" s="368" t="s">
        <v>857</v>
      </c>
      <c r="V3" s="323"/>
      <c r="W3" s="368" t="s">
        <v>858</v>
      </c>
      <c r="X3" s="323"/>
      <c r="Y3" s="368" t="s">
        <v>859</v>
      </c>
      <c r="Z3" s="323"/>
      <c r="AA3" s="368" t="s">
        <v>860</v>
      </c>
      <c r="AB3" s="323"/>
      <c r="AC3" s="368" t="s">
        <v>861</v>
      </c>
      <c r="AD3" s="323"/>
      <c r="AE3" s="368" t="s">
        <v>862</v>
      </c>
      <c r="AF3" s="323"/>
      <c r="AG3" s="368" t="s">
        <v>863</v>
      </c>
      <c r="AH3" s="342"/>
    </row>
    <row r="4" spans="1:34" s="350" customFormat="1" ht="14.25">
      <c r="A4" s="350" t="s">
        <v>865</v>
      </c>
      <c r="C4" s="369">
        <v>1.0249999999999999</v>
      </c>
      <c r="E4" s="350">
        <f>Application!Y785</f>
        <v>612468</v>
      </c>
      <c r="G4" s="350">
        <f>E4*$C$4</f>
        <v>627779.69999999995</v>
      </c>
      <c r="I4" s="350">
        <f>G4*$C$4</f>
        <v>643474.19249999989</v>
      </c>
      <c r="K4" s="350">
        <f>I4*$C$4</f>
        <v>659561.04731249984</v>
      </c>
      <c r="M4" s="350">
        <f>K4*$C$4</f>
        <v>676050.07349531224</v>
      </c>
      <c r="O4" s="350">
        <f>M4*$C$4</f>
        <v>692951.32533269504</v>
      </c>
      <c r="Q4" s="350">
        <f>O4*$C$4</f>
        <v>710275.1084660124</v>
      </c>
      <c r="S4" s="350">
        <f>Q4*$C$4</f>
        <v>728031.98617766262</v>
      </c>
      <c r="U4" s="350">
        <f>S4*$C$4</f>
        <v>746232.78583210416</v>
      </c>
      <c r="W4" s="350">
        <f>U4*$C$4</f>
        <v>764888.60547790665</v>
      </c>
      <c r="Y4" s="350">
        <f>W4*$C$4</f>
        <v>784010.82061485422</v>
      </c>
      <c r="AA4" s="350">
        <f>Y4*$C$4</f>
        <v>803611.09113022545</v>
      </c>
      <c r="AC4" s="350">
        <f>AA4*$C$4</f>
        <v>823701.36840848101</v>
      </c>
      <c r="AE4" s="350">
        <f>AC4*$C$4</f>
        <v>844293.90261869296</v>
      </c>
      <c r="AG4" s="350">
        <f>AE4*$C$4</f>
        <v>865401.25018416019</v>
      </c>
    </row>
    <row r="5" spans="1:34" s="338" customFormat="1" ht="14.25">
      <c r="B5" s="338" t="s">
        <v>866</v>
      </c>
      <c r="C5" s="370">
        <f>IF(Application!$D$210="Special Needs",0.1,0.05)</f>
        <v>0.05</v>
      </c>
      <c r="E5" s="352">
        <f>-E4*$C$5</f>
        <v>-30623.4</v>
      </c>
      <c r="F5" s="352"/>
      <c r="G5" s="352">
        <f>-G4*$C$5</f>
        <v>-31388.985000000001</v>
      </c>
      <c r="H5" s="352"/>
      <c r="I5" s="352">
        <f>-I4*$C$5</f>
        <v>-32173.709624999996</v>
      </c>
      <c r="J5" s="352"/>
      <c r="K5" s="352">
        <f>-K4*$C$5</f>
        <v>-32978.052365624993</v>
      </c>
      <c r="L5" s="352"/>
      <c r="M5" s="352">
        <f>-M4*$C$5</f>
        <v>-33802.503674765612</v>
      </c>
      <c r="N5" s="352"/>
      <c r="O5" s="352">
        <f>-O4*$C$5</f>
        <v>-34647.566266634756</v>
      </c>
      <c r="P5" s="352"/>
      <c r="Q5" s="352">
        <f>-Q4*$C$5</f>
        <v>-35513.755423300623</v>
      </c>
      <c r="R5" s="352"/>
      <c r="S5" s="352">
        <f>-S4*$C$5</f>
        <v>-36401.599308883131</v>
      </c>
      <c r="T5" s="352"/>
      <c r="U5" s="352">
        <f>-U4*$C$5</f>
        <v>-37311.639291605206</v>
      </c>
      <c r="V5" s="352"/>
      <c r="W5" s="352">
        <f>-W4*$C$5</f>
        <v>-38244.430273895334</v>
      </c>
      <c r="X5" s="352"/>
      <c r="Y5" s="352">
        <f>-Y4*$C$5</f>
        <v>-39200.541030742716</v>
      </c>
      <c r="Z5" s="352"/>
      <c r="AA5" s="352">
        <f>-AA4*$C$5</f>
        <v>-40180.554556511277</v>
      </c>
      <c r="AB5" s="352"/>
      <c r="AC5" s="352">
        <f>-AC4*$C$5</f>
        <v>-41185.068420424053</v>
      </c>
      <c r="AD5" s="352"/>
      <c r="AE5" s="352">
        <f>-AE4*$C$5</f>
        <v>-42214.695130934648</v>
      </c>
      <c r="AF5" s="352"/>
      <c r="AG5" s="352">
        <f>-AG4*$C$5</f>
        <v>-43270.062509208015</v>
      </c>
    </row>
    <row r="6" spans="1:34" s="338" customFormat="1" ht="14.25">
      <c r="A6" s="338" t="s">
        <v>864</v>
      </c>
      <c r="C6" s="369">
        <v>1.0249999999999999</v>
      </c>
      <c r="E6" s="353">
        <f>Application!Z793</f>
        <v>449628</v>
      </c>
      <c r="F6" s="353"/>
      <c r="G6" s="353">
        <f>E6*$C$6</f>
        <v>460868.69999999995</v>
      </c>
      <c r="H6" s="353"/>
      <c r="I6" s="353">
        <f>G6*$C$6</f>
        <v>472390.41749999992</v>
      </c>
      <c r="J6" s="353"/>
      <c r="K6" s="353">
        <f>I6*$C$6</f>
        <v>484200.17793749989</v>
      </c>
      <c r="L6" s="353"/>
      <c r="M6" s="353">
        <f>K6*$C$6</f>
        <v>496305.18238593737</v>
      </c>
      <c r="N6" s="353"/>
      <c r="O6" s="353">
        <f>M6*$C$6</f>
        <v>508712.81194558577</v>
      </c>
      <c r="P6" s="353"/>
      <c r="Q6" s="353">
        <f>O6*$C$6</f>
        <v>521430.63224422536</v>
      </c>
      <c r="R6" s="353"/>
      <c r="S6" s="353">
        <f>Q6*$C$6</f>
        <v>534466.39805033093</v>
      </c>
      <c r="T6" s="353"/>
      <c r="U6" s="353">
        <f>S6*$C$6</f>
        <v>547828.05800158915</v>
      </c>
      <c r="V6" s="353"/>
      <c r="W6" s="353">
        <f>U6*$C$6</f>
        <v>561523.75945162878</v>
      </c>
      <c r="X6" s="353"/>
      <c r="Y6" s="353">
        <f>W6*$C$6</f>
        <v>575561.8534379194</v>
      </c>
      <c r="Z6" s="353"/>
      <c r="AA6" s="353">
        <f>Y6*$C$6</f>
        <v>589950.89977386734</v>
      </c>
      <c r="AB6" s="353"/>
      <c r="AC6" s="353">
        <f>AA6*$C$6</f>
        <v>604699.67226821394</v>
      </c>
      <c r="AD6" s="353"/>
      <c r="AE6" s="353">
        <f>AC6*$C$6</f>
        <v>619817.16407491919</v>
      </c>
      <c r="AF6" s="353"/>
      <c r="AG6" s="353">
        <f>AE6*$C$6</f>
        <v>635312.59317679214</v>
      </c>
    </row>
    <row r="7" spans="1:34" s="338" customFormat="1" ht="14.25">
      <c r="B7" s="338" t="s">
        <v>866</v>
      </c>
      <c r="C7" s="370">
        <f>IF(Application!$D$210="Special Needs",0.1,0.05)</f>
        <v>0.05</v>
      </c>
      <c r="E7" s="352">
        <f>-E6*$C$7</f>
        <v>-22481.4</v>
      </c>
      <c r="F7" s="352"/>
      <c r="G7" s="352">
        <f>-G6*$C$7</f>
        <v>-23043.434999999998</v>
      </c>
      <c r="H7" s="352"/>
      <c r="I7" s="352">
        <f>-I6*$C$7</f>
        <v>-23619.520874999998</v>
      </c>
      <c r="J7" s="352"/>
      <c r="K7" s="352">
        <f>-K6*$C$7</f>
        <v>-24210.008896874995</v>
      </c>
      <c r="L7" s="352"/>
      <c r="M7" s="352">
        <f>-M6*$C$7</f>
        <v>-24815.259119296868</v>
      </c>
      <c r="N7" s="352"/>
      <c r="O7" s="352">
        <f>-O6*$C$7</f>
        <v>-25435.640597279289</v>
      </c>
      <c r="P7" s="352"/>
      <c r="Q7" s="352">
        <f>-Q6*$C$7</f>
        <v>-26071.531612211271</v>
      </c>
      <c r="R7" s="352"/>
      <c r="S7" s="352">
        <f>-S6*$C$7</f>
        <v>-26723.319902516549</v>
      </c>
      <c r="T7" s="352"/>
      <c r="U7" s="352">
        <f>-U6*$C$7</f>
        <v>-27391.402900079458</v>
      </c>
      <c r="V7" s="352"/>
      <c r="W7" s="352">
        <f>-W6*$C$7</f>
        <v>-28076.18797258144</v>
      </c>
      <c r="X7" s="352"/>
      <c r="Y7" s="352">
        <f>-Y6*$C$7</f>
        <v>-28778.092671895971</v>
      </c>
      <c r="Z7" s="352"/>
      <c r="AA7" s="352">
        <f>-AA6*$C$7</f>
        <v>-29497.544988693367</v>
      </c>
      <c r="AB7" s="352"/>
      <c r="AC7" s="352">
        <f>-AC6*$C$7</f>
        <v>-30234.983613410699</v>
      </c>
      <c r="AD7" s="352"/>
      <c r="AE7" s="352">
        <f>-AE6*$C$7</f>
        <v>-30990.85820374596</v>
      </c>
      <c r="AF7" s="352"/>
      <c r="AG7" s="352">
        <f>-AG6*$C$7</f>
        <v>-31765.629658839607</v>
      </c>
    </row>
    <row r="8" spans="1:34" s="338" customFormat="1" ht="14.25">
      <c r="A8" s="338" t="s">
        <v>289</v>
      </c>
      <c r="C8" s="369">
        <v>1.0249999999999999</v>
      </c>
      <c r="E8" s="353">
        <f>Application!Z801</f>
        <v>5112</v>
      </c>
      <c r="F8" s="353"/>
      <c r="G8" s="353">
        <f>E8*$C$8</f>
        <v>5239.7999999999993</v>
      </c>
      <c r="H8" s="353"/>
      <c r="I8" s="353">
        <f>G8*$C$8</f>
        <v>5370.7949999999992</v>
      </c>
      <c r="J8" s="353"/>
      <c r="K8" s="353">
        <f>I8*$C$8</f>
        <v>5505.0648749999991</v>
      </c>
      <c r="L8" s="353"/>
      <c r="M8" s="353">
        <f>K8*$C$8</f>
        <v>5642.6914968749988</v>
      </c>
      <c r="N8" s="353"/>
      <c r="O8" s="353">
        <f>M8*$C$8</f>
        <v>5783.7587842968733</v>
      </c>
      <c r="P8" s="353"/>
      <c r="Q8" s="353">
        <f>O8*$C$8</f>
        <v>5928.3527539042943</v>
      </c>
      <c r="R8" s="353"/>
      <c r="S8" s="353">
        <f>Q8*$C$8</f>
        <v>6076.5615727519007</v>
      </c>
      <c r="T8" s="353"/>
      <c r="U8" s="353">
        <f>S8*$C$8</f>
        <v>6228.4756120706979</v>
      </c>
      <c r="V8" s="353"/>
      <c r="W8" s="353">
        <f>U8*$C$8</f>
        <v>6384.1875023724651</v>
      </c>
      <c r="X8" s="353"/>
      <c r="Y8" s="353">
        <f>W8*$C$8</f>
        <v>6543.7921899317762</v>
      </c>
      <c r="Z8" s="353"/>
      <c r="AA8" s="353">
        <f>Y8*$C$8</f>
        <v>6707.3869946800696</v>
      </c>
      <c r="AB8" s="353"/>
      <c r="AC8" s="353">
        <f>AA8*$C$8</f>
        <v>6875.071669547071</v>
      </c>
      <c r="AD8" s="353"/>
      <c r="AE8" s="353">
        <f>AC8*$C$8</f>
        <v>7046.9484612857468</v>
      </c>
      <c r="AF8" s="353"/>
      <c r="AG8" s="353">
        <f>AE8*$C$8</f>
        <v>7223.1221728178898</v>
      </c>
    </row>
    <row r="9" spans="1:34" s="338" customFormat="1" ht="14.25">
      <c r="B9" s="338" t="s">
        <v>866</v>
      </c>
      <c r="C9" s="370">
        <f>IF(Application!$D$210="Special Needs",0.1,0.05)</f>
        <v>0.05</v>
      </c>
      <c r="E9" s="1840">
        <f>-E8*$C$9</f>
        <v>-255.60000000000002</v>
      </c>
      <c r="F9" s="1840"/>
      <c r="G9" s="1840">
        <f>-G8*$C$9</f>
        <v>-261.98999999999995</v>
      </c>
      <c r="H9" s="1840"/>
      <c r="I9" s="1840">
        <f>-I8*$C$9</f>
        <v>-268.53974999999997</v>
      </c>
      <c r="J9" s="1840"/>
      <c r="K9" s="1840">
        <f>-K8*$C$9</f>
        <v>-275.25324374999997</v>
      </c>
      <c r="L9" s="1840"/>
      <c r="M9" s="1840">
        <f>-M8*$C$9</f>
        <v>-282.13457484374993</v>
      </c>
      <c r="N9" s="1840"/>
      <c r="O9" s="1840">
        <f>-O8*$C$9</f>
        <v>-289.18793921484365</v>
      </c>
      <c r="P9" s="1840"/>
      <c r="Q9" s="1840">
        <f>-Q8*$C$9</f>
        <v>-296.41763769521475</v>
      </c>
      <c r="R9" s="1840"/>
      <c r="S9" s="1840">
        <f>-S8*$C$9</f>
        <v>-303.82807863759507</v>
      </c>
      <c r="T9" s="1840"/>
      <c r="U9" s="1840">
        <f>-U8*$C$9</f>
        <v>-311.42378060353491</v>
      </c>
      <c r="V9" s="1840"/>
      <c r="W9" s="1840">
        <f>-W8*$C$9</f>
        <v>-319.20937511862326</v>
      </c>
      <c r="X9" s="1840"/>
      <c r="Y9" s="1840">
        <f>-Y8*$C$9</f>
        <v>-327.18960949658884</v>
      </c>
      <c r="Z9" s="1840"/>
      <c r="AA9" s="1840">
        <f>-AA8*$C$9</f>
        <v>-335.36934973400349</v>
      </c>
      <c r="AB9" s="1840"/>
      <c r="AC9" s="1840">
        <f>-AC8*$C$9</f>
        <v>-343.75358347735357</v>
      </c>
      <c r="AD9" s="1840"/>
      <c r="AE9" s="1840">
        <f>-AE8*$C$9</f>
        <v>-352.34742306428734</v>
      </c>
      <c r="AF9" s="1840"/>
      <c r="AG9" s="1840">
        <f>-AG8*$C$9</f>
        <v>-361.1561086408945</v>
      </c>
    </row>
    <row r="10" spans="1:34" s="338" customFormat="1" ht="14.25">
      <c r="A10" s="1841" t="s">
        <v>2512</v>
      </c>
      <c r="B10" s="1841"/>
      <c r="C10" s="370"/>
      <c r="E10" s="1842"/>
      <c r="F10" s="353"/>
      <c r="G10" s="1842"/>
      <c r="H10" s="353"/>
      <c r="I10" s="1842"/>
      <c r="J10" s="353"/>
      <c r="K10" s="1842"/>
      <c r="L10" s="353"/>
      <c r="M10" s="1842"/>
      <c r="N10" s="353"/>
      <c r="O10" s="1842"/>
      <c r="P10" s="353"/>
      <c r="Q10" s="1842"/>
      <c r="R10" s="353"/>
      <c r="S10" s="1842"/>
      <c r="T10" s="353"/>
      <c r="U10" s="1842"/>
      <c r="V10" s="353"/>
      <c r="W10" s="1842"/>
      <c r="X10" s="353"/>
      <c r="Y10" s="1842"/>
      <c r="Z10" s="353"/>
      <c r="AA10" s="1842"/>
      <c r="AB10" s="353"/>
      <c r="AC10" s="1842"/>
      <c r="AD10" s="353"/>
      <c r="AE10" s="1842"/>
      <c r="AF10" s="353"/>
      <c r="AG10" s="1842"/>
    </row>
    <row r="11" spans="1:34" s="354" customFormat="1" ht="15">
      <c r="A11" s="354" t="s">
        <v>887</v>
      </c>
      <c r="C11" s="345"/>
      <c r="E11" s="354">
        <f>SUM(E4:E10)</f>
        <v>1013847.6</v>
      </c>
      <c r="G11" s="354">
        <f>SUM(G4:G10)</f>
        <v>1039193.79</v>
      </c>
      <c r="I11" s="354">
        <f>SUM(I4:I10)</f>
        <v>1065173.6347499997</v>
      </c>
      <c r="K11" s="354">
        <f>SUM(K4:K10)</f>
        <v>1091802.9756187496</v>
      </c>
      <c r="M11" s="354">
        <f>SUM(M4:M10)</f>
        <v>1119098.0500092183</v>
      </c>
      <c r="O11" s="354">
        <f>SUM(O4:O10)</f>
        <v>1147075.5012594492</v>
      </c>
      <c r="Q11" s="354">
        <f>SUM(Q4:Q10)</f>
        <v>1175752.3887909346</v>
      </c>
      <c r="S11" s="354">
        <f>SUM(S4:S10)</f>
        <v>1205146.1985107085</v>
      </c>
      <c r="U11" s="354">
        <f>SUM(U4:U10)</f>
        <v>1235274.8534734757</v>
      </c>
      <c r="W11" s="354">
        <f>SUM(W4:W10)</f>
        <v>1266156.7248103125</v>
      </c>
      <c r="Y11" s="354">
        <f>SUM(Y4:Y10)</f>
        <v>1297810.6429305701</v>
      </c>
      <c r="AA11" s="354">
        <f>SUM(AA4:AA10)</f>
        <v>1330255.9090038342</v>
      </c>
      <c r="AC11" s="354">
        <f>SUM(AC4:AC10)</f>
        <v>1363512.30672893</v>
      </c>
      <c r="AE11" s="354">
        <f>SUM(AE4:AE10)</f>
        <v>1397600.114397153</v>
      </c>
      <c r="AG11" s="354">
        <f>SUM(AG4:AG10)</f>
        <v>1432540.1172570817</v>
      </c>
    </row>
    <row r="12" spans="1:34">
      <c r="C12" s="36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row>
    <row r="13" spans="1:34" ht="15.75">
      <c r="A13" s="340" t="s">
        <v>867</v>
      </c>
      <c r="C13" s="36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row>
    <row r="14" spans="1:34" s="338" customFormat="1" ht="14.25">
      <c r="A14" s="338" t="s">
        <v>868</v>
      </c>
      <c r="C14" s="369">
        <v>1.0349999999999999</v>
      </c>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row>
    <row r="15" spans="1:34" s="350" customFormat="1" ht="14.25">
      <c r="A15" s="350" t="s">
        <v>869</v>
      </c>
      <c r="C15" s="365"/>
      <c r="E15" s="350">
        <f>Application!W831</f>
        <v>47324</v>
      </c>
      <c r="G15" s="350">
        <f>E15*$C$14</f>
        <v>48980.34</v>
      </c>
      <c r="I15" s="350">
        <f>G15*$C$14</f>
        <v>50694.65189999999</v>
      </c>
      <c r="K15" s="350">
        <f>I15*$C$14</f>
        <v>52468.964716499984</v>
      </c>
      <c r="M15" s="350">
        <f>K15*$C$14</f>
        <v>54305.378481577478</v>
      </c>
      <c r="O15" s="350">
        <f>M15*$C$14</f>
        <v>56206.066728432685</v>
      </c>
      <c r="Q15" s="350">
        <f>O15*$C$14</f>
        <v>58173.279063927825</v>
      </c>
      <c r="S15" s="350">
        <f>Q15*$C$14</f>
        <v>60209.343831165294</v>
      </c>
      <c r="U15" s="350">
        <f>S15*$C$14</f>
        <v>62316.670865256077</v>
      </c>
      <c r="W15" s="350">
        <f>U15*$C$14</f>
        <v>64497.754345540037</v>
      </c>
      <c r="Y15" s="350">
        <f>W15*$C$14</f>
        <v>66755.175747633926</v>
      </c>
      <c r="AA15" s="350">
        <f>Y15*$C$14</f>
        <v>69091.60689880111</v>
      </c>
      <c r="AC15" s="350">
        <f>AA15*$C$14</f>
        <v>71509.813140259139</v>
      </c>
      <c r="AE15" s="350">
        <f>AC15*$C$14</f>
        <v>74012.656600168208</v>
      </c>
      <c r="AG15" s="350">
        <f>AE15*$C$14</f>
        <v>76603.099581174087</v>
      </c>
    </row>
    <row r="16" spans="1:34" s="338" customFormat="1" ht="14.25">
      <c r="A16" s="338" t="s">
        <v>345</v>
      </c>
      <c r="C16" s="364"/>
      <c r="E16" s="353">
        <f>Application!W833</f>
        <v>46920</v>
      </c>
      <c r="F16" s="353"/>
      <c r="G16" s="353">
        <f t="shared" ref="G16:AG21" si="0">E16*$C$14</f>
        <v>48562.2</v>
      </c>
      <c r="H16" s="353"/>
      <c r="I16" s="353">
        <f t="shared" si="0"/>
        <v>50261.876999999993</v>
      </c>
      <c r="J16" s="353"/>
      <c r="K16" s="353">
        <f t="shared" si="0"/>
        <v>52021.042694999989</v>
      </c>
      <c r="L16" s="353"/>
      <c r="M16" s="353">
        <f t="shared" si="0"/>
        <v>53841.779189324981</v>
      </c>
      <c r="N16" s="353"/>
      <c r="O16" s="353">
        <f t="shared" si="0"/>
        <v>55726.241460951351</v>
      </c>
      <c r="P16" s="353"/>
      <c r="Q16" s="353">
        <f t="shared" si="0"/>
        <v>57676.659912084644</v>
      </c>
      <c r="R16" s="353"/>
      <c r="S16" s="353">
        <f t="shared" si="0"/>
        <v>59695.3430090076</v>
      </c>
      <c r="T16" s="353"/>
      <c r="U16" s="353">
        <f t="shared" si="0"/>
        <v>61784.680014322861</v>
      </c>
      <c r="V16" s="353"/>
      <c r="W16" s="353">
        <f t="shared" si="0"/>
        <v>63947.143814824158</v>
      </c>
      <c r="X16" s="353"/>
      <c r="Y16" s="353">
        <f t="shared" si="0"/>
        <v>66185.293848343004</v>
      </c>
      <c r="Z16" s="353"/>
      <c r="AA16" s="353">
        <f t="shared" si="0"/>
        <v>68501.779133035001</v>
      </c>
      <c r="AB16" s="353"/>
      <c r="AC16" s="353">
        <f t="shared" si="0"/>
        <v>70899.341402691221</v>
      </c>
      <c r="AD16" s="353"/>
      <c r="AE16" s="353">
        <f t="shared" si="0"/>
        <v>73380.818351785405</v>
      </c>
      <c r="AF16" s="353"/>
      <c r="AG16" s="353">
        <f t="shared" si="0"/>
        <v>75949.146994097886</v>
      </c>
    </row>
    <row r="17" spans="1:33" s="338" customFormat="1" ht="14.25">
      <c r="A17" s="338" t="s">
        <v>570</v>
      </c>
      <c r="C17" s="364"/>
      <c r="E17" s="353">
        <f>Application!W839</f>
        <v>57800</v>
      </c>
      <c r="F17" s="353"/>
      <c r="G17" s="353">
        <f t="shared" si="0"/>
        <v>59822.999999999993</v>
      </c>
      <c r="H17" s="353"/>
      <c r="I17" s="353">
        <f t="shared" si="0"/>
        <v>61916.804999999986</v>
      </c>
      <c r="J17" s="353"/>
      <c r="K17" s="353">
        <f t="shared" si="0"/>
        <v>64083.893174999983</v>
      </c>
      <c r="L17" s="353"/>
      <c r="M17" s="353">
        <f t="shared" si="0"/>
        <v>66326.829436124972</v>
      </c>
      <c r="N17" s="353"/>
      <c r="O17" s="353">
        <f t="shared" si="0"/>
        <v>68648.268466389345</v>
      </c>
      <c r="P17" s="353"/>
      <c r="Q17" s="353">
        <f t="shared" si="0"/>
        <v>71050.957862712967</v>
      </c>
      <c r="R17" s="353"/>
      <c r="S17" s="353">
        <f t="shared" si="0"/>
        <v>73537.74138790791</v>
      </c>
      <c r="T17" s="353"/>
      <c r="U17" s="353">
        <f t="shared" si="0"/>
        <v>76111.562336484683</v>
      </c>
      <c r="V17" s="353"/>
      <c r="W17" s="353">
        <f t="shared" si="0"/>
        <v>78775.467018261639</v>
      </c>
      <c r="X17" s="353"/>
      <c r="Y17" s="353">
        <f t="shared" si="0"/>
        <v>81532.608363900785</v>
      </c>
      <c r="Z17" s="353"/>
      <c r="AA17" s="353">
        <f t="shared" si="0"/>
        <v>84386.249656637301</v>
      </c>
      <c r="AB17" s="353"/>
      <c r="AC17" s="353">
        <f t="shared" si="0"/>
        <v>87339.768394619605</v>
      </c>
      <c r="AD17" s="353"/>
      <c r="AE17" s="353">
        <f t="shared" si="0"/>
        <v>90396.660288431289</v>
      </c>
      <c r="AF17" s="353"/>
      <c r="AG17" s="353">
        <f t="shared" si="0"/>
        <v>93560.543398526381</v>
      </c>
    </row>
    <row r="18" spans="1:33" s="338" customFormat="1" ht="14.25">
      <c r="A18" s="338" t="s">
        <v>870</v>
      </c>
      <c r="C18" s="364"/>
      <c r="E18" s="353">
        <f>Application!W846</f>
        <v>115200</v>
      </c>
      <c r="F18" s="353"/>
      <c r="G18" s="353">
        <f t="shared" si="0"/>
        <v>119231.99999999999</v>
      </c>
      <c r="H18" s="353"/>
      <c r="I18" s="353">
        <f t="shared" si="0"/>
        <v>123405.11999999998</v>
      </c>
      <c r="J18" s="353"/>
      <c r="K18" s="353">
        <f t="shared" si="0"/>
        <v>127724.29919999996</v>
      </c>
      <c r="L18" s="353"/>
      <c r="M18" s="353">
        <f t="shared" si="0"/>
        <v>132194.64967199994</v>
      </c>
      <c r="N18" s="353"/>
      <c r="O18" s="353">
        <f t="shared" si="0"/>
        <v>136821.46241051992</v>
      </c>
      <c r="P18" s="353"/>
      <c r="Q18" s="353">
        <f t="shared" si="0"/>
        <v>141610.2135948881</v>
      </c>
      <c r="R18" s="353"/>
      <c r="S18" s="353">
        <f t="shared" si="0"/>
        <v>146566.57107070918</v>
      </c>
      <c r="T18" s="353"/>
      <c r="U18" s="353">
        <f t="shared" si="0"/>
        <v>151696.40105818398</v>
      </c>
      <c r="V18" s="353"/>
      <c r="W18" s="353">
        <f t="shared" si="0"/>
        <v>157005.77509522042</v>
      </c>
      <c r="X18" s="353"/>
      <c r="Y18" s="353">
        <f t="shared" si="0"/>
        <v>162500.97722355311</v>
      </c>
      <c r="Z18" s="353"/>
      <c r="AA18" s="353">
        <f t="shared" si="0"/>
        <v>168188.51142637746</v>
      </c>
      <c r="AB18" s="353"/>
      <c r="AC18" s="353">
        <f t="shared" si="0"/>
        <v>174075.10932630065</v>
      </c>
      <c r="AD18" s="353"/>
      <c r="AE18" s="353">
        <f t="shared" si="0"/>
        <v>180167.73815272117</v>
      </c>
      <c r="AF18" s="353"/>
      <c r="AG18" s="353">
        <f t="shared" si="0"/>
        <v>186473.60898806641</v>
      </c>
    </row>
    <row r="19" spans="1:33" s="338" customFormat="1" ht="14.25">
      <c r="A19" s="338" t="s">
        <v>156</v>
      </c>
      <c r="C19" s="364"/>
      <c r="E19" s="353">
        <f>Application!W847</f>
        <v>31150</v>
      </c>
      <c r="F19" s="353"/>
      <c r="G19" s="353">
        <f t="shared" si="0"/>
        <v>32240.249999999996</v>
      </c>
      <c r="H19" s="353"/>
      <c r="I19" s="353">
        <f t="shared" si="0"/>
        <v>33368.658749999995</v>
      </c>
      <c r="J19" s="353"/>
      <c r="K19" s="353">
        <f t="shared" si="0"/>
        <v>34536.561806249993</v>
      </c>
      <c r="L19" s="353"/>
      <c r="M19" s="353">
        <f t="shared" si="0"/>
        <v>35745.341469468738</v>
      </c>
      <c r="N19" s="353"/>
      <c r="O19" s="353">
        <f t="shared" si="0"/>
        <v>36996.428420900142</v>
      </c>
      <c r="P19" s="353"/>
      <c r="Q19" s="353">
        <f t="shared" si="0"/>
        <v>38291.303415631643</v>
      </c>
      <c r="R19" s="353"/>
      <c r="S19" s="353">
        <f t="shared" si="0"/>
        <v>39631.499035178749</v>
      </c>
      <c r="T19" s="353"/>
      <c r="U19" s="353">
        <f t="shared" si="0"/>
        <v>41018.601501410005</v>
      </c>
      <c r="V19" s="353"/>
      <c r="W19" s="353">
        <f t="shared" si="0"/>
        <v>42454.252553959355</v>
      </c>
      <c r="X19" s="353"/>
      <c r="Y19" s="353">
        <f t="shared" si="0"/>
        <v>43940.151393347929</v>
      </c>
      <c r="Z19" s="353"/>
      <c r="AA19" s="353">
        <f t="shared" si="0"/>
        <v>45478.056692115104</v>
      </c>
      <c r="AB19" s="353"/>
      <c r="AC19" s="353">
        <f t="shared" si="0"/>
        <v>47069.788676339129</v>
      </c>
      <c r="AD19" s="353"/>
      <c r="AE19" s="353">
        <f t="shared" si="0"/>
        <v>48717.231280010994</v>
      </c>
      <c r="AF19" s="353"/>
      <c r="AG19" s="353">
        <f t="shared" si="0"/>
        <v>50422.334374811377</v>
      </c>
    </row>
    <row r="20" spans="1:33" s="338" customFormat="1" ht="14.25">
      <c r="A20" s="338" t="s">
        <v>391</v>
      </c>
      <c r="C20" s="364"/>
      <c r="E20" s="353">
        <f>Application!W856</f>
        <v>61500</v>
      </c>
      <c r="F20" s="353"/>
      <c r="G20" s="353">
        <f t="shared" si="0"/>
        <v>63652.499999999993</v>
      </c>
      <c r="H20" s="353"/>
      <c r="I20" s="353">
        <f t="shared" si="0"/>
        <v>65880.337499999994</v>
      </c>
      <c r="J20" s="353"/>
      <c r="K20" s="353">
        <f t="shared" si="0"/>
        <v>68186.149312499983</v>
      </c>
      <c r="L20" s="353"/>
      <c r="M20" s="353">
        <f t="shared" si="0"/>
        <v>70572.664538437471</v>
      </c>
      <c r="N20" s="353"/>
      <c r="O20" s="353">
        <f t="shared" si="0"/>
        <v>73042.707797282783</v>
      </c>
      <c r="P20" s="353"/>
      <c r="Q20" s="353">
        <f t="shared" si="0"/>
        <v>75599.20257018767</v>
      </c>
      <c r="R20" s="353"/>
      <c r="S20" s="353">
        <f t="shared" si="0"/>
        <v>78245.174660144228</v>
      </c>
      <c r="T20" s="353"/>
      <c r="U20" s="353">
        <f t="shared" si="0"/>
        <v>80983.755773249271</v>
      </c>
      <c r="V20" s="353"/>
      <c r="W20" s="353">
        <f t="shared" si="0"/>
        <v>83818.187225312984</v>
      </c>
      <c r="X20" s="353"/>
      <c r="Y20" s="353">
        <f t="shared" si="0"/>
        <v>86751.82377819893</v>
      </c>
      <c r="Z20" s="353"/>
      <c r="AA20" s="353">
        <f t="shared" si="0"/>
        <v>89788.137610435879</v>
      </c>
      <c r="AB20" s="353"/>
      <c r="AC20" s="353">
        <f t="shared" si="0"/>
        <v>92930.722426801134</v>
      </c>
      <c r="AD20" s="353"/>
      <c r="AE20" s="353">
        <f t="shared" si="0"/>
        <v>96183.297711739171</v>
      </c>
      <c r="AF20" s="353"/>
      <c r="AG20" s="353">
        <f t="shared" si="0"/>
        <v>99549.713131650031</v>
      </c>
    </row>
    <row r="21" spans="1:33" s="338" customFormat="1" ht="14.25">
      <c r="A21" s="357" t="s">
        <v>1001</v>
      </c>
      <c r="B21" s="357"/>
      <c r="C21" s="364"/>
      <c r="E21" s="363">
        <f>Application!W863</f>
        <v>26900</v>
      </c>
      <c r="F21" s="353"/>
      <c r="G21" s="363">
        <f t="shared" si="0"/>
        <v>27841.499999999996</v>
      </c>
      <c r="H21" s="353"/>
      <c r="I21" s="363">
        <f t="shared" si="0"/>
        <v>28815.952499999996</v>
      </c>
      <c r="J21" s="353"/>
      <c r="K21" s="363">
        <f t="shared" si="0"/>
        <v>29824.510837499995</v>
      </c>
      <c r="L21" s="353"/>
      <c r="M21" s="363">
        <f t="shared" si="0"/>
        <v>30868.368716812492</v>
      </c>
      <c r="N21" s="353"/>
      <c r="O21" s="363">
        <f t="shared" si="0"/>
        <v>31948.761621900929</v>
      </c>
      <c r="P21" s="353"/>
      <c r="Q21" s="363">
        <f t="shared" si="0"/>
        <v>33066.96827866746</v>
      </c>
      <c r="R21" s="353"/>
      <c r="S21" s="363">
        <f t="shared" si="0"/>
        <v>34224.312168420816</v>
      </c>
      <c r="T21" s="353"/>
      <c r="U21" s="363">
        <f t="shared" si="0"/>
        <v>35422.16309431554</v>
      </c>
      <c r="V21" s="353"/>
      <c r="W21" s="363">
        <f t="shared" si="0"/>
        <v>36661.938802616583</v>
      </c>
      <c r="X21" s="353"/>
      <c r="Y21" s="363">
        <f t="shared" si="0"/>
        <v>37945.106660708159</v>
      </c>
      <c r="Z21" s="353"/>
      <c r="AA21" s="363">
        <f t="shared" si="0"/>
        <v>39273.185393832944</v>
      </c>
      <c r="AB21" s="353"/>
      <c r="AC21" s="363">
        <f t="shared" si="0"/>
        <v>40647.746882617095</v>
      </c>
      <c r="AD21" s="353"/>
      <c r="AE21" s="363">
        <f t="shared" si="0"/>
        <v>42070.41802350869</v>
      </c>
      <c r="AF21" s="353"/>
      <c r="AG21" s="363">
        <f t="shared" si="0"/>
        <v>43542.882654331494</v>
      </c>
    </row>
    <row r="22" spans="1:33" s="354" customFormat="1" ht="15">
      <c r="A22" s="354" t="s">
        <v>871</v>
      </c>
      <c r="C22" s="364"/>
      <c r="E22" s="354">
        <f>SUM(E15:E21)</f>
        <v>386794</v>
      </c>
      <c r="G22" s="354">
        <f>SUM(G15:G21)</f>
        <v>400331.79</v>
      </c>
      <c r="I22" s="354">
        <f>SUM(I15:I21)</f>
        <v>414343.40264999995</v>
      </c>
      <c r="K22" s="354">
        <f>SUM(K15:K21)</f>
        <v>428845.42174274987</v>
      </c>
      <c r="M22" s="354">
        <f>SUM(M15:M21)</f>
        <v>443855.01150374609</v>
      </c>
      <c r="O22" s="354">
        <f>SUM(O15:O21)</f>
        <v>459389.93690637714</v>
      </c>
      <c r="Q22" s="354">
        <f>SUM(Q15:Q21)</f>
        <v>475468.58469810034</v>
      </c>
      <c r="S22" s="354">
        <f>SUM(S15:S21)</f>
        <v>492109.98516253376</v>
      </c>
      <c r="U22" s="354">
        <f>SUM(U15:U21)</f>
        <v>509333.83464322245</v>
      </c>
      <c r="W22" s="354">
        <f>SUM(W15:W21)</f>
        <v>527160.51885573519</v>
      </c>
      <c r="Y22" s="354">
        <f>SUM(Y15:Y21)</f>
        <v>545611.1370156859</v>
      </c>
      <c r="AA22" s="354">
        <f>SUM(AA15:AA21)</f>
        <v>564707.52681123477</v>
      </c>
      <c r="AC22" s="354">
        <f>SUM(AC15:AC21)</f>
        <v>584472.29024962801</v>
      </c>
      <c r="AE22" s="354">
        <f>SUM(AE15:AE21)</f>
        <v>604928.82040836499</v>
      </c>
      <c r="AG22" s="354">
        <f>SUM(AG15:AG21)</f>
        <v>626101.32912265765</v>
      </c>
    </row>
    <row r="23" spans="1:33" s="338" customFormat="1" ht="14.25">
      <c r="C23" s="364"/>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row>
    <row r="24" spans="1:33" s="338" customFormat="1" ht="14.25">
      <c r="A24" s="338" t="s">
        <v>1935</v>
      </c>
      <c r="C24" s="364"/>
      <c r="E24" s="1445"/>
      <c r="F24" s="353"/>
      <c r="G24" s="353">
        <f>E24*$C$24</f>
        <v>0</v>
      </c>
      <c r="H24" s="353"/>
      <c r="I24" s="353">
        <f>G24*$C$24</f>
        <v>0</v>
      </c>
      <c r="J24" s="353"/>
      <c r="K24" s="353">
        <f>I24*$C$24</f>
        <v>0</v>
      </c>
      <c r="L24" s="353"/>
      <c r="M24" s="353">
        <f>K24*$C$24</f>
        <v>0</v>
      </c>
      <c r="N24" s="353"/>
      <c r="O24" s="353">
        <f>M24*$C$24</f>
        <v>0</v>
      </c>
      <c r="P24" s="353"/>
      <c r="Q24" s="353">
        <f>O24*$C$24</f>
        <v>0</v>
      </c>
      <c r="R24" s="353"/>
      <c r="S24" s="353">
        <f>Q24*$C$24</f>
        <v>0</v>
      </c>
      <c r="T24" s="353"/>
      <c r="U24" s="353">
        <f>S24*$C$24</f>
        <v>0</v>
      </c>
      <c r="V24" s="353"/>
      <c r="W24" s="353">
        <f>U24*$C$24</f>
        <v>0</v>
      </c>
      <c r="X24" s="353"/>
      <c r="Y24" s="353">
        <f>W24*$C$24</f>
        <v>0</v>
      </c>
      <c r="Z24" s="353"/>
      <c r="AA24" s="353">
        <f>Y24*$C$24</f>
        <v>0</v>
      </c>
      <c r="AB24" s="353"/>
      <c r="AC24" s="353">
        <f>AA24*$C$24</f>
        <v>0</v>
      </c>
      <c r="AD24" s="353"/>
      <c r="AE24" s="353">
        <f>AC24*$C$24</f>
        <v>0</v>
      </c>
      <c r="AF24" s="353"/>
      <c r="AG24" s="353">
        <f>AE24*$C$24</f>
        <v>0</v>
      </c>
    </row>
    <row r="25" spans="1:33" s="338" customFormat="1" ht="14.25">
      <c r="C25" s="364"/>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row>
    <row r="26" spans="1:33" s="338" customFormat="1" ht="14.25">
      <c r="A26" s="338" t="s">
        <v>1300</v>
      </c>
      <c r="C26" s="371">
        <v>1.0349999999999999</v>
      </c>
      <c r="E26" s="353">
        <f>Application!AC871</f>
        <v>0</v>
      </c>
      <c r="F26" s="353"/>
      <c r="G26" s="353">
        <f>E26*$C$26</f>
        <v>0</v>
      </c>
      <c r="H26" s="353"/>
      <c r="I26" s="353">
        <f>G26*$C$26</f>
        <v>0</v>
      </c>
      <c r="J26" s="353"/>
      <c r="K26" s="353">
        <f>I26*$C$26</f>
        <v>0</v>
      </c>
      <c r="L26" s="353"/>
      <c r="M26" s="353">
        <f>K26*$C$26</f>
        <v>0</v>
      </c>
      <c r="N26" s="353"/>
      <c r="O26" s="353">
        <f>M26*$C$26</f>
        <v>0</v>
      </c>
      <c r="P26" s="353"/>
      <c r="Q26" s="353">
        <f>O26*$C$26</f>
        <v>0</v>
      </c>
      <c r="R26" s="353"/>
      <c r="S26" s="353">
        <f>Q26*$C$26</f>
        <v>0</v>
      </c>
      <c r="T26" s="353"/>
      <c r="U26" s="353">
        <f>S26*$C$26</f>
        <v>0</v>
      </c>
      <c r="V26" s="353"/>
      <c r="W26" s="353">
        <f>U26*$C$26</f>
        <v>0</v>
      </c>
      <c r="X26" s="353"/>
      <c r="Y26" s="353">
        <f>W26*$C$26</f>
        <v>0</v>
      </c>
      <c r="Z26" s="353"/>
      <c r="AA26" s="353">
        <f>Y26*$C$26</f>
        <v>0</v>
      </c>
      <c r="AB26" s="353"/>
      <c r="AC26" s="353">
        <f>AA26*$C$26</f>
        <v>0</v>
      </c>
      <c r="AD26" s="353"/>
      <c r="AE26" s="353">
        <f>AC26*$C$26</f>
        <v>0</v>
      </c>
      <c r="AF26" s="353"/>
      <c r="AG26" s="353">
        <f>AE26*$C$26</f>
        <v>0</v>
      </c>
    </row>
    <row r="27" spans="1:33" s="338" customFormat="1" ht="14.25">
      <c r="A27" s="338" t="s">
        <v>873</v>
      </c>
      <c r="C27" s="371">
        <v>1.0349999999999999</v>
      </c>
      <c r="E27" s="353">
        <f>Application!AC872</f>
        <v>100000</v>
      </c>
      <c r="F27" s="353"/>
      <c r="G27" s="353">
        <f>E27*$C$27</f>
        <v>103499.99999999999</v>
      </c>
      <c r="H27" s="353"/>
      <c r="I27" s="353">
        <f>G27*$C$27</f>
        <v>107122.49999999997</v>
      </c>
      <c r="J27" s="353"/>
      <c r="K27" s="353">
        <f>I27*$C$27</f>
        <v>110871.78749999996</v>
      </c>
      <c r="L27" s="353"/>
      <c r="M27" s="353">
        <f>K27*$C$27</f>
        <v>114752.30006249995</v>
      </c>
      <c r="N27" s="353"/>
      <c r="O27" s="353">
        <f>M27*$C$27</f>
        <v>118768.63056468744</v>
      </c>
      <c r="P27" s="353"/>
      <c r="Q27" s="353">
        <f>O27*$C$27</f>
        <v>122925.53263445149</v>
      </c>
      <c r="R27" s="353"/>
      <c r="S27" s="353">
        <f>Q27*$C$27</f>
        <v>127227.92627665728</v>
      </c>
      <c r="T27" s="353"/>
      <c r="U27" s="353">
        <f>S27*$C$27</f>
        <v>131680.90369634028</v>
      </c>
      <c r="V27" s="353"/>
      <c r="W27" s="353">
        <f>U27*$C$27</f>
        <v>136289.73532571219</v>
      </c>
      <c r="X27" s="353"/>
      <c r="Y27" s="353">
        <f>W27*$C$27</f>
        <v>141059.8760621121</v>
      </c>
      <c r="Z27" s="353"/>
      <c r="AA27" s="353">
        <f>Y27*$C$27</f>
        <v>145996.97172428601</v>
      </c>
      <c r="AB27" s="353"/>
      <c r="AC27" s="353">
        <f>AA27*$C$27</f>
        <v>151106.865734636</v>
      </c>
      <c r="AD27" s="353"/>
      <c r="AE27" s="353">
        <f>AC27*$C$27</f>
        <v>156395.60603534823</v>
      </c>
      <c r="AF27" s="353"/>
      <c r="AG27" s="353">
        <f>AE27*$C$27</f>
        <v>161869.4522465854</v>
      </c>
    </row>
    <row r="28" spans="1:33" s="338" customFormat="1" ht="14.25">
      <c r="A28" s="338" t="s">
        <v>874</v>
      </c>
      <c r="C28" s="371"/>
      <c r="E28" s="353">
        <f>Application!AC873</f>
        <v>34500</v>
      </c>
      <c r="F28" s="353"/>
      <c r="G28" s="353">
        <f>$E$28</f>
        <v>34500</v>
      </c>
      <c r="H28" s="353"/>
      <c r="I28" s="353">
        <f>$E$28</f>
        <v>34500</v>
      </c>
      <c r="J28" s="353"/>
      <c r="K28" s="353">
        <f>$E$28</f>
        <v>34500</v>
      </c>
      <c r="L28" s="353"/>
      <c r="M28" s="353">
        <f>$E$28</f>
        <v>34500</v>
      </c>
      <c r="N28" s="353"/>
      <c r="O28" s="353">
        <f>$E$28</f>
        <v>34500</v>
      </c>
      <c r="P28" s="353"/>
      <c r="Q28" s="353">
        <f>$E$28</f>
        <v>34500</v>
      </c>
      <c r="R28" s="353"/>
      <c r="S28" s="353">
        <f>$E$28</f>
        <v>34500</v>
      </c>
      <c r="T28" s="353"/>
      <c r="U28" s="353">
        <f>$E$28</f>
        <v>34500</v>
      </c>
      <c r="V28" s="353"/>
      <c r="W28" s="353">
        <f>$E$28</f>
        <v>34500</v>
      </c>
      <c r="X28" s="353"/>
      <c r="Y28" s="353">
        <f>$E$28</f>
        <v>34500</v>
      </c>
      <c r="Z28" s="353"/>
      <c r="AA28" s="353">
        <f>$E$28</f>
        <v>34500</v>
      </c>
      <c r="AB28" s="353"/>
      <c r="AC28" s="353">
        <f>$E$28</f>
        <v>34500</v>
      </c>
      <c r="AD28" s="353"/>
      <c r="AE28" s="353">
        <f>$E$28</f>
        <v>34500</v>
      </c>
      <c r="AF28" s="353"/>
      <c r="AG28" s="353">
        <f>$E$28</f>
        <v>34500</v>
      </c>
    </row>
    <row r="29" spans="1:33" s="338" customFormat="1" ht="14.25">
      <c r="A29" s="338" t="s">
        <v>1933</v>
      </c>
      <c r="C29" s="369"/>
      <c r="E29" s="353">
        <f>Application!AC874</f>
        <v>0</v>
      </c>
      <c r="F29" s="353"/>
      <c r="G29" s="353">
        <f>$E$29</f>
        <v>0</v>
      </c>
      <c r="H29" s="353"/>
      <c r="I29" s="353">
        <f>$E$29</f>
        <v>0</v>
      </c>
      <c r="J29" s="353"/>
      <c r="K29" s="353">
        <f>$E$29</f>
        <v>0</v>
      </c>
      <c r="L29" s="353"/>
      <c r="M29" s="353">
        <f>$E$29</f>
        <v>0</v>
      </c>
      <c r="N29" s="353"/>
      <c r="O29" s="353">
        <f>$E$29</f>
        <v>0</v>
      </c>
      <c r="P29" s="353"/>
      <c r="Q29" s="353">
        <f>$E$29</f>
        <v>0</v>
      </c>
      <c r="R29" s="353"/>
      <c r="S29" s="353">
        <f>$E$29</f>
        <v>0</v>
      </c>
      <c r="T29" s="353"/>
      <c r="U29" s="353">
        <f>$E$29</f>
        <v>0</v>
      </c>
      <c r="V29" s="353"/>
      <c r="W29" s="353">
        <f>$E$29</f>
        <v>0</v>
      </c>
      <c r="X29" s="353"/>
      <c r="Y29" s="353">
        <f>$E$29</f>
        <v>0</v>
      </c>
      <c r="Z29" s="353"/>
      <c r="AA29" s="353">
        <f>$E$29</f>
        <v>0</v>
      </c>
      <c r="AB29" s="353"/>
      <c r="AC29" s="353">
        <f>$E$29</f>
        <v>0</v>
      </c>
      <c r="AD29" s="353"/>
      <c r="AE29" s="353">
        <f>$E$29</f>
        <v>0</v>
      </c>
      <c r="AF29" s="353"/>
      <c r="AG29" s="353">
        <f>$E$29</f>
        <v>0</v>
      </c>
    </row>
    <row r="30" spans="1:33" s="338" customFormat="1" ht="14.25">
      <c r="A30" s="338" t="s">
        <v>872</v>
      </c>
      <c r="C30" s="369">
        <v>1.02</v>
      </c>
      <c r="E30" s="353">
        <f>Application!AC875</f>
        <v>7000</v>
      </c>
      <c r="F30" s="353"/>
      <c r="G30" s="353">
        <f>E30*$C$30</f>
        <v>7140</v>
      </c>
      <c r="H30" s="353"/>
      <c r="I30" s="353">
        <f>G30*$C$30</f>
        <v>7282.8</v>
      </c>
      <c r="J30" s="353"/>
      <c r="K30" s="353">
        <f>I30*$C$30</f>
        <v>7428.4560000000001</v>
      </c>
      <c r="L30" s="353"/>
      <c r="M30" s="353">
        <f>K30*$C$30</f>
        <v>7577.0251200000002</v>
      </c>
      <c r="N30" s="353"/>
      <c r="O30" s="353">
        <f>M30*$C$30</f>
        <v>7728.5656224000004</v>
      </c>
      <c r="P30" s="353"/>
      <c r="Q30" s="353">
        <f>O30*$C$30</f>
        <v>7883.1369348480002</v>
      </c>
      <c r="R30" s="353"/>
      <c r="S30" s="353">
        <f>Q30*$C$30</f>
        <v>8040.7996735449606</v>
      </c>
      <c r="T30" s="353"/>
      <c r="U30" s="353">
        <f>S30*$C$30</f>
        <v>8201.6156670158598</v>
      </c>
      <c r="V30" s="353"/>
      <c r="W30" s="353">
        <f>U30*$C$30</f>
        <v>8365.6479803561779</v>
      </c>
      <c r="X30" s="353"/>
      <c r="Y30" s="353">
        <f>W30*$C$30</f>
        <v>8532.9609399633009</v>
      </c>
      <c r="Z30" s="353"/>
      <c r="AA30" s="353">
        <f>Y30*$C$30</f>
        <v>8703.6201587625674</v>
      </c>
      <c r="AB30" s="353"/>
      <c r="AC30" s="353">
        <f>AA30*$C$30</f>
        <v>8877.692561937818</v>
      </c>
      <c r="AD30" s="353"/>
      <c r="AE30" s="353">
        <f>AC30*$C$30</f>
        <v>9055.2464131765737</v>
      </c>
      <c r="AF30" s="353"/>
      <c r="AG30" s="353">
        <f>AE30*$C$30</f>
        <v>9236.3513414401059</v>
      </c>
    </row>
    <row r="31" spans="1:33" s="338" customFormat="1" ht="14.25">
      <c r="A31" s="338" t="s">
        <v>1934</v>
      </c>
      <c r="C31" s="369">
        <v>1.02</v>
      </c>
      <c r="E31" s="353">
        <f>Application!AC876</f>
        <v>0</v>
      </c>
      <c r="F31" s="353"/>
      <c r="G31" s="353">
        <f>E31*$C$31</f>
        <v>0</v>
      </c>
      <c r="H31" s="353"/>
      <c r="I31" s="353">
        <f>G31*$C$31</f>
        <v>0</v>
      </c>
      <c r="J31" s="353"/>
      <c r="K31" s="353">
        <f>I31*$C$31</f>
        <v>0</v>
      </c>
      <c r="L31" s="353"/>
      <c r="M31" s="353">
        <f>K31*$C$31</f>
        <v>0</v>
      </c>
      <c r="N31" s="353"/>
      <c r="O31" s="353">
        <f>M31*$C$31</f>
        <v>0</v>
      </c>
      <c r="P31" s="353"/>
      <c r="Q31" s="353">
        <f>O31*$C$31</f>
        <v>0</v>
      </c>
      <c r="R31" s="353"/>
      <c r="S31" s="353">
        <f>Q31*$C$31</f>
        <v>0</v>
      </c>
      <c r="T31" s="353"/>
      <c r="U31" s="353">
        <f>S31*$C$31</f>
        <v>0</v>
      </c>
      <c r="V31" s="353"/>
      <c r="W31" s="353">
        <f>U31*$C$31</f>
        <v>0</v>
      </c>
      <c r="X31" s="353"/>
      <c r="Y31" s="353">
        <f>W31*$C$31</f>
        <v>0</v>
      </c>
      <c r="Z31" s="353"/>
      <c r="AA31" s="353">
        <f>Y31*$C$31</f>
        <v>0</v>
      </c>
      <c r="AB31" s="353"/>
      <c r="AC31" s="353">
        <f>AA31*$C$31</f>
        <v>0</v>
      </c>
      <c r="AD31" s="353"/>
      <c r="AE31" s="353">
        <f>AC31*$C$31</f>
        <v>0</v>
      </c>
      <c r="AF31" s="353"/>
      <c r="AG31" s="353">
        <f>AE31*$C$31</f>
        <v>0</v>
      </c>
    </row>
    <row r="32" spans="1:33" s="338" customFormat="1" ht="14.25">
      <c r="A32" s="1850" t="str">
        <f>Application!C877</f>
        <v>Asset Management Fee</v>
      </c>
      <c r="B32" s="1850"/>
      <c r="C32" s="485">
        <v>1.0349999999999999</v>
      </c>
      <c r="E32" s="353">
        <f>Application!AC877</f>
        <v>15000</v>
      </c>
      <c r="F32" s="353"/>
      <c r="G32" s="353">
        <f>E32*$C$32</f>
        <v>15524.999999999998</v>
      </c>
      <c r="H32" s="353"/>
      <c r="I32" s="353">
        <f>G32*$C$32</f>
        <v>16068.374999999996</v>
      </c>
      <c r="J32" s="353"/>
      <c r="K32" s="353">
        <f>I32*$C$32</f>
        <v>16630.768124999995</v>
      </c>
      <c r="L32" s="353"/>
      <c r="M32" s="353">
        <f>K32*$C$32</f>
        <v>17212.845009374993</v>
      </c>
      <c r="N32" s="353"/>
      <c r="O32" s="353">
        <f>M32*$C$32</f>
        <v>17815.294584703115</v>
      </c>
      <c r="P32" s="353"/>
      <c r="Q32" s="353">
        <f>O32*$C$32</f>
        <v>18438.829895167724</v>
      </c>
      <c r="R32" s="353"/>
      <c r="S32" s="353">
        <f>Q32*$C$32</f>
        <v>19084.188941498593</v>
      </c>
      <c r="T32" s="353"/>
      <c r="U32" s="353">
        <f>S32*$C$32</f>
        <v>19752.135554451041</v>
      </c>
      <c r="V32" s="353"/>
      <c r="W32" s="353">
        <f>U32*$C$32</f>
        <v>20443.460298856826</v>
      </c>
      <c r="X32" s="353"/>
      <c r="Y32" s="353">
        <f>W32*$C$32</f>
        <v>21158.981409316813</v>
      </c>
      <c r="Z32" s="353"/>
      <c r="AA32" s="353">
        <f>Y32*$C$32</f>
        <v>21899.5457586429</v>
      </c>
      <c r="AB32" s="353"/>
      <c r="AC32" s="353">
        <f>AA32*$C$32</f>
        <v>22666.029860195398</v>
      </c>
      <c r="AD32" s="353"/>
      <c r="AE32" s="353">
        <f>AC32*$C$32</f>
        <v>23459.340905302237</v>
      </c>
      <c r="AF32" s="353"/>
      <c r="AG32" s="353">
        <f>AE32*$C$32</f>
        <v>24280.417836987814</v>
      </c>
    </row>
    <row r="33" spans="1:33" s="338" customFormat="1" ht="14.25">
      <c r="A33" s="1850" t="str">
        <f>Application!C878</f>
        <v>Managing General Partner Fee</v>
      </c>
      <c r="B33" s="1850"/>
      <c r="C33" s="485">
        <v>1.0349999999999999</v>
      </c>
      <c r="E33" s="353">
        <f>Application!AC878</f>
        <v>10000</v>
      </c>
      <c r="F33" s="353"/>
      <c r="G33" s="353">
        <f>E33*$C$33</f>
        <v>10350</v>
      </c>
      <c r="H33" s="353"/>
      <c r="I33" s="353">
        <f>G33*$C$33</f>
        <v>10712.25</v>
      </c>
      <c r="J33" s="353"/>
      <c r="K33" s="353">
        <f>I33*$C$33</f>
        <v>11087.178749999999</v>
      </c>
      <c r="L33" s="353"/>
      <c r="M33" s="353">
        <f>K33*$C$33</f>
        <v>11475.230006249998</v>
      </c>
      <c r="N33" s="353"/>
      <c r="O33" s="353">
        <f>M33*$C$33</f>
        <v>11876.863056468746</v>
      </c>
      <c r="P33" s="353"/>
      <c r="Q33" s="353">
        <f>O33*$C$33</f>
        <v>12292.553263445152</v>
      </c>
      <c r="R33" s="353"/>
      <c r="S33" s="353">
        <f>Q33*$C$33</f>
        <v>12722.792627665731</v>
      </c>
      <c r="T33" s="353"/>
      <c r="U33" s="353">
        <f>S33*$C$33</f>
        <v>13168.09036963403</v>
      </c>
      <c r="V33" s="353"/>
      <c r="W33" s="353">
        <f>U33*$C$33</f>
        <v>13628.973532571221</v>
      </c>
      <c r="X33" s="353"/>
      <c r="Y33" s="353">
        <f>W33*$C$33</f>
        <v>14105.987606211213</v>
      </c>
      <c r="Z33" s="353"/>
      <c r="AA33" s="353">
        <f>Y33*$C$33</f>
        <v>14599.697172428603</v>
      </c>
      <c r="AB33" s="353"/>
      <c r="AC33" s="353">
        <f>AA33*$C$33</f>
        <v>15110.686573463603</v>
      </c>
      <c r="AD33" s="353"/>
      <c r="AE33" s="353">
        <f>AC33*$C$33</f>
        <v>15639.560603534828</v>
      </c>
      <c r="AF33" s="353"/>
      <c r="AG33" s="353">
        <f>AE33*$C$33</f>
        <v>16186.945224658546</v>
      </c>
    </row>
    <row r="34" spans="1:33" s="338" customFormat="1" ht="14.25">
      <c r="C34" s="351"/>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row>
    <row r="35" spans="1:33" s="354" customFormat="1" ht="15">
      <c r="A35" s="354" t="s">
        <v>178</v>
      </c>
      <c r="C35" s="355"/>
      <c r="E35" s="354">
        <f>SUM(E22:E33)</f>
        <v>553294</v>
      </c>
      <c r="G35" s="354">
        <f>SUM(G22:G33)</f>
        <v>571346.79</v>
      </c>
      <c r="I35" s="354">
        <f>SUM(I22:I33)</f>
        <v>590029.32764999999</v>
      </c>
      <c r="K35" s="354">
        <f>SUM(K22:K33)</f>
        <v>609363.61211774976</v>
      </c>
      <c r="M35" s="354">
        <f>SUM(M22:M33)</f>
        <v>629372.41170187108</v>
      </c>
      <c r="O35" s="354">
        <f>SUM(O22:O33)</f>
        <v>650079.2907346366</v>
      </c>
      <c r="Q35" s="354">
        <f>SUM(Q22:Q33)</f>
        <v>671508.63742601278</v>
      </c>
      <c r="S35" s="354">
        <f>SUM(S22:S33)</f>
        <v>693685.69268190034</v>
      </c>
      <c r="U35" s="354">
        <f>SUM(U22:U33)</f>
        <v>716636.57993066357</v>
      </c>
      <c r="W35" s="354">
        <f>SUM(W22:W33)</f>
        <v>740388.33599323162</v>
      </c>
      <c r="Y35" s="354">
        <f>SUM(Y22:Y33)</f>
        <v>764968.9430332894</v>
      </c>
      <c r="AA35" s="354">
        <f>SUM(AA22:AA33)</f>
        <v>790407.36162535485</v>
      </c>
      <c r="AC35" s="354">
        <f>SUM(AC22:AC33)</f>
        <v>816733.56497986079</v>
      </c>
      <c r="AE35" s="354">
        <f>SUM(AE22:AE33)</f>
        <v>843978.57436572679</v>
      </c>
      <c r="AG35" s="354">
        <f>SUM(AG22:AG33)</f>
        <v>872174.49577232951</v>
      </c>
    </row>
    <row r="36" spans="1:33" s="338" customFormat="1" ht="14.25">
      <c r="C36" s="351"/>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row>
    <row r="37" spans="1:33" s="354" customFormat="1" ht="15">
      <c r="A37" s="354" t="s">
        <v>875</v>
      </c>
      <c r="C37" s="355"/>
      <c r="E37" s="354">
        <f>E11-E35</f>
        <v>460553.6</v>
      </c>
      <c r="G37" s="354">
        <f>G11-G35</f>
        <v>467847</v>
      </c>
      <c r="I37" s="354">
        <f>I11-I35</f>
        <v>475144.30709999974</v>
      </c>
      <c r="K37" s="354">
        <f>K11-K35</f>
        <v>482439.36350099987</v>
      </c>
      <c r="M37" s="354">
        <f>M11-M35</f>
        <v>489725.6383073472</v>
      </c>
      <c r="O37" s="354">
        <f>O11-O35</f>
        <v>496996.21052481257</v>
      </c>
      <c r="Q37" s="354">
        <f>Q11-Q35</f>
        <v>504243.7513649218</v>
      </c>
      <c r="S37" s="354">
        <f>S11-S35</f>
        <v>511460.50582880818</v>
      </c>
      <c r="U37" s="354">
        <f>U11-U35</f>
        <v>518638.27354281209</v>
      </c>
      <c r="W37" s="354">
        <f>W11-W35</f>
        <v>525768.38881708088</v>
      </c>
      <c r="Y37" s="354">
        <f>Y11-Y35</f>
        <v>532841.69989728066</v>
      </c>
      <c r="AA37" s="354">
        <f>AA11-AA35</f>
        <v>539848.54737847939</v>
      </c>
      <c r="AC37" s="354">
        <f>AC11-AC35</f>
        <v>546778.74174906919</v>
      </c>
      <c r="AE37" s="354">
        <f>AE11-AE35</f>
        <v>553621.54003142624</v>
      </c>
      <c r="AG37" s="354">
        <f>AG11-AG35</f>
        <v>560365.62148475216</v>
      </c>
    </row>
    <row r="38" spans="1:33" s="338" customFormat="1" ht="14.25">
      <c r="C38" s="351"/>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row>
    <row r="39" spans="1:33" s="338" customFormat="1" ht="15">
      <c r="A39" s="349" t="s">
        <v>888</v>
      </c>
      <c r="C39" s="351"/>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row>
    <row r="40" spans="1:33" s="338" customFormat="1" ht="14.25">
      <c r="A40" s="356" t="str">
        <f>Application!C623</f>
        <v>Chase - Permanent Loan</v>
      </c>
      <c r="B40" s="357"/>
      <c r="C40" s="351"/>
      <c r="E40" s="353">
        <f>Application!AF623</f>
        <v>373826</v>
      </c>
      <c r="F40" s="353"/>
      <c r="G40" s="353">
        <f>$E$40</f>
        <v>373826</v>
      </c>
      <c r="H40" s="353"/>
      <c r="I40" s="353">
        <f>$E$40</f>
        <v>373826</v>
      </c>
      <c r="J40" s="353"/>
      <c r="K40" s="353">
        <f>$E$40</f>
        <v>373826</v>
      </c>
      <c r="L40" s="353"/>
      <c r="M40" s="353">
        <f>$E$40</f>
        <v>373826</v>
      </c>
      <c r="N40" s="353"/>
      <c r="O40" s="353">
        <f>$E$40</f>
        <v>373826</v>
      </c>
      <c r="P40" s="353"/>
      <c r="Q40" s="353">
        <f>$E$40</f>
        <v>373826</v>
      </c>
      <c r="R40" s="353"/>
      <c r="S40" s="353">
        <f>$E$40</f>
        <v>373826</v>
      </c>
      <c r="T40" s="353"/>
      <c r="U40" s="353">
        <f>$E$40</f>
        <v>373826</v>
      </c>
      <c r="V40" s="353"/>
      <c r="W40" s="353">
        <f>$E$40</f>
        <v>373826</v>
      </c>
      <c r="X40" s="353"/>
      <c r="Y40" s="353">
        <f>$E$40</f>
        <v>373826</v>
      </c>
      <c r="Z40" s="353"/>
      <c r="AA40" s="353">
        <f>$E$40</f>
        <v>373826</v>
      </c>
      <c r="AB40" s="353"/>
      <c r="AC40" s="353">
        <f>$E$40</f>
        <v>373826</v>
      </c>
      <c r="AD40" s="353"/>
      <c r="AE40" s="353">
        <f>$E$40</f>
        <v>373826</v>
      </c>
      <c r="AF40" s="353"/>
      <c r="AG40" s="353">
        <f>$E$40</f>
        <v>373826</v>
      </c>
    </row>
    <row r="41" spans="1:33" s="338" customFormat="1" ht="14.25">
      <c r="A41" s="356" t="s">
        <v>2718</v>
      </c>
      <c r="B41" s="357"/>
      <c r="C41" s="351"/>
      <c r="E41" s="353">
        <f>Application!AF624</f>
        <v>26936</v>
      </c>
      <c r="F41" s="353"/>
      <c r="G41" s="353">
        <f>$E$41</f>
        <v>26936</v>
      </c>
      <c r="H41" s="353"/>
      <c r="I41" s="353">
        <f>$E$41</f>
        <v>26936</v>
      </c>
      <c r="J41" s="353"/>
      <c r="K41" s="353">
        <f>$E$41</f>
        <v>26936</v>
      </c>
      <c r="L41" s="353"/>
      <c r="M41" s="353">
        <f>$E$41</f>
        <v>26936</v>
      </c>
      <c r="N41" s="353"/>
      <c r="O41" s="353">
        <f>$E$41</f>
        <v>26936</v>
      </c>
      <c r="P41" s="353"/>
      <c r="Q41" s="353">
        <f>$E$41</f>
        <v>26936</v>
      </c>
      <c r="R41" s="353"/>
      <c r="S41" s="353">
        <f>$E$41</f>
        <v>26936</v>
      </c>
      <c r="T41" s="353"/>
      <c r="U41" s="353">
        <f>$E$41</f>
        <v>26936</v>
      </c>
      <c r="V41" s="353"/>
      <c r="W41" s="353">
        <f>$E$41</f>
        <v>26936</v>
      </c>
      <c r="X41" s="353"/>
      <c r="Y41" s="353">
        <f>$E$41</f>
        <v>26936</v>
      </c>
      <c r="Z41" s="353"/>
      <c r="AA41" s="353">
        <f>$E$41</f>
        <v>26936</v>
      </c>
      <c r="AB41" s="353"/>
      <c r="AC41" s="353">
        <f>$E$41</f>
        <v>26936</v>
      </c>
      <c r="AD41" s="353"/>
      <c r="AE41" s="353">
        <f>$E$41</f>
        <v>26936</v>
      </c>
      <c r="AF41" s="353"/>
      <c r="AG41" s="353">
        <f>$E$41</f>
        <v>26936</v>
      </c>
    </row>
    <row r="42" spans="1:33" s="338" customFormat="1" ht="14.25">
      <c r="A42" s="356"/>
      <c r="B42" s="357"/>
      <c r="C42" s="351"/>
      <c r="E42" s="363"/>
      <c r="F42" s="353"/>
      <c r="G42" s="363">
        <f>$E$42</f>
        <v>0</v>
      </c>
      <c r="H42" s="353"/>
      <c r="I42" s="363">
        <f>$E$42</f>
        <v>0</v>
      </c>
      <c r="J42" s="353"/>
      <c r="K42" s="363">
        <f>$E$42</f>
        <v>0</v>
      </c>
      <c r="L42" s="353"/>
      <c r="M42" s="363">
        <f>$E$42</f>
        <v>0</v>
      </c>
      <c r="N42" s="353"/>
      <c r="O42" s="363">
        <f>$E$42</f>
        <v>0</v>
      </c>
      <c r="P42" s="353"/>
      <c r="Q42" s="363">
        <f>$E$42</f>
        <v>0</v>
      </c>
      <c r="R42" s="353"/>
      <c r="S42" s="363">
        <f>$E$42</f>
        <v>0</v>
      </c>
      <c r="T42" s="353"/>
      <c r="U42" s="363">
        <f>$E$42</f>
        <v>0</v>
      </c>
      <c r="V42" s="353"/>
      <c r="W42" s="363">
        <f>$E$42</f>
        <v>0</v>
      </c>
      <c r="X42" s="353"/>
      <c r="Y42" s="363">
        <f>$E$42</f>
        <v>0</v>
      </c>
      <c r="Z42" s="353"/>
      <c r="AA42" s="363">
        <f>$E$42</f>
        <v>0</v>
      </c>
      <c r="AB42" s="353"/>
      <c r="AC42" s="363">
        <f>$E$42</f>
        <v>0</v>
      </c>
      <c r="AD42" s="353"/>
      <c r="AE42" s="363">
        <f>$E$42</f>
        <v>0</v>
      </c>
      <c r="AF42" s="353"/>
      <c r="AG42" s="363">
        <f>$E$42</f>
        <v>0</v>
      </c>
    </row>
    <row r="43" spans="1:33" s="354" customFormat="1" ht="15">
      <c r="A43" s="354" t="s">
        <v>876</v>
      </c>
      <c r="C43" s="355"/>
      <c r="E43" s="354">
        <f>SUM(E40:E42)</f>
        <v>400762</v>
      </c>
      <c r="G43" s="354">
        <f>SUM(G40:G42)</f>
        <v>400762</v>
      </c>
      <c r="I43" s="354">
        <f>SUM(I40:I42)</f>
        <v>400762</v>
      </c>
      <c r="K43" s="354">
        <f>SUM(K40:K42)</f>
        <v>400762</v>
      </c>
      <c r="M43" s="354">
        <f>SUM(M40:M42)</f>
        <v>400762</v>
      </c>
      <c r="O43" s="354">
        <f>SUM(O40:O42)</f>
        <v>400762</v>
      </c>
      <c r="Q43" s="354">
        <f>SUM(Q40:Q42)</f>
        <v>400762</v>
      </c>
      <c r="S43" s="354">
        <f>SUM(S40:S42)</f>
        <v>400762</v>
      </c>
      <c r="U43" s="354">
        <f>SUM(U40:U42)</f>
        <v>400762</v>
      </c>
      <c r="W43" s="354">
        <f>SUM(W40:W42)</f>
        <v>400762</v>
      </c>
      <c r="Y43" s="354">
        <f>SUM(Y40:Y42)</f>
        <v>400762</v>
      </c>
      <c r="AA43" s="354">
        <f>SUM(AA40:AA42)</f>
        <v>400762</v>
      </c>
      <c r="AC43" s="354">
        <f>SUM(AC40:AC42)</f>
        <v>400762</v>
      </c>
      <c r="AE43" s="354">
        <f>SUM(AE40:AE42)</f>
        <v>400762</v>
      </c>
      <c r="AG43" s="354">
        <f>SUM(AG40:AG42)</f>
        <v>400762</v>
      </c>
    </row>
    <row r="44" spans="1:33" s="338" customFormat="1" ht="14.25">
      <c r="C44" s="351"/>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s="354" customFormat="1" ht="15">
      <c r="A45" s="354" t="s">
        <v>877</v>
      </c>
      <c r="C45" s="355"/>
      <c r="E45" s="354">
        <f>E37-E43</f>
        <v>59791.599999999977</v>
      </c>
      <c r="G45" s="354">
        <f>G37-G43</f>
        <v>67085</v>
      </c>
      <c r="I45" s="354">
        <f>I37-I43</f>
        <v>74382.307099999744</v>
      </c>
      <c r="K45" s="354">
        <f>K37-K43</f>
        <v>81677.363500999869</v>
      </c>
      <c r="M45" s="354">
        <f>M37-M43</f>
        <v>88963.638307347195</v>
      </c>
      <c r="O45" s="354">
        <f>O37-O43</f>
        <v>96234.210524812574</v>
      </c>
      <c r="Q45" s="354">
        <f>Q37-Q43</f>
        <v>103481.7513649218</v>
      </c>
      <c r="S45" s="354">
        <f>S37-S43</f>
        <v>110698.50582880818</v>
      </c>
      <c r="U45" s="354">
        <f>U37-U43</f>
        <v>117876.27354281209</v>
      </c>
      <c r="W45" s="354">
        <f>W37-W43</f>
        <v>125006.38881708088</v>
      </c>
      <c r="Y45" s="354">
        <f>Y37-Y43</f>
        <v>132079.69989728066</v>
      </c>
      <c r="AA45" s="354">
        <f>AA37-AA43</f>
        <v>139086.54737847939</v>
      </c>
      <c r="AC45" s="354">
        <f>AC37-AC43</f>
        <v>146016.74174906919</v>
      </c>
      <c r="AE45" s="354">
        <f>AE37-AE43</f>
        <v>152859.54003142624</v>
      </c>
      <c r="AG45" s="354">
        <f>AG37-AG43</f>
        <v>159603.62148475216</v>
      </c>
    </row>
    <row r="46" spans="1:33" s="338" customFormat="1" ht="14.25">
      <c r="C46" s="351"/>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s="358" customFormat="1" ht="14.25">
      <c r="A47" s="358" t="s">
        <v>879</v>
      </c>
      <c r="C47" s="351"/>
      <c r="E47" s="358">
        <f>E45/(E4+E6+E8)</f>
        <v>5.6026191707708319E-2</v>
      </c>
      <c r="G47" s="358">
        <f>G45/(G4+G6+G8)</f>
        <v>6.1327108199905625E-2</v>
      </c>
      <c r="I47" s="358">
        <f>I45/(I4+I6+I8)</f>
        <v>6.6339598953352494E-2</v>
      </c>
      <c r="K47" s="358">
        <f>K45/(K4+K6+K8)</f>
        <v>7.1069137068412808E-2</v>
      </c>
      <c r="M47" s="358">
        <f>M45/(M4+M6+M8)</f>
        <v>7.5521046963922117E-2</v>
      </c>
      <c r="O47" s="358">
        <f>O45/(O4+O6+O8)</f>
        <v>7.9700507855144015E-2</v>
      </c>
      <c r="Q47" s="358">
        <f>Q45/(Q4+Q6+Q8)</f>
        <v>8.3612557145445174E-2</v>
      </c>
      <c r="S47" s="358">
        <f>S45/(S4+S6+S8)</f>
        <v>8.7262093733794704E-2</v>
      </c>
      <c r="U47" s="358">
        <f>U45/(U4+U6+U8)</f>
        <v>9.0653881240104123E-2</v>
      </c>
      <c r="W47" s="358">
        <f>W45/(W4+W6+W8)</f>
        <v>9.3792551150425785E-2</v>
      </c>
      <c r="Y47" s="358">
        <f>Y45/(Y4+Y6+Y8)</f>
        <v>9.6682605883922704E-2</v>
      </c>
      <c r="AA47" s="358">
        <f>AA45/(AA4+AA6+AA8)</f>
        <v>9.9328421783522081E-2</v>
      </c>
      <c r="AC47" s="358">
        <f>AC45/(AC4+AC6+AC8)</f>
        <v>0.1017342520320888</v>
      </c>
      <c r="AE47" s="358">
        <f>AE45/(AE4+AE6+AE8)</f>
        <v>0.10390422949592651</v>
      </c>
      <c r="AG47" s="358">
        <f>AG45/(AG4+AG6+AG8)</f>
        <v>0.10584236949735937</v>
      </c>
    </row>
    <row r="48" spans="1:33" s="358" customFormat="1" ht="14.25">
      <c r="A48" s="358" t="s">
        <v>880</v>
      </c>
      <c r="C48" s="351"/>
      <c r="E48" s="358">
        <f>E45/E43</f>
        <v>0.14919478393660071</v>
      </c>
      <c r="G48" s="358">
        <f>G45/G43</f>
        <v>0.16739361516311427</v>
      </c>
      <c r="I48" s="358">
        <f>I45/I43</f>
        <v>0.18560219556744337</v>
      </c>
      <c r="K48" s="358">
        <f>K45/K43</f>
        <v>0.20380515992284665</v>
      </c>
      <c r="M48" s="358">
        <f>M45/M43</f>
        <v>0.22198621203444238</v>
      </c>
      <c r="O48" s="358">
        <f>O45/O43</f>
        <v>0.24012808231522093</v>
      </c>
      <c r="Q48" s="358">
        <f>Q45/Q43</f>
        <v>0.25821248363098748</v>
      </c>
      <c r="S48" s="358">
        <f>S45/S43</f>
        <v>0.27622006534753341</v>
      </c>
      <c r="U48" s="358">
        <f>U45/U43</f>
        <v>0.29413036551073229</v>
      </c>
      <c r="W48" s="358">
        <f>W45/W43</f>
        <v>0.31192176108782987</v>
      </c>
      <c r="Y48" s="358">
        <f>Y45/Y43</f>
        <v>0.32957141619534952</v>
      </c>
      <c r="AA48" s="358">
        <f>AA45/AA43</f>
        <v>0.34705522823640811</v>
      </c>
      <c r="AC48" s="358">
        <f>AC45/AC43</f>
        <v>0.3643477718672658</v>
      </c>
      <c r="AE48" s="358">
        <f>AE45/AE43</f>
        <v>0.38142224071001302</v>
      </c>
      <c r="AG48" s="358">
        <f>AG45/AG43</f>
        <v>0.39825038672516894</v>
      </c>
    </row>
    <row r="49" spans="1:35" s="359" customFormat="1" ht="14.25">
      <c r="A49" s="359" t="s">
        <v>878</v>
      </c>
      <c r="C49" s="360"/>
      <c r="E49" s="359">
        <f>E37/E43</f>
        <v>1.1491947839366008</v>
      </c>
      <c r="G49" s="359">
        <f>G37/G43</f>
        <v>1.1673936151631144</v>
      </c>
      <c r="I49" s="359">
        <f>I37/I43</f>
        <v>1.1856021955674434</v>
      </c>
      <c r="K49" s="359">
        <f>K37/K43</f>
        <v>1.2038051599228468</v>
      </c>
      <c r="M49" s="359">
        <f>M37/M43</f>
        <v>1.2219862120344425</v>
      </c>
      <c r="O49" s="359">
        <f>O37/O43</f>
        <v>1.240128082315221</v>
      </c>
      <c r="Q49" s="359">
        <f>Q37/Q43</f>
        <v>1.2582124836309874</v>
      </c>
      <c r="S49" s="359">
        <f>S37/S43</f>
        <v>1.2762200653475333</v>
      </c>
      <c r="U49" s="359">
        <f>U37/U43</f>
        <v>1.2941303655107324</v>
      </c>
      <c r="W49" s="359">
        <f>W37/W43</f>
        <v>1.31192176108783</v>
      </c>
      <c r="Y49" s="359">
        <f>Y37/Y43</f>
        <v>1.3295714161953496</v>
      </c>
      <c r="AA49" s="359">
        <f>AA37/AA43</f>
        <v>1.3470552282364081</v>
      </c>
      <c r="AC49" s="359">
        <f>AC37/AC43</f>
        <v>1.3643477718672659</v>
      </c>
      <c r="AE49" s="359">
        <f>AE37/AE43</f>
        <v>1.381422240710013</v>
      </c>
      <c r="AG49" s="359">
        <f>AG37/AG43</f>
        <v>1.398250386725169</v>
      </c>
    </row>
    <row r="50" spans="1:35" s="338" customFormat="1" ht="14.25">
      <c r="A50" s="361"/>
      <c r="B50" s="361"/>
      <c r="C50" s="362"/>
      <c r="D50" s="361"/>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row>
    <row r="51" spans="1:35" s="6" customFormat="1">
      <c r="A51" s="6" t="s">
        <v>890</v>
      </c>
      <c r="C51" s="1512"/>
      <c r="E51" s="1511"/>
      <c r="F51" s="1511"/>
      <c r="G51" s="1511"/>
      <c r="H51" s="1511"/>
      <c r="I51" s="1511"/>
      <c r="J51" s="1511"/>
      <c r="K51" s="1511"/>
      <c r="L51" s="15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row>
    <row r="52" spans="1:35" s="6" customFormat="1">
      <c r="A52" s="3351" t="s">
        <v>1326</v>
      </c>
      <c r="B52" s="3351"/>
      <c r="C52" s="3351"/>
      <c r="D52" s="1511"/>
      <c r="E52" s="1511"/>
      <c r="F52" s="1511"/>
      <c r="G52" s="1511"/>
      <c r="H52" s="1511"/>
      <c r="I52" s="1511"/>
      <c r="J52" s="1511"/>
      <c r="K52" s="1511"/>
      <c r="L52" s="1511"/>
      <c r="M52" s="1511"/>
      <c r="N52" s="1511"/>
      <c r="O52" s="1511"/>
      <c r="P52" s="1511"/>
      <c r="Q52" s="1511"/>
      <c r="R52" s="1511"/>
      <c r="S52" s="1511"/>
      <c r="T52" s="1511"/>
      <c r="U52" s="1511"/>
      <c r="V52" s="1511"/>
      <c r="W52" s="1511"/>
      <c r="X52" s="1511"/>
      <c r="Y52" s="1511"/>
      <c r="Z52" s="1511"/>
      <c r="AA52" s="1511"/>
      <c r="AB52" s="1511"/>
      <c r="AC52" s="1511"/>
      <c r="AD52" s="1511"/>
      <c r="AE52" s="1511"/>
      <c r="AF52" s="1511"/>
      <c r="AG52" s="1511"/>
    </row>
    <row r="53" spans="1:35" s="1513" customFormat="1">
      <c r="A53" s="1513" t="s">
        <v>882</v>
      </c>
      <c r="C53" s="1514">
        <v>1.0349999999999999</v>
      </c>
      <c r="E53" s="1515">
        <v>10000</v>
      </c>
      <c r="G53" s="1511">
        <f>E53*$C$53</f>
        <v>10350</v>
      </c>
      <c r="I53" s="1511">
        <f>G53*$C$53</f>
        <v>10712.25</v>
      </c>
      <c r="K53" s="1511">
        <f>I53*$C$53</f>
        <v>11087.178749999999</v>
      </c>
      <c r="M53" s="1511">
        <f>K53*$C$53</f>
        <v>11475.230006249998</v>
      </c>
      <c r="O53" s="1511">
        <f>M53*$C$53</f>
        <v>11876.863056468746</v>
      </c>
      <c r="Q53" s="1511">
        <f>O53*$C$53</f>
        <v>12292.553263445152</v>
      </c>
      <c r="S53" s="1511">
        <f>Q53*$C$53</f>
        <v>12722.792627665731</v>
      </c>
      <c r="U53" s="1511">
        <f>S53*$C$53</f>
        <v>13168.09036963403</v>
      </c>
      <c r="W53" s="1511">
        <f>U53*$C$53</f>
        <v>13628.973532571221</v>
      </c>
      <c r="Y53" s="1511">
        <f>W53*$C$53</f>
        <v>14105.987606211213</v>
      </c>
      <c r="AA53" s="1511">
        <f>Y53*$C$53</f>
        <v>14599.697172428603</v>
      </c>
      <c r="AC53" s="1511">
        <f>AA53*$C$53</f>
        <v>15110.686573463603</v>
      </c>
      <c r="AE53" s="1511">
        <f>AC53*$C$53</f>
        <v>15639.560603534828</v>
      </c>
      <c r="AG53" s="1511">
        <f>AE53*$C$53</f>
        <v>16186.945224658546</v>
      </c>
    </row>
    <row r="54" spans="1:35" s="6" customFormat="1">
      <c r="A54" s="6" t="s">
        <v>883</v>
      </c>
      <c r="C54" s="1509">
        <v>1.04</v>
      </c>
      <c r="E54" s="1516">
        <v>15000</v>
      </c>
      <c r="F54" s="1511"/>
      <c r="G54" s="1511">
        <f t="shared" ref="G54:AG57" si="1">E54*$C$53</f>
        <v>15524.999999999998</v>
      </c>
      <c r="H54" s="1511"/>
      <c r="I54" s="1511">
        <f t="shared" si="1"/>
        <v>16068.374999999996</v>
      </c>
      <c r="J54" s="1511"/>
      <c r="K54" s="1511">
        <f t="shared" si="1"/>
        <v>16630.768124999995</v>
      </c>
      <c r="L54" s="1511"/>
      <c r="M54" s="1511">
        <f t="shared" si="1"/>
        <v>17212.845009374993</v>
      </c>
      <c r="N54" s="1511"/>
      <c r="O54" s="1511">
        <f t="shared" si="1"/>
        <v>17815.294584703115</v>
      </c>
      <c r="P54" s="1511"/>
      <c r="Q54" s="1511">
        <f t="shared" si="1"/>
        <v>18438.829895167724</v>
      </c>
      <c r="R54" s="1511"/>
      <c r="S54" s="1511">
        <f t="shared" si="1"/>
        <v>19084.188941498593</v>
      </c>
      <c r="T54" s="1511"/>
      <c r="U54" s="1511">
        <f t="shared" si="1"/>
        <v>19752.135554451041</v>
      </c>
      <c r="V54" s="1511"/>
      <c r="W54" s="1511">
        <f t="shared" si="1"/>
        <v>20443.460298856826</v>
      </c>
      <c r="X54" s="1511"/>
      <c r="Y54" s="1511">
        <f t="shared" si="1"/>
        <v>21158.981409316813</v>
      </c>
      <c r="Z54" s="1511"/>
      <c r="AA54" s="1511">
        <f t="shared" si="1"/>
        <v>21899.5457586429</v>
      </c>
      <c r="AB54" s="1511"/>
      <c r="AC54" s="1511">
        <f t="shared" si="1"/>
        <v>22666.029860195398</v>
      </c>
      <c r="AD54" s="1511"/>
      <c r="AE54" s="1511">
        <f t="shared" si="1"/>
        <v>23459.340905302237</v>
      </c>
      <c r="AF54" s="1511"/>
      <c r="AG54" s="1511">
        <f t="shared" si="1"/>
        <v>24280.417836987814</v>
      </c>
      <c r="AH54" s="1511"/>
      <c r="AI54" s="1511"/>
    </row>
    <row r="55" spans="1:35" s="6" customFormat="1">
      <c r="A55" s="6" t="s">
        <v>884</v>
      </c>
      <c r="C55" s="1509"/>
      <c r="E55" s="1516"/>
      <c r="F55" s="1511"/>
      <c r="G55" s="1511">
        <f t="shared" si="1"/>
        <v>0</v>
      </c>
      <c r="H55" s="1511"/>
      <c r="I55" s="1511">
        <f t="shared" si="1"/>
        <v>0</v>
      </c>
      <c r="J55" s="1511"/>
      <c r="K55" s="1511">
        <f t="shared" si="1"/>
        <v>0</v>
      </c>
      <c r="L55" s="1511"/>
      <c r="M55" s="1511">
        <f t="shared" si="1"/>
        <v>0</v>
      </c>
      <c r="N55" s="1511"/>
      <c r="O55" s="1511">
        <f t="shared" si="1"/>
        <v>0</v>
      </c>
      <c r="P55" s="1511"/>
      <c r="Q55" s="1511">
        <f t="shared" si="1"/>
        <v>0</v>
      </c>
      <c r="R55" s="1511"/>
      <c r="S55" s="1511">
        <f t="shared" si="1"/>
        <v>0</v>
      </c>
      <c r="T55" s="1511"/>
      <c r="U55" s="1511">
        <f t="shared" si="1"/>
        <v>0</v>
      </c>
      <c r="V55" s="1511"/>
      <c r="W55" s="1511">
        <f t="shared" si="1"/>
        <v>0</v>
      </c>
      <c r="X55" s="1511"/>
      <c r="Y55" s="1511">
        <f t="shared" si="1"/>
        <v>0</v>
      </c>
      <c r="Z55" s="1511"/>
      <c r="AA55" s="1511">
        <f t="shared" si="1"/>
        <v>0</v>
      </c>
      <c r="AB55" s="1511"/>
      <c r="AC55" s="1511">
        <f t="shared" si="1"/>
        <v>0</v>
      </c>
      <c r="AD55" s="1511"/>
      <c r="AE55" s="1511">
        <f t="shared" si="1"/>
        <v>0</v>
      </c>
      <c r="AF55" s="1511"/>
      <c r="AG55" s="1511">
        <f t="shared" si="1"/>
        <v>0</v>
      </c>
      <c r="AH55" s="1511"/>
      <c r="AI55" s="1511"/>
    </row>
    <row r="56" spans="1:35" s="6" customFormat="1">
      <c r="A56" s="1517"/>
      <c r="B56" s="1517"/>
      <c r="C56" s="1509"/>
      <c r="E56" s="1516"/>
      <c r="F56" s="1511"/>
      <c r="G56" s="1511">
        <f t="shared" si="1"/>
        <v>0</v>
      </c>
      <c r="H56" s="1511"/>
      <c r="I56" s="1511">
        <f t="shared" si="1"/>
        <v>0</v>
      </c>
      <c r="J56" s="1511"/>
      <c r="K56" s="1511">
        <f t="shared" si="1"/>
        <v>0</v>
      </c>
      <c r="L56" s="1511"/>
      <c r="M56" s="1511">
        <f t="shared" si="1"/>
        <v>0</v>
      </c>
      <c r="N56" s="1511"/>
      <c r="O56" s="1511">
        <f t="shared" si="1"/>
        <v>0</v>
      </c>
      <c r="P56" s="1511"/>
      <c r="Q56" s="1511">
        <f t="shared" si="1"/>
        <v>0</v>
      </c>
      <c r="R56" s="1511"/>
      <c r="S56" s="1511">
        <f t="shared" si="1"/>
        <v>0</v>
      </c>
      <c r="T56" s="1511"/>
      <c r="U56" s="1511">
        <f t="shared" si="1"/>
        <v>0</v>
      </c>
      <c r="V56" s="1511"/>
      <c r="W56" s="1511">
        <f t="shared" si="1"/>
        <v>0</v>
      </c>
      <c r="X56" s="1511"/>
      <c r="Y56" s="1511">
        <f t="shared" si="1"/>
        <v>0</v>
      </c>
      <c r="Z56" s="1511"/>
      <c r="AA56" s="1511">
        <f t="shared" si="1"/>
        <v>0</v>
      </c>
      <c r="AB56" s="1511"/>
      <c r="AC56" s="1511">
        <f t="shared" si="1"/>
        <v>0</v>
      </c>
      <c r="AD56" s="1511"/>
      <c r="AE56" s="1511">
        <f t="shared" si="1"/>
        <v>0</v>
      </c>
      <c r="AF56" s="1511"/>
      <c r="AG56" s="1511">
        <f t="shared" si="1"/>
        <v>0</v>
      </c>
      <c r="AH56" s="1511"/>
      <c r="AI56" s="1511"/>
    </row>
    <row r="57" spans="1:35" s="6" customFormat="1">
      <c r="A57" s="1517"/>
      <c r="B57" s="1517"/>
      <c r="C57" s="1509"/>
      <c r="E57" s="1518"/>
      <c r="F57" s="1511"/>
      <c r="G57" s="1519">
        <f t="shared" si="1"/>
        <v>0</v>
      </c>
      <c r="H57" s="1511"/>
      <c r="I57" s="1519">
        <f t="shared" si="1"/>
        <v>0</v>
      </c>
      <c r="J57" s="1511"/>
      <c r="K57" s="1519">
        <f t="shared" si="1"/>
        <v>0</v>
      </c>
      <c r="L57" s="1511"/>
      <c r="M57" s="1519">
        <f t="shared" si="1"/>
        <v>0</v>
      </c>
      <c r="N57" s="1511"/>
      <c r="O57" s="1519">
        <f t="shared" si="1"/>
        <v>0</v>
      </c>
      <c r="P57" s="1511"/>
      <c r="Q57" s="1519">
        <f t="shared" si="1"/>
        <v>0</v>
      </c>
      <c r="R57" s="1511"/>
      <c r="S57" s="1519">
        <f t="shared" si="1"/>
        <v>0</v>
      </c>
      <c r="T57" s="1511"/>
      <c r="U57" s="1519">
        <f t="shared" si="1"/>
        <v>0</v>
      </c>
      <c r="V57" s="1511"/>
      <c r="W57" s="1519">
        <f t="shared" si="1"/>
        <v>0</v>
      </c>
      <c r="X57" s="1511"/>
      <c r="Y57" s="1519">
        <f t="shared" si="1"/>
        <v>0</v>
      </c>
      <c r="Z57" s="1511"/>
      <c r="AA57" s="1519">
        <f t="shared" si="1"/>
        <v>0</v>
      </c>
      <c r="AB57" s="1511"/>
      <c r="AC57" s="1519">
        <f t="shared" si="1"/>
        <v>0</v>
      </c>
      <c r="AD57" s="1511"/>
      <c r="AE57" s="1519">
        <f t="shared" si="1"/>
        <v>0</v>
      </c>
      <c r="AF57" s="1511"/>
      <c r="AG57" s="1519">
        <f t="shared" si="1"/>
        <v>0</v>
      </c>
      <c r="AH57" s="1511"/>
      <c r="AI57" s="1511"/>
    </row>
    <row r="58" spans="1:35" s="6" customFormat="1">
      <c r="A58" s="1513" t="s">
        <v>881</v>
      </c>
      <c r="C58" s="1512"/>
      <c r="E58" s="1511">
        <f>SUM(E53:E57)</f>
        <v>25000</v>
      </c>
      <c r="F58" s="1511"/>
      <c r="G58" s="1511">
        <f>SUM(G53:G57)</f>
        <v>25875</v>
      </c>
      <c r="H58" s="1511"/>
      <c r="I58" s="1511">
        <f>SUM(I53:I57)</f>
        <v>26780.624999999996</v>
      </c>
      <c r="J58" s="1511"/>
      <c r="K58" s="1511">
        <f>SUM(K53:K57)</f>
        <v>27717.946874999994</v>
      </c>
      <c r="L58" s="1511"/>
      <c r="M58" s="1511">
        <f>SUM(M53:M57)</f>
        <v>28688.075015624992</v>
      </c>
      <c r="N58" s="1511"/>
      <c r="O58" s="1511">
        <f>SUM(O53:O57)</f>
        <v>29692.157641171863</v>
      </c>
      <c r="P58" s="1511"/>
      <c r="Q58" s="1511">
        <f>SUM(Q53:Q57)</f>
        <v>30731.383158612876</v>
      </c>
      <c r="R58" s="1511"/>
      <c r="S58" s="1511">
        <f>SUM(S53:S57)</f>
        <v>31806.981569164323</v>
      </c>
      <c r="T58" s="1511"/>
      <c r="U58" s="1511">
        <f>SUM(U53:U57)</f>
        <v>32920.225924085069</v>
      </c>
      <c r="V58" s="1511"/>
      <c r="W58" s="1511">
        <f>SUM(W53:W57)</f>
        <v>34072.433831428047</v>
      </c>
      <c r="X58" s="1511"/>
      <c r="Y58" s="1511">
        <f>SUM(Y53:Y57)</f>
        <v>35264.969015528026</v>
      </c>
      <c r="Z58" s="1511"/>
      <c r="AA58" s="1511">
        <f>SUM(AA53:AA57)</f>
        <v>36499.242931071502</v>
      </c>
      <c r="AB58" s="1511"/>
      <c r="AC58" s="1511">
        <f>SUM(AC53:AC57)</f>
        <v>37776.716433658999</v>
      </c>
      <c r="AD58" s="1511"/>
      <c r="AE58" s="1511">
        <f>SUM(AE53:AE57)</f>
        <v>39098.901508837065</v>
      </c>
      <c r="AF58" s="1511"/>
      <c r="AG58" s="1511">
        <f>SUM(AG53:AG57)</f>
        <v>40467.363061646363</v>
      </c>
      <c r="AH58" s="1511"/>
      <c r="AI58" s="1511"/>
    </row>
    <row r="59" spans="1:35" s="6" customFormat="1" ht="12.75" customHeight="1">
      <c r="A59" s="1513"/>
      <c r="C59" s="1512"/>
      <c r="E59" s="1511"/>
      <c r="F59" s="1511"/>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row>
    <row r="60" spans="1:35" s="1513" customFormat="1">
      <c r="A60" s="1513" t="s">
        <v>886</v>
      </c>
      <c r="C60" s="1520"/>
      <c r="E60" s="1513">
        <f>E45-E58</f>
        <v>34791.599999999977</v>
      </c>
      <c r="G60" s="1513">
        <f>G45-G58</f>
        <v>41210</v>
      </c>
      <c r="I60" s="1513">
        <f>I45-I58</f>
        <v>47601.682099999744</v>
      </c>
      <c r="K60" s="1513">
        <f>K45-K58</f>
        <v>53959.416625999875</v>
      </c>
      <c r="M60" s="1513">
        <f>M45-M58</f>
        <v>60275.563291722203</v>
      </c>
      <c r="O60" s="1513">
        <f>O45-O58</f>
        <v>66542.052883640717</v>
      </c>
      <c r="Q60" s="1513">
        <f>Q45-Q58</f>
        <v>72750.368206308922</v>
      </c>
      <c r="S60" s="1513">
        <f>S45-S58</f>
        <v>78891.524259643862</v>
      </c>
      <c r="U60" s="1513">
        <f>U45-U58</f>
        <v>84956.047618727025</v>
      </c>
      <c r="W60" s="1513">
        <f>W45-W58</f>
        <v>90933.954985652832</v>
      </c>
      <c r="Y60" s="1513">
        <f>Y45-Y58</f>
        <v>96814.730881752635</v>
      </c>
      <c r="AA60" s="1513">
        <f>AA45-AA58</f>
        <v>102587.30444740789</v>
      </c>
      <c r="AC60" s="1513">
        <f>AC45-AC58</f>
        <v>108240.0253154102</v>
      </c>
      <c r="AE60" s="1513">
        <f>AE45-AE58</f>
        <v>113760.63852258917</v>
      </c>
      <c r="AG60" s="1513">
        <f>AG45-AG58</f>
        <v>119136.2584231058</v>
      </c>
    </row>
    <row r="61" spans="1:35" s="6" customFormat="1" ht="8.25" customHeight="1">
      <c r="C61" s="1512"/>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row>
    <row r="62" spans="1:35" s="1513" customFormat="1">
      <c r="A62" s="1513" t="s">
        <v>885</v>
      </c>
      <c r="C62" s="1510">
        <v>0.5</v>
      </c>
      <c r="E62" s="1515">
        <f>E60*$C$62</f>
        <v>17395.799999999988</v>
      </c>
      <c r="G62" s="1521">
        <f>G60*$C$62</f>
        <v>20605</v>
      </c>
      <c r="H62" s="1521"/>
      <c r="I62" s="1521">
        <f>I60*$C$62</f>
        <v>23800.841049999872</v>
      </c>
      <c r="J62" s="1521"/>
      <c r="K62" s="1521">
        <f>K60*$C$62</f>
        <v>26979.708312999937</v>
      </c>
      <c r="L62" s="1521"/>
      <c r="M62" s="1521">
        <f>M60*$C$62</f>
        <v>30137.781645861101</v>
      </c>
      <c r="N62" s="1521"/>
      <c r="O62" s="1521">
        <f>O60*$C$62</f>
        <v>33271.026441820359</v>
      </c>
      <c r="P62" s="1521"/>
      <c r="Q62" s="1521">
        <f>Q60*$C$62</f>
        <v>36375.184103154461</v>
      </c>
      <c r="R62" s="1521"/>
      <c r="S62" s="1521">
        <f>S60*$C$62</f>
        <v>39445.762129821931</v>
      </c>
      <c r="T62" s="1521"/>
      <c r="U62" s="1521">
        <f>U60*$C$62</f>
        <v>42478.023809363513</v>
      </c>
      <c r="V62" s="1521"/>
      <c r="W62" s="1521">
        <f>W60*$C$62</f>
        <v>45466.977492826416</v>
      </c>
      <c r="Y62" s="1521">
        <f>Y60*$C$62</f>
        <v>48407.365440876318</v>
      </c>
      <c r="AA62" s="1521">
        <f>AA60*$C$62</f>
        <v>51293.652223703946</v>
      </c>
      <c r="AC62" s="1521">
        <f>AC60*$C$62</f>
        <v>54120.012657705098</v>
      </c>
      <c r="AE62" s="1521">
        <f>AE60*$C$62</f>
        <v>56880.319261294586</v>
      </c>
      <c r="AG62" s="1521">
        <f>AG60*$C$62</f>
        <v>59568.1292115529</v>
      </c>
    </row>
    <row r="63" spans="1:35" s="1521" customFormat="1">
      <c r="A63" s="3351" t="s">
        <v>1326</v>
      </c>
      <c r="B63" s="3351"/>
      <c r="C63" s="3351"/>
    </row>
    <row r="64" spans="1:35" s="6" customFormat="1" ht="8.25" customHeight="1">
      <c r="C64" s="1512"/>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c r="AI64" s="1511"/>
    </row>
    <row r="65" spans="1:35" s="6" customFormat="1">
      <c r="A65" s="6" t="s">
        <v>889</v>
      </c>
      <c r="C65" s="1510"/>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row>
    <row r="66" spans="1:35" s="1513" customFormat="1">
      <c r="A66" s="1515" t="s">
        <v>2720</v>
      </c>
      <c r="B66" s="1515"/>
      <c r="C66" s="1913">
        <v>0.19</v>
      </c>
      <c r="E66" s="1914">
        <f>$E60*$C$66</f>
        <v>6610.4039999999959</v>
      </c>
      <c r="G66" s="1511">
        <f>G60*$C$66</f>
        <v>7829.9000000000005</v>
      </c>
      <c r="I66" s="1511">
        <f>I60*$C$66</f>
        <v>9044.3195989999513</v>
      </c>
      <c r="K66" s="1511">
        <f>K60*$C$66</f>
        <v>10252.289158939977</v>
      </c>
      <c r="M66" s="1511">
        <f>M60*$C$66</f>
        <v>11452.357025427218</v>
      </c>
      <c r="O66" s="1511">
        <f>O60*$C$66</f>
        <v>12642.990047891737</v>
      </c>
      <c r="Q66" s="1511">
        <f>Q60*$C$66</f>
        <v>13822.569959198696</v>
      </c>
      <c r="S66" s="1511">
        <f>S60*$C$66</f>
        <v>14989.389609332335</v>
      </c>
      <c r="U66" s="1511">
        <f>U60*$C$66</f>
        <v>16141.649047558136</v>
      </c>
      <c r="W66" s="1511">
        <f>W60*$C$66</f>
        <v>17277.451447274037</v>
      </c>
      <c r="Y66" s="1511">
        <f>Y60*$C$66</f>
        <v>18394.798867533002</v>
      </c>
      <c r="AA66" s="1511">
        <f>AA60*$C$66</f>
        <v>19491.5878450075</v>
      </c>
      <c r="AC66" s="1511">
        <f>AC60*$C$66</f>
        <v>20565.604809927936</v>
      </c>
      <c r="AE66" s="1511">
        <f>AE60*$C$66</f>
        <v>21614.521319291944</v>
      </c>
      <c r="AG66" s="1511">
        <f>AG60*$C$66</f>
        <v>22635.889100390101</v>
      </c>
    </row>
    <row r="67" spans="1:35" s="1511" customFormat="1">
      <c r="A67" s="1516" t="s">
        <v>2718</v>
      </c>
      <c r="B67" s="1516"/>
      <c r="C67" s="1913">
        <v>0.31</v>
      </c>
      <c r="E67" s="1914">
        <f>$E60*$C$67</f>
        <v>10785.395999999993</v>
      </c>
      <c r="G67" s="1511">
        <f>G60*$C$67</f>
        <v>12775.1</v>
      </c>
      <c r="I67" s="1511">
        <f>I60*$C$67</f>
        <v>14756.52145099992</v>
      </c>
      <c r="K67" s="1511">
        <f>K60*$C$67</f>
        <v>16727.41915405996</v>
      </c>
      <c r="M67" s="1511">
        <f>M60*$C$67</f>
        <v>18685.424620433882</v>
      </c>
      <c r="O67" s="1511">
        <f>O60*$C$67</f>
        <v>20628.036393928622</v>
      </c>
      <c r="Q67" s="1511">
        <f>Q60*$C$67</f>
        <v>22552.614143955765</v>
      </c>
      <c r="S67" s="1511">
        <f>S60*$C$67</f>
        <v>24456.372520489596</v>
      </c>
      <c r="U67" s="1511">
        <f>U60*$C$67</f>
        <v>26336.374761805379</v>
      </c>
      <c r="W67" s="1511">
        <f>W60*$C$67</f>
        <v>28189.526045552378</v>
      </c>
      <c r="Y67" s="1511">
        <f>Y60*$C$67</f>
        <v>30012.566573343316</v>
      </c>
      <c r="AA67" s="1511">
        <f>AA60*$C$67</f>
        <v>31802.064378696447</v>
      </c>
      <c r="AC67" s="1511">
        <f>AC60*$C$67</f>
        <v>33554.407847777162</v>
      </c>
      <c r="AE67" s="1511">
        <f>AE60*$C$67</f>
        <v>35265.797942002646</v>
      </c>
      <c r="AG67" s="1511">
        <f>AG60*$C$67</f>
        <v>36932.240111162799</v>
      </c>
    </row>
    <row r="68" spans="1:35" s="1511" customFormat="1">
      <c r="A68" s="1516"/>
      <c r="B68" s="1516"/>
      <c r="C68" s="1522"/>
      <c r="E68" s="1516"/>
      <c r="G68" s="1511">
        <f t="shared" ref="G68:AG69" si="2">E68*$C$66</f>
        <v>0</v>
      </c>
      <c r="I68" s="1511">
        <f t="shared" si="2"/>
        <v>0</v>
      </c>
      <c r="K68" s="1511">
        <f t="shared" si="2"/>
        <v>0</v>
      </c>
      <c r="M68" s="1511">
        <f t="shared" si="2"/>
        <v>0</v>
      </c>
      <c r="O68" s="1511">
        <f t="shared" si="2"/>
        <v>0</v>
      </c>
      <c r="Q68" s="1511">
        <f t="shared" si="2"/>
        <v>0</v>
      </c>
      <c r="S68" s="1511">
        <f t="shared" si="2"/>
        <v>0</v>
      </c>
      <c r="U68" s="1511">
        <f t="shared" si="2"/>
        <v>0</v>
      </c>
      <c r="W68" s="1511">
        <f t="shared" si="2"/>
        <v>0</v>
      </c>
      <c r="Y68" s="1511">
        <f t="shared" si="2"/>
        <v>0</v>
      </c>
      <c r="AA68" s="1511">
        <f t="shared" si="2"/>
        <v>0</v>
      </c>
      <c r="AC68" s="1511">
        <f t="shared" si="2"/>
        <v>0</v>
      </c>
      <c r="AE68" s="1511">
        <f t="shared" si="2"/>
        <v>0</v>
      </c>
      <c r="AG68" s="1511">
        <f t="shared" si="2"/>
        <v>0</v>
      </c>
    </row>
    <row r="69" spans="1:35" s="1511" customFormat="1">
      <c r="A69" s="1516"/>
      <c r="B69" s="1516"/>
      <c r="C69" s="1522"/>
      <c r="E69" s="1518"/>
      <c r="G69" s="1519">
        <f t="shared" si="2"/>
        <v>0</v>
      </c>
      <c r="I69" s="1519">
        <f t="shared" si="2"/>
        <v>0</v>
      </c>
      <c r="K69" s="1519">
        <f t="shared" si="2"/>
        <v>0</v>
      </c>
      <c r="M69" s="1519">
        <f t="shared" si="2"/>
        <v>0</v>
      </c>
      <c r="O69" s="1519">
        <f t="shared" si="2"/>
        <v>0</v>
      </c>
      <c r="Q69" s="1519">
        <f t="shared" si="2"/>
        <v>0</v>
      </c>
      <c r="S69" s="1519">
        <f t="shared" si="2"/>
        <v>0</v>
      </c>
      <c r="U69" s="1519">
        <f t="shared" si="2"/>
        <v>0</v>
      </c>
      <c r="W69" s="1519">
        <f t="shared" si="2"/>
        <v>0</v>
      </c>
      <c r="Y69" s="1519">
        <f t="shared" si="2"/>
        <v>0</v>
      </c>
      <c r="AA69" s="1519">
        <f t="shared" si="2"/>
        <v>0</v>
      </c>
      <c r="AC69" s="1519">
        <f t="shared" si="2"/>
        <v>0</v>
      </c>
      <c r="AE69" s="1519">
        <f t="shared" si="2"/>
        <v>0</v>
      </c>
      <c r="AG69" s="1519">
        <f t="shared" si="2"/>
        <v>0</v>
      </c>
    </row>
    <row r="70" spans="1:35" s="1523" customFormat="1">
      <c r="A70" s="1513" t="s">
        <v>881</v>
      </c>
      <c r="C70" s="1522"/>
      <c r="E70" s="1523">
        <f>SUM(E66:E69)</f>
        <v>17395.799999999988</v>
      </c>
      <c r="G70" s="1523">
        <f>SUM(G66:G69)</f>
        <v>20605</v>
      </c>
      <c r="I70" s="1523">
        <f>SUM(I66:I69)</f>
        <v>23800.841049999872</v>
      </c>
      <c r="K70" s="1523">
        <f>SUM(K66:K69)</f>
        <v>26979.708312999937</v>
      </c>
      <c r="M70" s="1523">
        <f>SUM(M66:M69)</f>
        <v>30137.781645861098</v>
      </c>
      <c r="O70" s="1523">
        <f>SUM(O66:O69)</f>
        <v>33271.026441820359</v>
      </c>
      <c r="Q70" s="1523">
        <f>SUM(Q66:Q69)</f>
        <v>36375.184103154461</v>
      </c>
      <c r="S70" s="1523">
        <f>SUM(S66:S69)</f>
        <v>39445.762129821931</v>
      </c>
      <c r="U70" s="1523">
        <f>SUM(U66:U69)</f>
        <v>42478.023809363513</v>
      </c>
      <c r="W70" s="1523">
        <f>SUM(W66:W69)</f>
        <v>45466.977492826416</v>
      </c>
      <c r="Y70" s="1523">
        <f>SUM(Y66:Y69)</f>
        <v>48407.365440876318</v>
      </c>
      <c r="AA70" s="1523">
        <f>SUM(AA66:AA69)</f>
        <v>51293.652223703946</v>
      </c>
      <c r="AC70" s="1523">
        <f>SUM(AC66:AC69)</f>
        <v>54120.012657705098</v>
      </c>
      <c r="AE70" s="1523">
        <f>SUM(AE66:AE69)</f>
        <v>56880.319261294586</v>
      </c>
      <c r="AG70" s="1523">
        <f>SUM(AG66:AG69)</f>
        <v>59568.1292115529</v>
      </c>
    </row>
    <row r="71" spans="1:35" s="1523" customFormat="1">
      <c r="A71" s="1513"/>
      <c r="C71" s="1522"/>
    </row>
    <row r="72" spans="1:35" s="1523" customFormat="1">
      <c r="A72" s="1513" t="s">
        <v>1977</v>
      </c>
      <c r="C72" s="1522"/>
      <c r="E72" s="1513">
        <f>E60-E62-E70</f>
        <v>0</v>
      </c>
      <c r="G72" s="1513">
        <f>G60-G62-G70</f>
        <v>0</v>
      </c>
      <c r="I72" s="1513">
        <f>I60-I62-I70</f>
        <v>0</v>
      </c>
      <c r="K72" s="1513">
        <f>K60-K62-K70</f>
        <v>0</v>
      </c>
      <c r="M72" s="1513">
        <f>M60-M62-M70</f>
        <v>0</v>
      </c>
      <c r="O72" s="1513">
        <f>O60-O62-O70</f>
        <v>0</v>
      </c>
      <c r="Q72" s="1513">
        <f>Q60-Q62-Q70</f>
        <v>0</v>
      </c>
      <c r="S72" s="1513">
        <f>S60-S62-S70</f>
        <v>0</v>
      </c>
      <c r="U72" s="1513">
        <f>U60-U62-U70</f>
        <v>0</v>
      </c>
      <c r="W72" s="1513">
        <f>W60-W62-W70</f>
        <v>0</v>
      </c>
      <c r="Y72" s="1513">
        <f>Y60-Y62-Y70</f>
        <v>0</v>
      </c>
      <c r="AA72" s="1513">
        <f>AA60-AA62-AA70</f>
        <v>0</v>
      </c>
      <c r="AC72" s="1513">
        <f>AC60-AC62-AC70</f>
        <v>0</v>
      </c>
      <c r="AE72" s="1513">
        <f>AE60-AE62-AE70</f>
        <v>0</v>
      </c>
      <c r="AG72" s="1513">
        <f>AG60-AG62-AG70</f>
        <v>0</v>
      </c>
    </row>
    <row r="73" spans="1:35" s="1511" customFormat="1">
      <c r="A73" s="894"/>
      <c r="C73" s="1524"/>
    </row>
    <row r="74" spans="1:35" s="347" customFormat="1">
      <c r="A74" s="894"/>
      <c r="C74" s="348"/>
    </row>
    <row r="75" spans="1:35" s="347" customFormat="1">
      <c r="A75" s="1511" t="s">
        <v>1976</v>
      </c>
      <c r="C75" s="348"/>
    </row>
    <row r="76" spans="1:35" s="347" customFormat="1">
      <c r="C76" s="348"/>
    </row>
    <row r="77" spans="1:35" s="366" customFormat="1" ht="30" customHeight="1">
      <c r="A77" s="3349" t="s">
        <v>1975</v>
      </c>
      <c r="B77" s="3350"/>
      <c r="C77" s="3350"/>
      <c r="D77" s="3350"/>
      <c r="E77" s="3350"/>
      <c r="F77" s="3350"/>
      <c r="G77" s="3350"/>
      <c r="H77" s="3350"/>
      <c r="I77" s="3350"/>
      <c r="J77" s="3350"/>
      <c r="K77" s="3350"/>
      <c r="L77" s="3350"/>
      <c r="M77" s="3350"/>
      <c r="N77" s="3350"/>
      <c r="O77" s="3350"/>
      <c r="P77" s="3350"/>
      <c r="Q77" s="3350"/>
      <c r="R77" s="3350"/>
      <c r="S77" s="3350"/>
      <c r="T77" s="3350"/>
      <c r="U77" s="3350"/>
      <c r="V77" s="3350"/>
      <c r="W77" s="3350"/>
      <c r="X77" s="3350"/>
      <c r="Y77" s="3350"/>
      <c r="Z77" s="3350"/>
      <c r="AA77" s="3350"/>
      <c r="AB77" s="3350"/>
      <c r="AC77" s="3350"/>
      <c r="AD77" s="3350"/>
      <c r="AE77" s="3350"/>
      <c r="AF77" s="3350"/>
      <c r="AG77" s="3350"/>
    </row>
    <row r="78" spans="1:35" s="344" customFormat="1" hidden="1">
      <c r="C78" s="346"/>
    </row>
    <row r="79" spans="1:35" s="344" customFormat="1" hidden="1">
      <c r="C79" s="346"/>
    </row>
    <row r="80" spans="1:35" s="344" customFormat="1" hidden="1">
      <c r="C80" s="346"/>
    </row>
    <row r="81" spans="3:3" s="344" customFormat="1" hidden="1">
      <c r="C81" s="346"/>
    </row>
    <row r="82" spans="3:3" s="344" customFormat="1" hidden="1">
      <c r="C82" s="346"/>
    </row>
    <row r="83" spans="3:3" s="344" customFormat="1" hidden="1">
      <c r="C83" s="346"/>
    </row>
    <row r="84" spans="3:3" s="344" customFormat="1" hidden="1">
      <c r="C84" s="346"/>
    </row>
    <row r="85" spans="3:3" s="344" customFormat="1" hidden="1">
      <c r="C85" s="346"/>
    </row>
    <row r="86" spans="3:3" s="344" customFormat="1" hidden="1">
      <c r="C86" s="346"/>
    </row>
    <row r="87" spans="3:3" s="344" customFormat="1" hidden="1">
      <c r="C87" s="346"/>
    </row>
    <row r="88" spans="3:3" s="344" customFormat="1" hidden="1">
      <c r="C88" s="346"/>
    </row>
    <row r="89" spans="3:3" s="344" customFormat="1" hidden="1">
      <c r="C89" s="346"/>
    </row>
    <row r="90" spans="3:3" s="344" customFormat="1" hidden="1">
      <c r="C90" s="346"/>
    </row>
    <row r="91" spans="3:3" s="344" customFormat="1" hidden="1">
      <c r="C91" s="346"/>
    </row>
    <row r="92" spans="3:3" s="344" customFormat="1" hidden="1">
      <c r="C92" s="346"/>
    </row>
    <row r="93" spans="3:3" s="344" customFormat="1" hidden="1">
      <c r="C93" s="346"/>
    </row>
    <row r="94" spans="3:3" s="344" customFormat="1" hidden="1">
      <c r="C94" s="346"/>
    </row>
    <row r="95" spans="3:3" s="344" customFormat="1" hidden="1">
      <c r="C95" s="346"/>
    </row>
    <row r="96" spans="3:3" s="344" customFormat="1" hidden="1">
      <c r="C96" s="346"/>
    </row>
    <row r="97" spans="3:3" s="344" customFormat="1" hidden="1">
      <c r="C97" s="346"/>
    </row>
    <row r="98" spans="3:3" s="344" customFormat="1" hidden="1">
      <c r="C98" s="346"/>
    </row>
    <row r="99" spans="3:3" s="344" customFormat="1" hidden="1">
      <c r="C99" s="346"/>
    </row>
    <row r="100" spans="3:3" s="344" customFormat="1" hidden="1">
      <c r="C100" s="346"/>
    </row>
    <row r="101" spans="3:3" s="344" customFormat="1" hidden="1">
      <c r="C101" s="346"/>
    </row>
    <row r="102" spans="3:3" s="344" customFormat="1" hidden="1">
      <c r="C102" s="346"/>
    </row>
    <row r="103" spans="3:3" s="344" customFormat="1" hidden="1">
      <c r="C103" s="346"/>
    </row>
    <row r="104" spans="3:3" s="344" customFormat="1" hidden="1">
      <c r="C104" s="346"/>
    </row>
    <row r="105" spans="3:3" s="344" customFormat="1" hidden="1">
      <c r="C105" s="346"/>
    </row>
    <row r="106" spans="3:3" s="344" customFormat="1" hidden="1">
      <c r="C106" s="346"/>
    </row>
    <row r="107" spans="3:3" s="344" customFormat="1" hidden="1">
      <c r="C107" s="346"/>
    </row>
    <row r="108" spans="3:3" s="344" customFormat="1" hidden="1">
      <c r="C108" s="346"/>
    </row>
    <row r="109" spans="3:3" s="344" customFormat="1" hidden="1">
      <c r="C109" s="346"/>
    </row>
    <row r="110" spans="3:3" s="344" customFormat="1" hidden="1">
      <c r="C110" s="346"/>
    </row>
    <row r="111" spans="3:3" s="344" customFormat="1" hidden="1">
      <c r="C111" s="346"/>
    </row>
    <row r="112" spans="3:3" s="344" customFormat="1" hidden="1">
      <c r="C112" s="346"/>
    </row>
    <row r="113" spans="3:3" s="344" customFormat="1" hidden="1">
      <c r="C113" s="346"/>
    </row>
    <row r="114" spans="3:3" s="344" customFormat="1" hidden="1">
      <c r="C114" s="346"/>
    </row>
    <row r="115" spans="3:3" s="344" customFormat="1" hidden="1">
      <c r="C115" s="346"/>
    </row>
    <row r="116" spans="3:3" s="344" customFormat="1" hidden="1">
      <c r="C116" s="346"/>
    </row>
    <row r="117" spans="3:3" s="344" customFormat="1" hidden="1">
      <c r="C117" s="346"/>
    </row>
    <row r="118" spans="3:3" s="344" customFormat="1" hidden="1">
      <c r="C118" s="346"/>
    </row>
    <row r="119" spans="3:3" s="344" customFormat="1" hidden="1">
      <c r="C119" s="346"/>
    </row>
    <row r="120" spans="3:3" s="344" customFormat="1" hidden="1">
      <c r="C120" s="346"/>
    </row>
    <row r="121" spans="3:3" s="344" customFormat="1" hidden="1">
      <c r="C121" s="346"/>
    </row>
    <row r="122" spans="3:3" s="344" customFormat="1" hidden="1">
      <c r="C122" s="346"/>
    </row>
    <row r="123" spans="3:3" s="344" customFormat="1" hidden="1">
      <c r="C123" s="346"/>
    </row>
    <row r="124" spans="3:3" s="344" customFormat="1" hidden="1">
      <c r="C124" s="346"/>
    </row>
    <row r="125" spans="3:3" s="344" customFormat="1" hidden="1">
      <c r="C125" s="346"/>
    </row>
    <row r="126" spans="3:3" s="344" customFormat="1" hidden="1">
      <c r="C126" s="346"/>
    </row>
    <row r="127" spans="3:3" s="344" customFormat="1" hidden="1">
      <c r="C127" s="346"/>
    </row>
    <row r="128" spans="3:3" s="344" customFormat="1" hidden="1">
      <c r="C128" s="346"/>
    </row>
    <row r="129" spans="3:3" s="344" customFormat="1" hidden="1">
      <c r="C129" s="346"/>
    </row>
    <row r="130" spans="3:3" s="344" customFormat="1" hidden="1">
      <c r="C130" s="346"/>
    </row>
    <row r="131" spans="3:3" s="344" customFormat="1" hidden="1">
      <c r="C131" s="346"/>
    </row>
    <row r="132" spans="3:3" s="344" customFormat="1" hidden="1">
      <c r="C132" s="346"/>
    </row>
    <row r="133" spans="3:3" s="344" customFormat="1" hidden="1">
      <c r="C133" s="346"/>
    </row>
    <row r="134" spans="3:3" s="344" customFormat="1" hidden="1">
      <c r="C134" s="346"/>
    </row>
    <row r="135" spans="3:3" s="344" customFormat="1" hidden="1">
      <c r="C135" s="346"/>
    </row>
    <row r="136" spans="3:3" s="344" customFormat="1" hidden="1">
      <c r="C136" s="346"/>
    </row>
    <row r="137" spans="3:3" s="344" customFormat="1" hidden="1">
      <c r="C137" s="346"/>
    </row>
    <row r="138" spans="3:3" s="344" customFormat="1" hidden="1">
      <c r="C138" s="346"/>
    </row>
    <row r="139" spans="3:3" s="344" customFormat="1" hidden="1">
      <c r="C139" s="346"/>
    </row>
    <row r="140" spans="3:3" s="344" customFormat="1" hidden="1">
      <c r="C140" s="346"/>
    </row>
    <row r="141" spans="3:3" s="344" customFormat="1" hidden="1">
      <c r="C141" s="346"/>
    </row>
    <row r="142" spans="3:3" s="344" customFormat="1" hidden="1">
      <c r="C142" s="346"/>
    </row>
    <row r="143" spans="3:3" s="344" customFormat="1" hidden="1">
      <c r="C143" s="346"/>
    </row>
    <row r="144" spans="3:3" s="344" customFormat="1" hidden="1">
      <c r="C144" s="346"/>
    </row>
    <row r="145" spans="3:3" s="344" customFormat="1" hidden="1">
      <c r="C145" s="346"/>
    </row>
    <row r="146" spans="3:3" s="344" customFormat="1" hidden="1">
      <c r="C146" s="346"/>
    </row>
    <row r="147" spans="3:3" s="344" customFormat="1" hidden="1">
      <c r="C147" s="346"/>
    </row>
    <row r="148" spans="3:3" s="344" customFormat="1" hidden="1">
      <c r="C148" s="346"/>
    </row>
    <row r="149" spans="3:3" s="344" customFormat="1" hidden="1">
      <c r="C149" s="346"/>
    </row>
    <row r="150" spans="3:3" s="344" customFormat="1" hidden="1">
      <c r="C150" s="346"/>
    </row>
    <row r="151" spans="3:3" s="344" customFormat="1" hidden="1">
      <c r="C151" s="346"/>
    </row>
    <row r="152" spans="3:3" s="344" customFormat="1" hidden="1">
      <c r="C152" s="346"/>
    </row>
    <row r="153" spans="3:3" s="344" customFormat="1" hidden="1">
      <c r="C153" s="346"/>
    </row>
    <row r="154" spans="3:3" s="344" customFormat="1" hidden="1">
      <c r="C154" s="346"/>
    </row>
    <row r="155" spans="3:3" s="344" customFormat="1" hidden="1">
      <c r="C155" s="346"/>
    </row>
    <row r="156" spans="3:3" s="344" customFormat="1" hidden="1">
      <c r="C156" s="346"/>
    </row>
    <row r="157" spans="3:3" s="344" customFormat="1" hidden="1">
      <c r="C157" s="346"/>
    </row>
    <row r="158" spans="3:3" s="344" customFormat="1" hidden="1">
      <c r="C158" s="346"/>
    </row>
    <row r="159" spans="3:3" s="344" customFormat="1" hidden="1">
      <c r="C159" s="346"/>
    </row>
    <row r="160" spans="3:3" s="344" customFormat="1" hidden="1">
      <c r="C160" s="346"/>
    </row>
    <row r="161" spans="3:3" s="344" customFormat="1" hidden="1">
      <c r="C161" s="346"/>
    </row>
    <row r="162" spans="3:3" s="344" customFormat="1" hidden="1">
      <c r="C162" s="346"/>
    </row>
    <row r="163" spans="3:3" s="344" customFormat="1" hidden="1">
      <c r="C163" s="346"/>
    </row>
    <row r="164" spans="3:3" s="344" customFormat="1" hidden="1">
      <c r="C164" s="346"/>
    </row>
    <row r="165" spans="3:3" s="344" customFormat="1" hidden="1">
      <c r="C165" s="346"/>
    </row>
    <row r="166" spans="3:3" s="344" customFormat="1" hidden="1">
      <c r="C166" s="346"/>
    </row>
    <row r="167" spans="3:3" s="344" customFormat="1" hidden="1">
      <c r="C167" s="346"/>
    </row>
    <row r="168" spans="3:3" s="344" customFormat="1" hidden="1">
      <c r="C168" s="346"/>
    </row>
    <row r="169" spans="3:3" s="344" customFormat="1" hidden="1">
      <c r="C169" s="346"/>
    </row>
    <row r="170" spans="3:3" s="344" customFormat="1" hidden="1">
      <c r="C170" s="346"/>
    </row>
    <row r="171" spans="3:3" s="344" customFormat="1" hidden="1">
      <c r="C171" s="346"/>
    </row>
    <row r="172" spans="3:3" s="344" customFormat="1" hidden="1">
      <c r="C172" s="346"/>
    </row>
    <row r="173" spans="3:3" s="344" customFormat="1" hidden="1">
      <c r="C173" s="346"/>
    </row>
    <row r="174" spans="3:3" s="344" customFormat="1" hidden="1">
      <c r="C174" s="346"/>
    </row>
    <row r="175" spans="3:3" s="344" customFormat="1" hidden="1">
      <c r="C175" s="346"/>
    </row>
    <row r="176" spans="3:3" s="344" customFormat="1" hidden="1">
      <c r="C176" s="346"/>
    </row>
    <row r="177" spans="3:3" s="344" customFormat="1" hidden="1">
      <c r="C177" s="346"/>
    </row>
    <row r="178" spans="3:3" s="344" customFormat="1" hidden="1">
      <c r="C178" s="346"/>
    </row>
    <row r="179" spans="3:3" s="344" customFormat="1" hidden="1">
      <c r="C179" s="346"/>
    </row>
    <row r="180" spans="3:3" s="344" customFormat="1" hidden="1">
      <c r="C180" s="346"/>
    </row>
    <row r="181" spans="3:3" s="344" customFormat="1" hidden="1">
      <c r="C181" s="346"/>
    </row>
    <row r="182" spans="3:3" s="344" customFormat="1" hidden="1">
      <c r="C182" s="346"/>
    </row>
    <row r="183" spans="3:3" s="344" customFormat="1" hidden="1">
      <c r="C183" s="346"/>
    </row>
    <row r="184" spans="3:3" s="344" customFormat="1" hidden="1">
      <c r="C184" s="346"/>
    </row>
    <row r="185" spans="3:3" s="344" customFormat="1" hidden="1">
      <c r="C185" s="346"/>
    </row>
    <row r="186" spans="3:3" s="344" customFormat="1" hidden="1">
      <c r="C186" s="346"/>
    </row>
    <row r="187" spans="3:3" s="344" customFormat="1" hidden="1">
      <c r="C187" s="346"/>
    </row>
    <row r="188" spans="3:3" s="344" customFormat="1" hidden="1">
      <c r="C188" s="346"/>
    </row>
    <row r="189" spans="3:3" s="344" customFormat="1" hidden="1">
      <c r="C189" s="346"/>
    </row>
    <row r="190" spans="3:3" s="344" customFormat="1" hidden="1">
      <c r="C190" s="346"/>
    </row>
    <row r="191" spans="3:3" s="344" customFormat="1" hidden="1">
      <c r="C191" s="346"/>
    </row>
    <row r="192" spans="3:3" s="344" customFormat="1" hidden="1">
      <c r="C192" s="346"/>
    </row>
    <row r="193" spans="3:3" s="344" customFormat="1" hidden="1">
      <c r="C193" s="346"/>
    </row>
    <row r="194" spans="3:3" s="344" customFormat="1" hidden="1">
      <c r="C194" s="346"/>
    </row>
    <row r="195" spans="3:3" s="344" customFormat="1" hidden="1">
      <c r="C195" s="346"/>
    </row>
    <row r="196" spans="3:3" s="344" customFormat="1" hidden="1">
      <c r="C196" s="346"/>
    </row>
    <row r="197" spans="3:3" s="344" customFormat="1" hidden="1">
      <c r="C197" s="346"/>
    </row>
    <row r="198" spans="3:3" s="344" customFormat="1" hidden="1">
      <c r="C198" s="346"/>
    </row>
    <row r="199" spans="3:3" s="344" customFormat="1" hidden="1">
      <c r="C199" s="346"/>
    </row>
    <row r="200" spans="3:3" s="344" customFormat="1" hidden="1">
      <c r="C200" s="346"/>
    </row>
    <row r="201" spans="3:3" s="344" customFormat="1" hidden="1">
      <c r="C201" s="346"/>
    </row>
    <row r="202" spans="3:3" s="344" customFormat="1" hidden="1">
      <c r="C202" s="346"/>
    </row>
    <row r="203" spans="3:3" s="344" customFormat="1" hidden="1">
      <c r="C203" s="346"/>
    </row>
    <row r="204" spans="3:3" s="344" customFormat="1" hidden="1">
      <c r="C204" s="346"/>
    </row>
    <row r="205" spans="3:3" s="344" customFormat="1" hidden="1">
      <c r="C205" s="346"/>
    </row>
    <row r="206" spans="3:3" s="344" customFormat="1" hidden="1">
      <c r="C206" s="346"/>
    </row>
    <row r="207" spans="3:3" s="344" customFormat="1" hidden="1">
      <c r="C207" s="346"/>
    </row>
    <row r="208" spans="3:3" s="344" customFormat="1" hidden="1">
      <c r="C208" s="346"/>
    </row>
    <row r="209" spans="3:3" s="344" customFormat="1" hidden="1">
      <c r="C209" s="346"/>
    </row>
    <row r="210" spans="3:3" s="344" customFormat="1" hidden="1">
      <c r="C210" s="346"/>
    </row>
    <row r="211" spans="3:3" s="344" customFormat="1" hidden="1">
      <c r="C211" s="346"/>
    </row>
    <row r="212" spans="3:3" s="344" customFormat="1" hidden="1">
      <c r="C212" s="346"/>
    </row>
    <row r="213" spans="3:3" s="344" customFormat="1" hidden="1">
      <c r="C213" s="346"/>
    </row>
    <row r="214" spans="3:3" s="344" customFormat="1" hidden="1">
      <c r="C214" s="346"/>
    </row>
    <row r="215" spans="3:3" s="344" customFormat="1" hidden="1">
      <c r="C215" s="346"/>
    </row>
    <row r="216" spans="3:3" s="344" customFormat="1" hidden="1">
      <c r="C216" s="346"/>
    </row>
    <row r="217" spans="3:3" s="344" customFormat="1" hidden="1">
      <c r="C217" s="34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481" t="s">
        <v>1010</v>
      </c>
    </row>
    <row r="2" spans="1:1" ht="15.75">
      <c r="A2" s="482"/>
    </row>
    <row r="3" spans="1:1" ht="15.75">
      <c r="A3" s="483" t="s">
        <v>1005</v>
      </c>
    </row>
    <row r="4" spans="1:1" ht="15.75">
      <c r="A4" s="483" t="s">
        <v>1006</v>
      </c>
    </row>
    <row r="5" spans="1:1" ht="15.75">
      <c r="A5" s="483" t="s">
        <v>1007</v>
      </c>
    </row>
    <row r="6" spans="1:1" ht="15.75">
      <c r="A6" s="483" t="s">
        <v>1009</v>
      </c>
    </row>
    <row r="7" spans="1:1" ht="15.75">
      <c r="A7" s="483" t="s">
        <v>1008</v>
      </c>
    </row>
    <row r="8" spans="1:1" ht="15.75">
      <c r="A8" s="529" t="s">
        <v>1084</v>
      </c>
    </row>
    <row r="9" spans="1:1" ht="15.75">
      <c r="A9" s="483" t="s">
        <v>1085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324" customWidth="1"/>
    <col min="2" max="4" width="14.7109375" style="324" customWidth="1"/>
    <col min="5" max="5" width="50.7109375" style="324" customWidth="1"/>
    <col min="6" max="6" width="9.140625" style="324" customWidth="1"/>
    <col min="7" max="253" width="0" style="491" hidden="1" customWidth="1"/>
    <col min="254" max="16384" width="9.140625" style="491" hidden="1"/>
  </cols>
  <sheetData>
    <row r="1" spans="1:253" s="427" customFormat="1" ht="18" customHeight="1">
      <c r="A1" s="854" t="s">
        <v>1360</v>
      </c>
      <c r="D1" s="432"/>
    </row>
    <row r="2" spans="1:253" s="427" customFormat="1">
      <c r="A2" s="409" t="s">
        <v>921</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25" customHeight="1">
      <c r="A3" s="429"/>
      <c r="B3" s="413" t="s">
        <v>922</v>
      </c>
      <c r="C3" s="413" t="s">
        <v>923</v>
      </c>
      <c r="D3" s="413" t="s">
        <v>924</v>
      </c>
      <c r="E3" s="410" t="s">
        <v>925</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c r="A4" s="414" t="s">
        <v>26</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27</v>
      </c>
      <c r="B5" s="416">
        <f>'Sources and Uses Budget'!$C4</f>
        <v>2300000</v>
      </c>
      <c r="C5" s="416">
        <f>'Sources and Uses Budget'!$C4</f>
        <v>2300000</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28</v>
      </c>
      <c r="B6" s="416">
        <f>'Sources and Uses Budget'!$C5</f>
        <v>0</v>
      </c>
      <c r="C6" s="416">
        <f>'Sources and Uses Budget'!$C5</f>
        <v>0</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29</v>
      </c>
      <c r="B7" s="416">
        <f>'Sources and Uses Budget'!$C6</f>
        <v>0</v>
      </c>
      <c r="C7" s="416">
        <f>'Sources and Uses Budget'!$C6</f>
        <v>0</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98</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602</v>
      </c>
      <c r="B9" s="420">
        <f>SUM(B5:B8)</f>
        <v>2300000</v>
      </c>
      <c r="C9" s="420">
        <f>SUM(C5:C8)</f>
        <v>2300000</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603</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604</v>
      </c>
      <c r="B11" s="416">
        <f>'Sources and Uses Budget'!$C10</f>
        <v>0</v>
      </c>
      <c r="C11" s="416">
        <f>'Sources and Uses Budget'!$C10</f>
        <v>0</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605</v>
      </c>
      <c r="B12" s="420">
        <f>SUM(B10:B11)</f>
        <v>0</v>
      </c>
      <c r="C12" s="420">
        <f>SUM(C10:C11)</f>
        <v>0</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85</v>
      </c>
      <c r="B13" s="420">
        <f>SUM(B9+B12)</f>
        <v>2300000</v>
      </c>
      <c r="C13" s="420">
        <f>SUM(C9+C12)</f>
        <v>2300000</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935</v>
      </c>
      <c r="B14" s="416">
        <f>'Sources and Uses Budget'!$C13</f>
        <v>75000</v>
      </c>
      <c r="C14" s="416">
        <f>'Sources and Uses Budget'!$C13</f>
        <v>75000</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4">
      <c r="A15" s="562" t="s">
        <v>936</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1302</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c r="A17" s="414" t="s">
        <v>606</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607</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608</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609</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138</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139</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140</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141</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7" t="s">
        <v>1819</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5"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c r="A27" s="1648" t="s">
        <v>134</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c r="A28" s="421" t="s">
        <v>142</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c r="A29" s="414" t="s">
        <v>143</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607</v>
      </c>
      <c r="B30" s="416">
        <f>'Sources and Uses Budget'!$C29</f>
        <v>3129020</v>
      </c>
      <c r="C30" s="416">
        <f>'Sources and Uses Budget'!$C29</f>
        <v>3129020</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608</v>
      </c>
      <c r="B31" s="416">
        <f>'Sources and Uses Budget'!$C30</f>
        <v>25631713</v>
      </c>
      <c r="C31" s="416">
        <f>'Sources and Uses Budget'!$C30</f>
        <v>25631713</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609</v>
      </c>
      <c r="B32" s="416">
        <f>'Sources and Uses Budget'!$C31</f>
        <v>1106051</v>
      </c>
      <c r="C32" s="416">
        <f>'Sources and Uses Budget'!$C31</f>
        <v>1106051</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138</v>
      </c>
      <c r="B33" s="416">
        <f>'Sources and Uses Budget'!$C32</f>
        <v>940143</v>
      </c>
      <c r="C33" s="416">
        <f>'Sources and Uses Budget'!$C32</f>
        <v>940143</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139</v>
      </c>
      <c r="B34" s="416">
        <f>'Sources and Uses Budget'!$C33</f>
        <v>940143</v>
      </c>
      <c r="C34" s="416">
        <f>'Sources and Uses Budget'!$C33</f>
        <v>940143</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140</v>
      </c>
      <c r="B35" s="416">
        <f>'Sources and Uses Budget'!$C34</f>
        <v>0</v>
      </c>
      <c r="C35" s="416">
        <f>'Sources and Uses Budget'!$C34</f>
        <v>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141</v>
      </c>
      <c r="B36" s="416">
        <f>'Sources and Uses Budget'!$C35</f>
        <v>553025</v>
      </c>
      <c r="C36" s="416">
        <f>'Sources and Uses Budget'!$C35</f>
        <v>553025</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42" t="s">
        <v>1819</v>
      </c>
      <c r="B37" s="416">
        <f>'Sources and Uses Budget'!$C36</f>
        <v>0</v>
      </c>
      <c r="C37" s="416">
        <f>'Sources and Uses Budget'!$C36</f>
        <v>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5" t="str">
        <f>'Sources and Uses Budget'!A37</f>
        <v>Other: (Specify)</v>
      </c>
      <c r="B38" s="416">
        <f>'Sources and Uses Budget'!$C37</f>
        <v>0</v>
      </c>
      <c r="C38" s="416">
        <f>'Sources and Uses Budget'!$C37</f>
        <v>0</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c r="A39" s="421" t="s">
        <v>144</v>
      </c>
      <c r="B39" s="420">
        <f>SUM(B30:B38)</f>
        <v>32300095</v>
      </c>
      <c r="C39" s="420">
        <f>SUM(C30:C38)</f>
        <v>32300095</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c r="A40" s="414" t="s">
        <v>145</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146</v>
      </c>
      <c r="B41" s="416">
        <f>'Sources and Uses Budget'!$C40</f>
        <v>400000</v>
      </c>
      <c r="C41" s="416">
        <f>'Sources and Uses Budget'!$C40</f>
        <v>400000</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147</v>
      </c>
      <c r="B42" s="416">
        <f>'Sources and Uses Budget'!$C41</f>
        <v>200000</v>
      </c>
      <c r="C42" s="416">
        <f>'Sources and Uses Budget'!$C41</f>
        <v>200000</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c r="A43" s="421" t="s">
        <v>148</v>
      </c>
      <c r="B43" s="420">
        <f>SUM(B41:B42)</f>
        <v>600000</v>
      </c>
      <c r="C43" s="420">
        <f>SUM(C41:C42)</f>
        <v>600000</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c r="A44" s="421" t="s">
        <v>149</v>
      </c>
      <c r="B44" s="416">
        <f>'Sources and Uses Budget'!$C43</f>
        <v>350000</v>
      </c>
      <c r="C44" s="416">
        <f>'Sources and Uses Budget'!$C43</f>
        <v>350000</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150</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151</v>
      </c>
      <c r="B46" s="416">
        <f>'Sources and Uses Budget'!$C45</f>
        <v>2081003</v>
      </c>
      <c r="C46" s="416">
        <f>'Sources and Uses Budget'!$C45</f>
        <v>2081003</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152</v>
      </c>
      <c r="B47" s="416">
        <f>'Sources and Uses Budget'!$C46</f>
        <v>336324</v>
      </c>
      <c r="C47" s="416">
        <f>'Sources and Uses Budget'!$C46</f>
        <v>336324</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6" t="s">
        <v>153</v>
      </c>
      <c r="B48" s="416">
        <f>'Sources and Uses Budget'!$C47</f>
        <v>20000</v>
      </c>
      <c r="C48" s="416">
        <f>'Sources and Uses Budget'!$C47</f>
        <v>20000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154</v>
      </c>
      <c r="B49" s="416">
        <f>'Sources and Uses Budget'!$C48</f>
        <v>0</v>
      </c>
      <c r="C49" s="416">
        <f>'Sources and Uses Budget'!$C48</f>
        <v>0</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57</v>
      </c>
      <c r="B50" s="416">
        <f>'Sources and Uses Budget'!$C49</f>
        <v>180530</v>
      </c>
      <c r="C50" s="416">
        <f>'Sources and Uses Budget'!$C49</f>
        <v>180530</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157</v>
      </c>
      <c r="B51" s="416">
        <f>'Sources and Uses Budget'!$C50</f>
        <v>75000</v>
      </c>
      <c r="C51" s="416">
        <f>'Sources and Uses Budget'!$C50</f>
        <v>75000</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155</v>
      </c>
      <c r="B52" s="416">
        <f>'Sources and Uses Budget'!$C51</f>
        <v>43125</v>
      </c>
      <c r="C52" s="416">
        <f>'Sources and Uses Budget'!$C51</f>
        <v>43125</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156</v>
      </c>
      <c r="B53" s="416">
        <f>'Sources and Uses Budget'!$C52</f>
        <v>300000</v>
      </c>
      <c r="C53" s="416">
        <f>'Sources and Uses Budget'!$C52</f>
        <v>300000</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c r="A54" s="225" t="str">
        <f>'Sources and Uses Budget'!A53</f>
        <v>Bank Inspector</v>
      </c>
      <c r="B54" s="416">
        <f>'Sources and Uses Budget'!$C53</f>
        <v>18000</v>
      </c>
      <c r="C54" s="416">
        <f>'Sources and Uses Budget'!$C53</f>
        <v>18000</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c r="A55" s="421" t="s">
        <v>158</v>
      </c>
      <c r="B55" s="423">
        <f>SUM(B46:B54)</f>
        <v>3053982</v>
      </c>
      <c r="C55" s="423">
        <f>SUM(C46:C54)</f>
        <v>3053982</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c r="A56" s="414" t="s">
        <v>419</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159</v>
      </c>
      <c r="B57" s="416">
        <f>'Sources and Uses Budget'!$C56</f>
        <v>53210</v>
      </c>
      <c r="C57" s="416">
        <f>'Sources and Uses Budget'!$C56</f>
        <v>53210</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153</v>
      </c>
      <c r="B58" s="416">
        <f>'Sources and Uses Budget'!$C57</f>
        <v>0</v>
      </c>
      <c r="C58" s="416">
        <f>'Sources and Uses Budget'!$C57</f>
        <v>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157</v>
      </c>
      <c r="B59" s="416">
        <f>'Sources and Uses Budget'!$C58</f>
        <v>10000</v>
      </c>
      <c r="C59" s="416">
        <f>'Sources and Uses Budget'!$C58</f>
        <v>10000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155</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156</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49" t="str">
        <f>'Sources and Uses Budget'!A61</f>
        <v>Other: (Specify)</v>
      </c>
      <c r="B62" s="416">
        <f>'Sources and Uses Budget'!$C61</f>
        <v>0</v>
      </c>
      <c r="C62" s="416">
        <f>'Sources and Uses Budget'!$C61</f>
        <v>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7" customHeight="1">
      <c r="A63" s="421" t="s">
        <v>302</v>
      </c>
      <c r="B63" s="420">
        <f>SUM(B57:B62)</f>
        <v>63210</v>
      </c>
      <c r="C63" s="420">
        <f>SUM(C57:C62)</f>
        <v>63210</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c r="A64" s="424" t="s">
        <v>303</v>
      </c>
      <c r="B64" s="420">
        <f>SUM(B9+B12+B14+B15+B17+B26+B28+B39+B43+B44+B55+B63)</f>
        <v>38742287</v>
      </c>
      <c r="C64" s="420">
        <f>SUM(C9+C12+C14+C15+C17+C26+C28+C39+C43+C44+C55+C63)</f>
        <v>38742287</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4">
      <c r="A65" s="211" t="s">
        <v>1823</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171</v>
      </c>
      <c r="B66" s="416">
        <f>'Sources and Uses Budget'!$C65</f>
        <v>70000</v>
      </c>
      <c r="C66" s="416">
        <f>'Sources and Uses Budget'!$C65</f>
        <v>70000</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4">
      <c r="A67" s="435" t="s">
        <v>1820</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ht="24">
      <c r="A68" s="435" t="s">
        <v>1821</v>
      </c>
      <c r="B68" s="416">
        <f>'Sources and Uses Budget'!$C67</f>
        <v>0</v>
      </c>
      <c r="C68" s="416">
        <f>'Sources and Uses Budget'!$C67</f>
        <v>0</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1827</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5" t="str">
        <f>'Sources and Uses Budget'!A69</f>
        <v>Transaction Legal Fees</v>
      </c>
      <c r="B70" s="416">
        <f>'Sources and Uses Budget'!$C69</f>
        <v>70000</v>
      </c>
      <c r="C70" s="416">
        <f>'Sources and Uses Budget'!$C69</f>
        <v>70000</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1824</v>
      </c>
      <c r="B71" s="420">
        <f>SUM(B66:B70)</f>
        <v>140000</v>
      </c>
      <c r="C71" s="420">
        <f>SUM(C66:C70)</f>
        <v>140000</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c r="A72" s="414" t="s">
        <v>611</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612</v>
      </c>
      <c r="B73" s="416">
        <f>'Sources and Uses Budget'!$C72</f>
        <v>0</v>
      </c>
      <c r="C73" s="416">
        <f>'Sources and Uses Budget'!$C72</f>
        <v>0</v>
      </c>
      <c r="D73" s="420">
        <f t="shared" si="0"/>
        <v>0</v>
      </c>
      <c r="E73" s="418"/>
      <c r="F73" s="417"/>
      <c r="G73" s="544"/>
    </row>
    <row r="74" spans="1:253" s="538" customFormat="1">
      <c r="A74" s="419" t="s">
        <v>613</v>
      </c>
      <c r="B74" s="416">
        <f>'Sources and Uses Budget'!$C73</f>
        <v>0</v>
      </c>
      <c r="C74" s="416">
        <f>'Sources and Uses Budget'!$C73</f>
        <v>0</v>
      </c>
      <c r="D74" s="420">
        <f t="shared" si="0"/>
        <v>0</v>
      </c>
      <c r="E74" s="418"/>
      <c r="F74" s="417"/>
      <c r="G74" s="544"/>
    </row>
    <row r="75" spans="1:253" s="538" customFormat="1">
      <c r="A75" s="499" t="s">
        <v>1039</v>
      </c>
      <c r="B75" s="416">
        <f>'Sources and Uses Budget'!$C74</f>
        <v>0</v>
      </c>
      <c r="C75" s="416">
        <f>'Sources and Uses Budget'!$C74</f>
        <v>0</v>
      </c>
      <c r="D75" s="420">
        <f t="shared" si="0"/>
        <v>0</v>
      </c>
      <c r="E75" s="418"/>
      <c r="F75" s="417"/>
      <c r="G75" s="544"/>
    </row>
    <row r="76" spans="1:253" s="538" customFormat="1">
      <c r="A76" s="419" t="s">
        <v>614</v>
      </c>
      <c r="B76" s="416">
        <f>'Sources and Uses Budget'!$C75</f>
        <v>228182</v>
      </c>
      <c r="C76" s="416">
        <f>'Sources and Uses Budget'!$C75</f>
        <v>228182</v>
      </c>
      <c r="D76" s="420">
        <f t="shared" si="0"/>
        <v>0</v>
      </c>
      <c r="E76" s="418"/>
      <c r="F76" s="417"/>
      <c r="G76" s="544"/>
    </row>
    <row r="77" spans="1:253" s="538" customFormat="1">
      <c r="A77" s="422" t="s">
        <v>34</v>
      </c>
      <c r="B77" s="416">
        <f>'Sources and Uses Budget'!$C76</f>
        <v>0</v>
      </c>
      <c r="C77" s="416">
        <f>'Sources and Uses Budget'!$C76</f>
        <v>0</v>
      </c>
      <c r="D77" s="420">
        <f t="shared" si="0"/>
        <v>0</v>
      </c>
      <c r="E77" s="418"/>
      <c r="F77" s="417"/>
      <c r="G77" s="544"/>
    </row>
    <row r="78" spans="1:253" s="538" customFormat="1">
      <c r="A78" s="421" t="s">
        <v>615</v>
      </c>
      <c r="B78" s="420">
        <f>SUM(B73:B77)</f>
        <v>228182</v>
      </c>
      <c r="C78" s="420">
        <f>SUM(C73:C77)</f>
        <v>228182</v>
      </c>
      <c r="D78" s="420">
        <f t="shared" ref="D78:D106" si="1">C78-B78</f>
        <v>0</v>
      </c>
      <c r="E78" s="418"/>
      <c r="F78" s="417"/>
      <c r="G78" s="544"/>
    </row>
    <row r="79" spans="1:253" s="538" customFormat="1">
      <c r="A79" s="414" t="s">
        <v>1352</v>
      </c>
      <c r="B79" s="414"/>
      <c r="C79" s="414"/>
      <c r="D79" s="414"/>
      <c r="E79" s="434"/>
      <c r="F79" s="414"/>
      <c r="G79" s="544"/>
    </row>
    <row r="80" spans="1:253" s="538" customFormat="1">
      <c r="A80" s="850" t="s">
        <v>1354</v>
      </c>
      <c r="B80" s="416">
        <f>'Sources and Uses Budget'!$C79</f>
        <v>1744205</v>
      </c>
      <c r="C80" s="416">
        <f>'Sources and Uses Budget'!$C79</f>
        <v>1744205</v>
      </c>
      <c r="D80" s="420">
        <f t="shared" si="1"/>
        <v>0</v>
      </c>
      <c r="E80" s="418"/>
      <c r="F80" s="417"/>
      <c r="G80" s="544"/>
    </row>
    <row r="81" spans="1:7" s="538" customFormat="1">
      <c r="A81" s="850" t="s">
        <v>58</v>
      </c>
      <c r="B81" s="416">
        <f>'Sources and Uses Budget'!$C80</f>
        <v>150000</v>
      </c>
      <c r="C81" s="416">
        <f>'Sources and Uses Budget'!$C80</f>
        <v>150000</v>
      </c>
      <c r="D81" s="420">
        <f>C81-B81</f>
        <v>0</v>
      </c>
      <c r="E81" s="418"/>
      <c r="F81" s="417"/>
      <c r="G81" s="544"/>
    </row>
    <row r="82" spans="1:7" s="538" customFormat="1">
      <c r="A82" s="421" t="s">
        <v>1351</v>
      </c>
      <c r="B82" s="420">
        <f>SUM(B80:B81)</f>
        <v>1894205</v>
      </c>
      <c r="C82" s="420">
        <f>SUM(C80:C81)</f>
        <v>1894205</v>
      </c>
      <c r="D82" s="420">
        <f t="shared" si="1"/>
        <v>0</v>
      </c>
      <c r="E82" s="418"/>
      <c r="F82" s="417"/>
      <c r="G82" s="544"/>
    </row>
    <row r="83" spans="1:7" s="538" customFormat="1">
      <c r="A83" s="414" t="s">
        <v>789</v>
      </c>
      <c r="B83" s="414"/>
      <c r="C83" s="414"/>
      <c r="D83" s="414"/>
      <c r="E83" s="434"/>
      <c r="F83" s="414"/>
      <c r="G83" s="544"/>
    </row>
    <row r="84" spans="1:7" s="538" customFormat="1" ht="13.7" customHeight="1">
      <c r="A84" s="419" t="s">
        <v>790</v>
      </c>
      <c r="B84" s="416">
        <f>'Sources and Uses Budget'!$C83</f>
        <v>46514</v>
      </c>
      <c r="C84" s="416">
        <f>'Sources and Uses Budget'!$C83</f>
        <v>46514</v>
      </c>
      <c r="D84" s="420">
        <f t="shared" si="1"/>
        <v>0</v>
      </c>
      <c r="E84" s="418"/>
      <c r="F84" s="417"/>
      <c r="G84" s="544"/>
    </row>
    <row r="85" spans="1:7" s="538" customFormat="1">
      <c r="A85" s="419" t="s">
        <v>791</v>
      </c>
      <c r="B85" s="416">
        <f>'Sources and Uses Budget'!$C84</f>
        <v>50000</v>
      </c>
      <c r="C85" s="416">
        <f>'Sources and Uses Budget'!$C84</f>
        <v>50000</v>
      </c>
      <c r="D85" s="420">
        <f t="shared" si="1"/>
        <v>0</v>
      </c>
      <c r="E85" s="418"/>
      <c r="F85" s="417"/>
      <c r="G85" s="544"/>
    </row>
    <row r="86" spans="1:7" s="538" customFormat="1">
      <c r="A86" s="419" t="s">
        <v>792</v>
      </c>
      <c r="B86" s="416">
        <f>'Sources and Uses Budget'!$C85</f>
        <v>45000</v>
      </c>
      <c r="C86" s="416">
        <f>'Sources and Uses Budget'!$C85</f>
        <v>45000</v>
      </c>
      <c r="D86" s="420">
        <f t="shared" si="1"/>
        <v>0</v>
      </c>
      <c r="E86" s="418"/>
      <c r="F86" s="417"/>
      <c r="G86" s="544"/>
    </row>
    <row r="87" spans="1:7" s="538" customFormat="1">
      <c r="A87" s="419" t="s">
        <v>793</v>
      </c>
      <c r="B87" s="416">
        <f>'Sources and Uses Budget'!$C86</f>
        <v>55000</v>
      </c>
      <c r="C87" s="416">
        <f>'Sources and Uses Budget'!$C86</f>
        <v>55000</v>
      </c>
      <c r="D87" s="420">
        <f t="shared" si="1"/>
        <v>0</v>
      </c>
      <c r="E87" s="418"/>
      <c r="F87" s="417"/>
      <c r="G87" s="544"/>
    </row>
    <row r="88" spans="1:7" s="538" customFormat="1">
      <c r="A88" s="419" t="s">
        <v>794</v>
      </c>
      <c r="B88" s="416">
        <f>'Sources and Uses Budget'!$C87</f>
        <v>42500</v>
      </c>
      <c r="C88" s="416">
        <f>'Sources and Uses Budget'!$C87</f>
        <v>42500</v>
      </c>
      <c r="D88" s="420">
        <f t="shared" si="1"/>
        <v>0</v>
      </c>
      <c r="E88" s="418"/>
      <c r="F88" s="417"/>
      <c r="G88" s="544"/>
    </row>
    <row r="89" spans="1:7" s="538" customFormat="1">
      <c r="A89" s="419" t="s">
        <v>795</v>
      </c>
      <c r="B89" s="416">
        <f>'Sources and Uses Budget'!$C88</f>
        <v>20000</v>
      </c>
      <c r="C89" s="416">
        <f>'Sources and Uses Budget'!$C88</f>
        <v>20000</v>
      </c>
      <c r="D89" s="420">
        <f t="shared" si="1"/>
        <v>0</v>
      </c>
      <c r="E89" s="418"/>
      <c r="F89" s="417"/>
      <c r="G89" s="544"/>
    </row>
    <row r="90" spans="1:7" s="538" customFormat="1">
      <c r="A90" s="419" t="s">
        <v>796</v>
      </c>
      <c r="B90" s="416">
        <f>'Sources and Uses Budget'!$C89</f>
        <v>120000</v>
      </c>
      <c r="C90" s="416">
        <f>'Sources and Uses Budget'!$C89</f>
        <v>120000</v>
      </c>
      <c r="D90" s="420">
        <f t="shared" si="1"/>
        <v>0</v>
      </c>
      <c r="E90" s="418"/>
      <c r="F90" s="417"/>
      <c r="G90" s="544"/>
    </row>
    <row r="91" spans="1:7" s="538" customFormat="1">
      <c r="A91" s="419" t="s">
        <v>797</v>
      </c>
      <c r="B91" s="416">
        <f>'Sources and Uses Budget'!$C90</f>
        <v>10000</v>
      </c>
      <c r="C91" s="416">
        <f>'Sources and Uses Budget'!$C90</f>
        <v>10000</v>
      </c>
      <c r="D91" s="420">
        <f t="shared" si="1"/>
        <v>0</v>
      </c>
      <c r="E91" s="418"/>
      <c r="F91" s="417"/>
      <c r="G91" s="544"/>
    </row>
    <row r="92" spans="1:7" s="538" customFormat="1">
      <c r="A92" s="425" t="s">
        <v>373</v>
      </c>
      <c r="B92" s="416">
        <f>'Sources and Uses Budget'!$C91</f>
        <v>25000</v>
      </c>
      <c r="C92" s="416">
        <f>'Sources and Uses Budget'!$C91</f>
        <v>25000</v>
      </c>
      <c r="D92" s="420">
        <f t="shared" si="1"/>
        <v>0</v>
      </c>
      <c r="E92" s="418"/>
      <c r="F92" s="417"/>
      <c r="G92" s="544"/>
    </row>
    <row r="93" spans="1:7" s="538" customFormat="1">
      <c r="A93" s="849" t="s">
        <v>1353</v>
      </c>
      <c r="B93" s="416">
        <f>'Sources and Uses Budget'!$C92</f>
        <v>10000</v>
      </c>
      <c r="C93" s="416">
        <f>'Sources and Uses Budget'!$C92</f>
        <v>10000</v>
      </c>
      <c r="D93" s="420">
        <f t="shared" si="1"/>
        <v>0</v>
      </c>
      <c r="E93" s="418"/>
      <c r="F93" s="417"/>
      <c r="G93" s="544"/>
    </row>
    <row r="94" spans="1:7" s="538" customFormat="1">
      <c r="A94" s="422" t="s">
        <v>34</v>
      </c>
      <c r="B94" s="416">
        <f>'Sources and Uses Budget'!$C93</f>
        <v>180000</v>
      </c>
      <c r="C94" s="416">
        <f>'Sources and Uses Budget'!$C93</f>
        <v>180000</v>
      </c>
      <c r="D94" s="420">
        <f t="shared" si="1"/>
        <v>0</v>
      </c>
      <c r="E94" s="418"/>
      <c r="F94" s="417"/>
      <c r="G94" s="544"/>
    </row>
    <row r="95" spans="1:7" s="538" customFormat="1">
      <c r="A95" s="422" t="s">
        <v>34</v>
      </c>
      <c r="B95" s="416">
        <f>'Sources and Uses Budget'!$C94</f>
        <v>112200</v>
      </c>
      <c r="C95" s="416">
        <f>'Sources and Uses Budget'!$C94</f>
        <v>112200</v>
      </c>
      <c r="D95" s="420">
        <f t="shared" si="1"/>
        <v>0</v>
      </c>
      <c r="E95" s="418"/>
      <c r="F95" s="417"/>
      <c r="G95" s="544"/>
    </row>
    <row r="96" spans="1:7" s="538" customFormat="1">
      <c r="A96" s="422" t="s">
        <v>34</v>
      </c>
      <c r="B96" s="416">
        <f>'Sources and Uses Budget'!$C95</f>
        <v>35000</v>
      </c>
      <c r="C96" s="416">
        <f>'Sources and Uses Budget'!$C95</f>
        <v>35000</v>
      </c>
      <c r="D96" s="420">
        <f t="shared" si="1"/>
        <v>0</v>
      </c>
      <c r="E96" s="418"/>
      <c r="F96" s="417"/>
      <c r="G96" s="544"/>
    </row>
    <row r="97" spans="1:7" s="538" customFormat="1">
      <c r="A97" s="421" t="s">
        <v>798</v>
      </c>
      <c r="B97" s="420">
        <f>SUM(B84:B96)</f>
        <v>751214</v>
      </c>
      <c r="C97" s="420">
        <f>SUM(C84:C96)</f>
        <v>751214</v>
      </c>
      <c r="D97" s="420">
        <f t="shared" si="1"/>
        <v>0</v>
      </c>
      <c r="E97" s="418"/>
      <c r="F97" s="417"/>
      <c r="G97" s="544"/>
    </row>
    <row r="98" spans="1:7" s="538" customFormat="1">
      <c r="A98" s="421" t="s">
        <v>799</v>
      </c>
      <c r="B98" s="420">
        <f>SUM(B64+B71+B78+B82+B97)</f>
        <v>41755888</v>
      </c>
      <c r="C98" s="420">
        <f>SUM(C64+C71+C78+C82+C97)</f>
        <v>41755888</v>
      </c>
      <c r="D98" s="420">
        <f t="shared" si="1"/>
        <v>0</v>
      </c>
      <c r="E98" s="418"/>
      <c r="F98" s="417"/>
      <c r="G98" s="544"/>
    </row>
    <row r="99" spans="1:7" s="538" customFormat="1">
      <c r="A99" s="414" t="s">
        <v>800</v>
      </c>
      <c r="B99" s="414"/>
      <c r="C99" s="414"/>
      <c r="D99" s="414"/>
      <c r="E99" s="434"/>
      <c r="F99" s="414"/>
      <c r="G99" s="544"/>
    </row>
    <row r="100" spans="1:7" s="537" customFormat="1">
      <c r="A100" s="215" t="s">
        <v>801</v>
      </c>
      <c r="B100" s="416">
        <f>'Sources and Uses Budget'!$C99</f>
        <v>2500000</v>
      </c>
      <c r="C100" s="416">
        <f>'Sources and Uses Budget'!$C99</f>
        <v>2500000</v>
      </c>
      <c r="D100" s="420">
        <f t="shared" si="1"/>
        <v>0</v>
      </c>
      <c r="E100" s="418"/>
      <c r="F100" s="417"/>
      <c r="G100" s="542"/>
    </row>
    <row r="101" spans="1:7" s="537" customFormat="1">
      <c r="A101" s="435" t="s">
        <v>1825</v>
      </c>
      <c r="B101" s="416">
        <f>'Sources and Uses Budget'!$C100</f>
        <v>0</v>
      </c>
      <c r="C101" s="416">
        <f>'Sources and Uses Budget'!$C100</f>
        <v>0</v>
      </c>
      <c r="D101" s="420">
        <f t="shared" si="1"/>
        <v>0</v>
      </c>
      <c r="E101" s="418"/>
      <c r="F101" s="417"/>
      <c r="G101" s="542"/>
    </row>
    <row r="102" spans="1:7" s="537" customFormat="1">
      <c r="A102" s="215" t="s">
        <v>802</v>
      </c>
      <c r="B102" s="416">
        <f>'Sources and Uses Budget'!$C101</f>
        <v>0</v>
      </c>
      <c r="C102" s="416">
        <f>'Sources and Uses Budget'!$C101</f>
        <v>0</v>
      </c>
      <c r="D102" s="420">
        <f t="shared" si="1"/>
        <v>0</v>
      </c>
      <c r="E102" s="418"/>
      <c r="F102" s="417"/>
      <c r="G102" s="542"/>
    </row>
    <row r="103" spans="1:7" s="537" customFormat="1" ht="12" customHeight="1">
      <c r="A103" s="435" t="s">
        <v>1826</v>
      </c>
      <c r="B103" s="416">
        <f>'Sources and Uses Budget'!$C102</f>
        <v>0</v>
      </c>
      <c r="C103" s="416">
        <f>'Sources and Uses Budget'!$C102</f>
        <v>0</v>
      </c>
      <c r="D103" s="420">
        <f t="shared" si="1"/>
        <v>0</v>
      </c>
      <c r="E103" s="418"/>
      <c r="F103" s="417"/>
      <c r="G103" s="542"/>
    </row>
    <row r="104" spans="1:7" s="537" customFormat="1">
      <c r="A104" s="1649" t="str">
        <f>'Sources and Uses Budget'!A103</f>
        <v>Other: (Specify)</v>
      </c>
      <c r="B104" s="416">
        <f>'Sources and Uses Budget'!$C103</f>
        <v>0</v>
      </c>
      <c r="C104" s="416">
        <f>'Sources and Uses Budget'!$C103</f>
        <v>0</v>
      </c>
      <c r="D104" s="420">
        <f t="shared" si="1"/>
        <v>0</v>
      </c>
      <c r="E104" s="418"/>
      <c r="F104" s="417"/>
      <c r="G104" s="542"/>
    </row>
    <row r="105" spans="1:7" s="537" customFormat="1">
      <c r="A105" s="421" t="s">
        <v>803</v>
      </c>
      <c r="B105" s="420">
        <f>SUM(B100:B104)</f>
        <v>2500000</v>
      </c>
      <c r="C105" s="420">
        <f>SUM(C100:C104)</f>
        <v>2500000</v>
      </c>
      <c r="D105" s="420">
        <f t="shared" si="1"/>
        <v>0</v>
      </c>
      <c r="E105" s="418"/>
      <c r="F105" s="417"/>
      <c r="G105" s="542"/>
    </row>
    <row r="106" spans="1:7" s="537" customFormat="1">
      <c r="A106" s="421" t="s">
        <v>804</v>
      </c>
      <c r="B106" s="423">
        <f>SUM(B98+B105)</f>
        <v>44255888</v>
      </c>
      <c r="C106" s="423">
        <f>SUM(C98+C105)</f>
        <v>44255888</v>
      </c>
      <c r="D106" s="420">
        <f t="shared" si="1"/>
        <v>0</v>
      </c>
      <c r="E106" s="418"/>
      <c r="F106" s="417"/>
      <c r="G106" s="542"/>
    </row>
    <row r="107" spans="1:7" s="537" customFormat="1">
      <c r="A107" s="429" t="s">
        <v>805</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Sergio Rosas</cp:lastModifiedBy>
  <cp:lastPrinted>2022-06-02T00:41:49Z</cp:lastPrinted>
  <dcterms:created xsi:type="dcterms:W3CDTF">2007-12-27T18:26:28Z</dcterms:created>
  <dcterms:modified xsi:type="dcterms:W3CDTF">2023-02-06T21:38:31Z</dcterms:modified>
</cp:coreProperties>
</file>