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P:\Current Projects\803 Belmont Ave (Belmont)\Financing and Lending\TCAC_CDLAC_Joint_Application with PBVs\"/>
    </mc:Choice>
  </mc:AlternateContent>
  <xr:revisionPtr revIDLastSave="0" documentId="13_ncr:1_{E96899DB-CC6E-41E4-B79B-1509793D6CFC}" xr6:coauthVersionLast="47" xr6:coauthVersionMax="47" xr10:uidLastSave="{00000000-0000-0000-0000-000000000000}"/>
  <bookViews>
    <workbookView xWindow="-108" yWindow="-108" windowWidth="23256" windowHeight="1401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2" i="4" l="1"/>
  <c r="S90" i="4"/>
  <c r="S86" i="4"/>
  <c r="S85" i="4"/>
  <c r="S84" i="4"/>
  <c r="S79" i="4"/>
  <c r="S50" i="4"/>
  <c r="S47" i="4"/>
  <c r="S41" i="4"/>
  <c r="S40" i="4"/>
  <c r="S35" i="4"/>
  <c r="S33" i="4"/>
  <c r="S32" i="4"/>
  <c r="S31" i="4"/>
  <c r="E99" i="4" l="1"/>
  <c r="E95" i="4"/>
  <c r="E94" i="4"/>
  <c r="E93" i="4"/>
  <c r="E92" i="4"/>
  <c r="E91" i="4"/>
  <c r="E90" i="4"/>
  <c r="E89" i="4"/>
  <c r="E88" i="4"/>
  <c r="E86" i="4"/>
  <c r="E85" i="4"/>
  <c r="E84" i="4"/>
  <c r="E83" i="4"/>
  <c r="E80" i="4"/>
  <c r="E79" i="4"/>
  <c r="E75" i="4"/>
  <c r="E52" i="4"/>
  <c r="E51" i="4"/>
  <c r="E50" i="4"/>
  <c r="E49" i="4"/>
  <c r="E47" i="4"/>
  <c r="E46" i="4"/>
  <c r="E45" i="4"/>
  <c r="E58" i="4"/>
  <c r="E57" i="4"/>
  <c r="E65" i="4"/>
  <c r="E41" i="4"/>
  <c r="E40" i="4"/>
  <c r="E35" i="4"/>
  <c r="E33" i="4"/>
  <c r="E32" i="4"/>
  <c r="E31" i="4"/>
  <c r="J30" i="4"/>
  <c r="F30" i="4"/>
  <c r="E30" i="4" s="1"/>
  <c r="J4" i="4"/>
  <c r="AE931" i="3"/>
  <c r="AE930" i="3"/>
  <c r="M930" i="3"/>
  <c r="M931" i="3" s="1"/>
  <c r="W855" i="3"/>
  <c r="W843" i="3"/>
  <c r="W838" i="3"/>
  <c r="O727" i="3"/>
  <c r="O726" i="3"/>
  <c r="O725" i="3"/>
  <c r="O724" i="3"/>
  <c r="O723" i="3"/>
  <c r="O722" i="3"/>
  <c r="O721" i="3"/>
  <c r="O720" i="3"/>
  <c r="O719" i="3"/>
  <c r="O718" i="3"/>
  <c r="O717" i="3"/>
  <c r="O716" i="3"/>
  <c r="O715" i="3"/>
  <c r="O714" i="3"/>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5" i="26"/>
  <c r="J27"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11" i="8"/>
  <c r="J12" i="8"/>
  <c r="J13"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D102" i="11" s="1"/>
  <c r="B103" i="11"/>
  <c r="B104" i="11"/>
  <c r="C85" i="11"/>
  <c r="C86" i="11"/>
  <c r="C97" i="11" s="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D31" i="11" s="1"/>
  <c r="B32" i="11"/>
  <c r="B33" i="11"/>
  <c r="B34" i="11"/>
  <c r="B35" i="11"/>
  <c r="B36" i="11"/>
  <c r="B37" i="11"/>
  <c r="B38" i="11"/>
  <c r="C24" i="11"/>
  <c r="C25" i="1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c r="O55" i="7"/>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D81" i="11" s="1"/>
  <c r="B80" i="11"/>
  <c r="B82" i="11" s="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s="1"/>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D26" i="13"/>
  <c r="C26" i="13"/>
  <c r="J11" i="13"/>
  <c r="D11" i="13"/>
  <c r="D63" i="13" s="1"/>
  <c r="D97" i="13" s="1"/>
  <c r="D105" i="13" s="1"/>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54" i="4" s="1"/>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D6" i="11" s="1"/>
  <c r="C6" i="11"/>
  <c r="B7" i="11"/>
  <c r="C7" i="11"/>
  <c r="C8" i="11"/>
  <c r="B8" i="11"/>
  <c r="B10" i="11"/>
  <c r="B12" i="11" s="1"/>
  <c r="B11" i="11"/>
  <c r="C10" i="11"/>
  <c r="C11" i="11"/>
  <c r="B14" i="11"/>
  <c r="C14" i="11"/>
  <c r="B15" i="11"/>
  <c r="C15" i="11"/>
  <c r="B16" i="11"/>
  <c r="C16" i="11"/>
  <c r="B18" i="11"/>
  <c r="D18" i="11" s="1"/>
  <c r="C18" i="11"/>
  <c r="B19" i="11"/>
  <c r="C19" i="11"/>
  <c r="B20" i="11"/>
  <c r="C20" i="11"/>
  <c r="B21" i="11"/>
  <c r="C21" i="11"/>
  <c r="B22" i="11"/>
  <c r="C22" i="11"/>
  <c r="B23" i="11"/>
  <c r="C23" i="11"/>
  <c r="B24" i="11"/>
  <c r="B28" i="11"/>
  <c r="C28" i="11"/>
  <c r="B30" i="11"/>
  <c r="C30" i="11"/>
  <c r="D30" i="11" s="1"/>
  <c r="D34" i="11"/>
  <c r="B41" i="11"/>
  <c r="C41" i="11"/>
  <c r="C42" i="11"/>
  <c r="C43" i="11" s="1"/>
  <c r="B42" i="11"/>
  <c r="B44" i="11"/>
  <c r="C44" i="11"/>
  <c r="D44" i="11" s="1"/>
  <c r="B46" i="11"/>
  <c r="C46" i="11"/>
  <c r="B47" i="11"/>
  <c r="C47" i="11"/>
  <c r="B48" i="11"/>
  <c r="B49" i="11"/>
  <c r="B50" i="11"/>
  <c r="B51" i="11"/>
  <c r="D51" i="11" s="1"/>
  <c r="B52" i="11"/>
  <c r="B53" i="11"/>
  <c r="C48" i="11"/>
  <c r="C49" i="11"/>
  <c r="C55" i="11" s="1"/>
  <c r="C50" i="11"/>
  <c r="C51" i="11"/>
  <c r="C52" i="11"/>
  <c r="C53" i="11"/>
  <c r="B57" i="11"/>
  <c r="C57" i="11"/>
  <c r="B58" i="11"/>
  <c r="C58" i="11"/>
  <c r="B59" i="11"/>
  <c r="C59" i="11"/>
  <c r="D59" i="11" s="1"/>
  <c r="B60" i="11"/>
  <c r="D60" i="11" s="1"/>
  <c r="C60" i="11"/>
  <c r="B61" i="11"/>
  <c r="C61" i="11"/>
  <c r="B62" i="11"/>
  <c r="C62" i="11"/>
  <c r="D62" i="11" s="1"/>
  <c r="B66" i="11"/>
  <c r="C66" i="11"/>
  <c r="B73" i="11"/>
  <c r="C73" i="11"/>
  <c r="B74" i="11"/>
  <c r="C74" i="11"/>
  <c r="B75" i="11"/>
  <c r="C75" i="11"/>
  <c r="B76" i="11"/>
  <c r="C76" i="11"/>
  <c r="D76" i="11" s="1"/>
  <c r="B77" i="11"/>
  <c r="C77" i="11"/>
  <c r="B84" i="11"/>
  <c r="C84" i="11"/>
  <c r="B100" i="11"/>
  <c r="C100" i="11"/>
  <c r="C105" i="11" s="1"/>
  <c r="A4" i="8"/>
  <c r="D4" i="8"/>
  <c r="I4" i="8"/>
  <c r="J4" i="8" s="1"/>
  <c r="A5" i="8"/>
  <c r="D5" i="8"/>
  <c r="I5" i="8"/>
  <c r="J5" i="8" s="1"/>
  <c r="A6" i="8"/>
  <c r="D6" i="8"/>
  <c r="I6" i="8"/>
  <c r="A7" i="8"/>
  <c r="D7" i="8"/>
  <c r="I7" i="8"/>
  <c r="A8" i="8"/>
  <c r="D8" i="8"/>
  <c r="I8" i="8"/>
  <c r="A9" i="8"/>
  <c r="D9" i="8"/>
  <c r="I9" i="8"/>
  <c r="J9" i="8" s="1"/>
  <c r="A10" i="8"/>
  <c r="D10" i="8"/>
  <c r="I10" i="8"/>
  <c r="J10" i="8" s="1"/>
  <c r="A11" i="8"/>
  <c r="D11" i="8"/>
  <c r="I11" i="8"/>
  <c r="A12" i="8"/>
  <c r="D12" i="8"/>
  <c r="I12" i="8"/>
  <c r="A13" i="8"/>
  <c r="D13" i="8"/>
  <c r="I13" i="8"/>
  <c r="A14" i="8"/>
  <c r="D14" i="8"/>
  <c r="I14" i="8"/>
  <c r="J14" i="8" s="1"/>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s="1"/>
  <c r="T70" i="4"/>
  <c r="H70" i="13"/>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c r="C77" i="4"/>
  <c r="B77" i="13" s="1"/>
  <c r="C96" i="4"/>
  <c r="B96" i="13" s="1"/>
  <c r="B104" i="13"/>
  <c r="D8" i="4"/>
  <c r="D11" i="4"/>
  <c r="D26" i="4"/>
  <c r="D38" i="4"/>
  <c r="D42" i="4"/>
  <c r="D54" i="4"/>
  <c r="B54" i="4" s="1"/>
  <c r="D62" i="4"/>
  <c r="D77" i="4"/>
  <c r="D96" i="4"/>
  <c r="D104" i="4"/>
  <c r="B104" i="4" s="1"/>
  <c r="AO637" i="3"/>
  <c r="E26" i="13"/>
  <c r="S38" i="4"/>
  <c r="E38" i="13" s="1"/>
  <c r="S42" i="4"/>
  <c r="E42" i="13" s="1"/>
  <c r="S54" i="4"/>
  <c r="E54" i="13" s="1"/>
  <c r="S96" i="4"/>
  <c r="E96" i="13"/>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3" i="4" s="1"/>
  <c r="J97" i="4" s="1"/>
  <c r="J105" i="4" s="1"/>
  <c r="J62" i="4"/>
  <c r="J70" i="4"/>
  <c r="J77" i="4"/>
  <c r="J96" i="4"/>
  <c r="J104" i="4"/>
  <c r="K8" i="4"/>
  <c r="K12" i="4" s="1"/>
  <c r="K11" i="4"/>
  <c r="L8" i="4"/>
  <c r="L11" i="4"/>
  <c r="M8" i="4"/>
  <c r="M11" i="4"/>
  <c r="N8" i="4"/>
  <c r="O8" i="4"/>
  <c r="Q8" i="4"/>
  <c r="Q11" i="4"/>
  <c r="B9" i="4"/>
  <c r="B10" i="4"/>
  <c r="E11" i="4"/>
  <c r="F11" i="4"/>
  <c r="F26" i="4"/>
  <c r="F38" i="4"/>
  <c r="F42" i="4"/>
  <c r="F63" i="4" s="1"/>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AH720" i="3"/>
  <c r="I63" i="13"/>
  <c r="I97" i="13"/>
  <c r="I105" i="13"/>
  <c r="I107" i="13"/>
  <c r="B81" i="13"/>
  <c r="D53" i="11"/>
  <c r="J63" i="13"/>
  <c r="J97" i="13"/>
  <c r="J105" i="13"/>
  <c r="J107" i="13"/>
  <c r="L12" i="4"/>
  <c r="D48" i="11"/>
  <c r="AH715" i="3"/>
  <c r="AH718" i="3"/>
  <c r="D93" i="11"/>
  <c r="D5" i="11"/>
  <c r="D70" i="11"/>
  <c r="D52" i="11"/>
  <c r="I12" i="4"/>
  <c r="D46" i="11"/>
  <c r="Q12" i="4"/>
  <c r="B11" i="4"/>
  <c r="B8" i="4"/>
  <c r="N158" i="26" s="1"/>
  <c r="D36" i="11"/>
  <c r="G63" i="13"/>
  <c r="G97" i="13" s="1"/>
  <c r="G105" i="13" s="1"/>
  <c r="G107" i="13" s="1"/>
  <c r="D61" i="11"/>
  <c r="D57" i="11"/>
  <c r="D8" i="11"/>
  <c r="D85" i="11"/>
  <c r="B43" i="11"/>
  <c r="D94" i="11"/>
  <c r="C12" i="13"/>
  <c r="B78" i="11"/>
  <c r="D7" i="11"/>
  <c r="J12" i="4"/>
  <c r="D22" i="11"/>
  <c r="O12" i="4"/>
  <c r="I63" i="4"/>
  <c r="I97" i="4" s="1"/>
  <c r="I105" i="4" s="1"/>
  <c r="D95" i="11"/>
  <c r="D25" i="11"/>
  <c r="B11" i="13"/>
  <c r="D12" i="4"/>
  <c r="R77" i="4"/>
  <c r="H12" i="4"/>
  <c r="D23" i="11"/>
  <c r="D19" i="11"/>
  <c r="D89" i="11"/>
  <c r="D73" i="11"/>
  <c r="D35" i="11"/>
  <c r="D32" i="11"/>
  <c r="D15" i="11"/>
  <c r="D14" i="11"/>
  <c r="D87" i="11"/>
  <c r="N63" i="4"/>
  <c r="N12" i="4"/>
  <c r="F12" i="4"/>
  <c r="M12" i="4"/>
  <c r="R8" i="4"/>
  <c r="R12" i="4" s="1"/>
  <c r="D84" i="11"/>
  <c r="D74" i="11"/>
  <c r="D38" i="11"/>
  <c r="R42" i="4"/>
  <c r="B38" i="4"/>
  <c r="C9" i="11"/>
  <c r="D58" i="11"/>
  <c r="D24" i="11"/>
  <c r="D101" i="11"/>
  <c r="D66" i="11"/>
  <c r="C63" i="13"/>
  <c r="C97" i="13" s="1"/>
  <c r="C105" i="13" s="1"/>
  <c r="D92" i="11"/>
  <c r="D75" i="11"/>
  <c r="D28" i="11"/>
  <c r="D103" i="11"/>
  <c r="D88" i="11"/>
  <c r="D21" i="11"/>
  <c r="D16" i="11"/>
  <c r="AH719" i="3"/>
  <c r="AH717" i="3"/>
  <c r="AH716" i="3"/>
  <c r="AH714" i="3"/>
  <c r="AD199" i="20"/>
  <c r="B42" i="4"/>
  <c r="D77" i="11"/>
  <c r="D47" i="11"/>
  <c r="C71" i="11"/>
  <c r="M63" i="4"/>
  <c r="R104" i="4"/>
  <c r="D91" i="11"/>
  <c r="D41" i="11"/>
  <c r="C12" i="11"/>
  <c r="B62" i="4"/>
  <c r="AD7" i="15"/>
  <c r="G40" i="7"/>
  <c r="G43" i="7" s="1"/>
  <c r="AG40" i="7"/>
  <c r="AG43" i="7" s="1"/>
  <c r="K28" i="7"/>
  <c r="O28" i="7"/>
  <c r="I28" i="7"/>
  <c r="W28" i="7"/>
  <c r="S28" i="7"/>
  <c r="Y28" i="7"/>
  <c r="AC28" i="7"/>
  <c r="AG28" i="7"/>
  <c r="M28" i="7"/>
  <c r="G28" i="7"/>
  <c r="AA28" i="7"/>
  <c r="Q28" i="7"/>
  <c r="U28" i="7"/>
  <c r="D104" i="11"/>
  <c r="B96" i="4"/>
  <c r="D11" i="11"/>
  <c r="C12" i="4"/>
  <c r="B12" i="13" s="1"/>
  <c r="D30" i="8"/>
  <c r="D96" i="11"/>
  <c r="AB223" i="20"/>
  <c r="AB239" i="20" s="1"/>
  <c r="AB241" i="20" s="1"/>
  <c r="AB243" i="20" s="1"/>
  <c r="AB249" i="20" s="1"/>
  <c r="AD198" i="20" s="1"/>
  <c r="S63" i="4" l="1"/>
  <c r="E63" i="13" s="1"/>
  <c r="G58" i="7"/>
  <c r="K53" i="7"/>
  <c r="I58" i="7"/>
  <c r="AK172" i="20"/>
  <c r="R96" i="4"/>
  <c r="B97" i="11"/>
  <c r="R81" i="4"/>
  <c r="D80" i="11"/>
  <c r="C82" i="11"/>
  <c r="D82" i="11" s="1"/>
  <c r="B55" i="11"/>
  <c r="B63" i="11"/>
  <c r="Q63" i="4"/>
  <c r="R62" i="4"/>
  <c r="Q97" i="4"/>
  <c r="Q105" i="4" s="1"/>
  <c r="F97" i="4"/>
  <c r="F105" i="4" s="1"/>
  <c r="B71" i="11"/>
  <c r="M97" i="4"/>
  <c r="M105" i="4" s="1"/>
  <c r="R70" i="4"/>
  <c r="G63" i="4"/>
  <c r="G97" i="4" s="1"/>
  <c r="G105" i="4" s="1"/>
  <c r="D43" i="11"/>
  <c r="H63" i="4"/>
  <c r="H97" i="4" s="1"/>
  <c r="H105" i="4" s="1"/>
  <c r="S97" i="4"/>
  <c r="D71" i="11"/>
  <c r="D55" i="11"/>
  <c r="D42" i="11"/>
  <c r="D50" i="11"/>
  <c r="D97" i="11"/>
  <c r="C78" i="11"/>
  <c r="D78" i="11" s="1"/>
  <c r="D10" i="11"/>
  <c r="D49" i="11"/>
  <c r="D20" i="11"/>
  <c r="R26" i="4"/>
  <c r="R63" i="4" s="1"/>
  <c r="R97" i="4" s="1"/>
  <c r="R105" i="4" s="1"/>
  <c r="R38" i="4"/>
  <c r="T63" i="4"/>
  <c r="D100" i="11"/>
  <c r="N164" i="26"/>
  <c r="B77" i="4"/>
  <c r="O63" i="4"/>
  <c r="O97" i="4" s="1"/>
  <c r="O105" i="4" s="1"/>
  <c r="P63" i="4"/>
  <c r="P97" i="4" s="1"/>
  <c r="P105" i="4" s="1"/>
  <c r="L63" i="4"/>
  <c r="L97" i="4" s="1"/>
  <c r="L105" i="4" s="1"/>
  <c r="B105" i="11"/>
  <c r="D105" i="11" s="1"/>
  <c r="D12" i="13"/>
  <c r="N97" i="4"/>
  <c r="N105" i="4" s="1"/>
  <c r="B9" i="11"/>
  <c r="B13" i="11" s="1"/>
  <c r="D13" i="11" s="1"/>
  <c r="D63" i="4"/>
  <c r="D97" i="4" s="1"/>
  <c r="D105" i="4" s="1"/>
  <c r="AD200" i="20"/>
  <c r="K63" i="4"/>
  <c r="K97" i="4" s="1"/>
  <c r="K105" i="4" s="1"/>
  <c r="B39" i="11"/>
  <c r="C63" i="11"/>
  <c r="D63" i="11" s="1"/>
  <c r="D12" i="11"/>
  <c r="G12" i="4"/>
  <c r="AB48" i="15"/>
  <c r="D86" i="11"/>
  <c r="C39" i="11"/>
  <c r="C13" i="11"/>
  <c r="C27" i="11"/>
  <c r="E63" i="4"/>
  <c r="E97" i="4" s="1"/>
  <c r="E105" i="4" s="1"/>
  <c r="D9" i="11"/>
  <c r="B63" i="4"/>
  <c r="C63" i="4"/>
  <c r="C97" i="4" s="1"/>
  <c r="C105" i="4" s="1"/>
  <c r="B64" i="11"/>
  <c r="B12" i="4"/>
  <c r="AZ835" i="3"/>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K58" i="7" l="1"/>
  <c r="M53" i="7"/>
  <c r="AS349" i="20"/>
  <c r="B98" i="11"/>
  <c r="B106" i="11" s="1"/>
  <c r="H63" i="13"/>
  <c r="T97" i="4"/>
  <c r="D39" i="11"/>
  <c r="E97" i="13"/>
  <c r="S105" i="4"/>
  <c r="C64" i="11"/>
  <c r="D64" i="11" s="1"/>
  <c r="B63" i="13"/>
  <c r="AC869" i="3"/>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AW116" i="20" s="1"/>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C98" i="11" l="1"/>
  <c r="M58" i="7"/>
  <c r="O53" i="7"/>
  <c r="T105" i="4"/>
  <c r="H97" i="13"/>
  <c r="E105" i="13"/>
  <c r="S107" i="4"/>
  <c r="AB47" i="15"/>
  <c r="AB49" i="15" s="1"/>
  <c r="AB54" i="15" s="1"/>
  <c r="AB55" i="15" s="1"/>
  <c r="N154" i="26"/>
  <c r="O30" i="21"/>
  <c r="P30" i="21" s="1" a="1"/>
  <c r="P30" i="21" s="1"/>
  <c r="R30" i="21" s="1"/>
  <c r="O29" i="21"/>
  <c r="P29" i="21" s="1" a="1"/>
  <c r="P29" i="21" s="1"/>
  <c r="R29" i="21" s="1"/>
  <c r="O23" i="21"/>
  <c r="P23" i="21" s="1" a="1"/>
  <c r="P23" i="21" s="1"/>
  <c r="R23" i="21" s="1"/>
  <c r="O31" i="21"/>
  <c r="P31" i="21" s="1" a="1"/>
  <c r="P31" i="21" s="1"/>
  <c r="R31" i="21" s="1"/>
  <c r="O28" i="21"/>
  <c r="P28" i="21" s="1" a="1"/>
  <c r="P28" i="21" s="1"/>
  <c r="R28" i="21" s="1"/>
  <c r="O33" i="21"/>
  <c r="P33" i="21" s="1" a="1"/>
  <c r="P33" i="21" s="1"/>
  <c r="R33" i="21" s="1"/>
  <c r="O26" i="21"/>
  <c r="P26" i="21" s="1" a="1"/>
  <c r="P26" i="21" s="1"/>
  <c r="R26" i="21" s="1"/>
  <c r="O24" i="21"/>
  <c r="P24" i="21" s="1" a="1"/>
  <c r="P24" i="21" s="1"/>
  <c r="R24" i="21" s="1"/>
  <c r="O25" i="21"/>
  <c r="P25" i="21" s="1" a="1"/>
  <c r="P25" i="21" s="1"/>
  <c r="R25" i="21" s="1"/>
  <c r="O21" i="21"/>
  <c r="P21" i="21" s="1" a="1"/>
  <c r="P21" i="21" s="1"/>
  <c r="R21" i="21" s="1"/>
  <c r="O32" i="21"/>
  <c r="P32" i="21" s="1" a="1"/>
  <c r="P32" i="21" s="1"/>
  <c r="R32" i="21" s="1"/>
  <c r="O27" i="21"/>
  <c r="P27" i="21" s="1" a="1"/>
  <c r="P27" i="21" s="1"/>
  <c r="R27" i="21" s="1"/>
  <c r="O22" i="21"/>
  <c r="P22" i="21" s="1" a="1"/>
  <c r="P22" i="21" s="1"/>
  <c r="R22"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E107" i="13"/>
  <c r="H105" i="13"/>
  <c r="T107" i="4"/>
  <c r="H107" i="13" s="1"/>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AD11" i="15"/>
  <c r="AD23" i="15" s="1"/>
  <c r="AD26" i="15" s="1"/>
  <c r="AD28" i="15" s="1"/>
  <c r="AI11" i="15"/>
  <c r="AI23" i="15" s="1"/>
  <c r="AI26" i="15" s="1"/>
  <c r="AI28" i="15" s="1"/>
  <c r="T11" i="15"/>
  <c r="T23" i="15" s="1"/>
  <c r="Y11" i="15"/>
  <c r="Y23" i="15" s="1"/>
  <c r="Y26" i="15" s="1"/>
  <c r="Y28" i="15" s="1"/>
  <c r="AC455" i="3"/>
  <c r="AF540" i="20"/>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T26" i="15"/>
  <c r="T28" i="15" s="1"/>
  <c r="T29" i="15" s="1"/>
  <c r="Y64" i="15"/>
  <c r="Y68" i="15" s="1"/>
  <c r="K5" i="7"/>
  <c r="E47" i="7"/>
  <c r="E60" i="7"/>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E66" i="7"/>
  <c r="E62" i="7"/>
  <c r="E67" i="7"/>
  <c r="W53" i="7"/>
  <c r="U58" i="7"/>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<sst xmlns="http://schemas.openxmlformats.org/spreadsheetml/2006/main" count="5286" uniqueCount="2785">
  <si>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</si>
  <si>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</si>
  <si>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</si>
  <si>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</si>
  <si>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</si>
  <si>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</si>
  <si>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</si>
  <si>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</si>
  <si>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</si>
  <si>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</si>
  <si>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</si>
  <si>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</si>
  <si>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</si>
  <si>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</si>
  <si>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</si>
  <si>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</si>
  <si>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</si>
  <si>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</si>
  <si>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</si>
  <si>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</si>
  <si>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</si>
  <si>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</si>
  <si>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</si>
  <si>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</si>
  <si>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</si>
  <si>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</si>
  <si>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</si>
  <si>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</si>
  <si>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</si>
  <si>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</si>
  <si>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</si>
  <si>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</si>
  <si>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</si>
  <si>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</si>
  <si>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</si>
  <si>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</si>
  <si>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</si>
  <si>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</si>
  <si>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</si>
  <si>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</si>
  <si>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</si>
  <si>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</si>
  <si>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</si>
  <si>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</si>
  <si>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</si>
  <si>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</si>
  <si>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</si>
  <si>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</si>
  <si>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</si>
  <si>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</si>
  <si>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</si>
  <si>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</si>
  <si>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</si>
  <si>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</si>
  <si>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</si>
  <si>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</si>
  <si>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</si>
  <si>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</si>
  <si>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</si>
  <si>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</si>
  <si>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</si>
  <si>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</si>
  <si>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</si>
  <si>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</si>
  <si>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</si>
  <si>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</si>
  <si>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</si>
  <si>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</si>
  <si>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</si>
  <si>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</si>
  <si>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</si>
  <si>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</si>
  <si>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</si>
  <si>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</si>
  <si>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</si>
  <si>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</si>
  <si>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</si>
  <si>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</si>
  <si>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</si>
  <si>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</si>
  <si>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</si>
  <si>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</si>
  <si>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</si>
  <si>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</si>
  <si>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</si>
  <si>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</si>
  <si>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</si>
  <si>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</si>
  <si>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</si>
  <si>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</si>
  <si>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</si>
  <si>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</si>
  <si>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</si>
  <si>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</si>
  <si>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</si>
  <si>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</si>
  <si>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</si>
  <si>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</si>
  <si>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</si>
  <si>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</si>
  <si>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</si>
  <si>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</si>
  <si>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</si>
  <si>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</si>
  <si>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</si>
  <si>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</si>
  <si>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</si>
  <si>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</si>
  <si>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</si>
  <si>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</si>
  <si>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</si>
  <si>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</si>
  <si>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</si>
  <si>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</si>
  <si>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</si>
  <si>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</si>
  <si>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</si>
  <si>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</si>
  <si>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</si>
  <si>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</si>
  <si>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</si>
  <si>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</si>
  <si>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</si>
  <si>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</si>
  <si>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</si>
  <si>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</si>
  <si>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</si>
  <si>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</si>
  <si>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</si>
  <si>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</si>
  <si>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</si>
  <si>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</si>
  <si>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</si>
  <si>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</si>
  <si>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</si>
  <si>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</si>
  <si>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</si>
  <si>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</si>
  <si>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</si>
  <si>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</si>
  <si>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</si>
  <si>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</si>
  <si>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</si>
  <si>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</si>
  <si>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</si>
  <si>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</si>
  <si>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</si>
  <si>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</si>
  <si>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</si>
  <si>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</si>
  <si>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</si>
  <si>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</si>
  <si>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</si>
  <si>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</si>
  <si>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</si>
  <si>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</si>
  <si>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</si>
  <si>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</si>
  <si>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</si>
  <si>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</si>
  <si>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</si>
  <si>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</si>
  <si>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</si>
  <si>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</si>
  <si>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</si>
  <si>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</si>
  <si>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</si>
  <si>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</si>
  <si>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</si>
  <si>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</si>
  <si>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</si>
  <si>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</si>
  <si>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</si>
  <si>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</si>
  <si>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</si>
  <si>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</si>
  <si>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</si>
  <si>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</si>
  <si>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</si>
  <si>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</si>
  <si>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</si>
  <si>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</si>
  <si>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</si>
  <si>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</si>
  <si>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</si>
  <si>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</si>
  <si>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</si>
  <si>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</si>
  <si>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</si>
  <si>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</si>
  <si>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</si>
  <si>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</si>
  <si>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</si>
  <si>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</si>
  <si>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</si>
  <si>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</si>
  <si>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</si>
  <si>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</si>
  <si>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</si>
  <si>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</si>
  <si>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</si>
  <si>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</si>
  <si>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</si>
  <si>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</si>
  <si>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</si>
  <si>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</si>
  <si>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</si>
  <si>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</si>
  <si>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</si>
  <si>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</si>
  <si>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</si>
  <si>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</si>
  <si>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</si>
  <si>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</si>
  <si>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</si>
  <si>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</si>
  <si>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</si>
  <si>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</si>
  <si>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</si>
  <si>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</si>
  <si>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</si>
  <si>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</si>
  <si>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</si>
  <si>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</si>
  <si>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</si>
  <si>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</si>
  <si>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</si>
  <si>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</si>
  <si>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</si>
  <si>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</si>
  <si>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</si>
  <si>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</si>
  <si>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</si>
  <si>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</si>
  <si>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</si>
  <si>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</si>
  <si>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</si>
  <si>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</si>
  <si>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</si>
  <si>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</si>
  <si>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</si>
  <si>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</si>
  <si>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</si>
  <si>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</si>
  <si>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</si>
  <si>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</si>
  <si>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</si>
  <si>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</si>
  <si>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</si>
  <si>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</si>
  <si>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</si>
  <si>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</si>
  <si>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</si>
  <si>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</si>
  <si>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</si>
  <si>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</si>
  <si>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</si>
  <si>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</si>
  <si>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</si>
  <si>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</si>
  <si>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</si>
  <si>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</si>
  <si>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</si>
  <si>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</si>
  <si>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</si>
  <si>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</si>
  <si>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</si>
  <si>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</si>
  <si>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</si>
  <si>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</si>
  <si>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</si>
  <si>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</si>
  <si>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</si>
  <si>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</si>
  <si>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</si>
  <si>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</si>
  <si>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</si>
  <si>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</si>
  <si>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</si>
  <si>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</si>
  <si>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</si>
  <si>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</si>
  <si>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</si>
  <si>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</si>
  <si>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</si>
  <si>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</si>
  <si>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</si>
  <si>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</si>
  <si>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</si>
  <si>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</si>
  <si>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</si>
  <si>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</si>
  <si>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</si>
  <si>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</si>
  <si>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</si>
  <si>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</si>
  <si>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</si>
  <si>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</si>
  <si>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</si>
  <si>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</si>
  <si>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</si>
  <si>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</si>
  <si>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</si>
  <si>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</si>
  <si>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</si>
  <si>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</si>
  <si>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</si>
  <si>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</si>
  <si>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</si>
  <si>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</si>
  <si>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</si>
  <si>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</si>
  <si>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</si>
  <si>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</si>
  <si>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</si>
  <si>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</si>
  <si>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</si>
  <si>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</si>
  <si>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</si>
  <si>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</si>
  <si>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</si>
  <si>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</si>
  <si>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</si>
  <si>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</si>
  <si>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</si>
  <si>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</si>
  <si>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</si>
  <si>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</si>
  <si>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</si>
  <si>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</si>
  <si>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</si>
  <si>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</si>
  <si>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</si>
  <si>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</si>
  <si>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</si>
  <si>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</si>
  <si>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</si>
  <si>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</si>
  <si>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</si>
  <si>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</si>
  <si>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</si>
  <si>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</si>
  <si>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</si>
  <si>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</si>
  <si>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</si>
  <si>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</si>
  <si>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</si>
  <si>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</si>
  <si>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</si>
  <si>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</si>
  <si>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</si>
  <si>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</si>
  <si>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</si>
  <si>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</si>
  <si>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</si>
  <si>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</si>
  <si>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</si>
  <si>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</si>
  <si>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</si>
  <si>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</si>
  <si>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</si>
  <si>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</si>
  <si>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</si>
  <si>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</si>
  <si>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</si>
  <si>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</si>
  <si>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</si>
  <si>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</si>
  <si>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</si>
  <si>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</si>
  <si>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</si>
  <si>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</si>
  <si>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</si>
  <si>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</si>
  <si>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</si>
  <si>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</si>
  <si>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</si>
  <si>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</si>
  <si>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</si>
  <si>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</si>
  <si>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</si>
  <si>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</si>
  <si>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</si>
  <si>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</si>
  <si>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</si>
  <si>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</si>
  <si>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</si>
  <si>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</si>
  <si>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</si>
  <si>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</si>
  <si>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</si>
  <si>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</si>
  <si>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</si>
  <si>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</si>
  <si>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</si>
  <si>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</si>
  <si>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</si>
  <si>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</si>
  <si>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</si>
  <si>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</si>
  <si>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</si>
  <si>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</si>
  <si>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</si>
  <si>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</si>
  <si>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</si>
  <si>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</si>
  <si>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</si>
  <si>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</si>
  <si>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</si>
  <si>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</si>
  <si>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</si>
  <si>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</si>
  <si>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</si>
  <si>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</si>
  <si>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</si>
  <si>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</si>
  <si>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</si>
  <si>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</si>
  <si>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</si>
  <si>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</si>
  <si>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</si>
  <si>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</si>
  <si>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</si>
  <si>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</si>
  <si>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</si>
  <si>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</si>
  <si>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</si>
  <si>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</si>
  <si>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</si>
  <si>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</si>
  <si>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</si>
  <si>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</si>
  <si>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</si>
  <si>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</si>
  <si>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</si>
  <si>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</si>
  <si>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</si>
  <si>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</si>
  <si>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</si>
  <si>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</si>
  <si>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</si>
  <si>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</si>
  <si>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</si>
  <si>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</si>
  <si>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</si>
  <si>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</si>
  <si>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</si>
  <si>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</si>
  <si>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</si>
  <si>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</si>
  <si>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</si>
  <si>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</si>
  <si>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</si>
  <si>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</si>
  <si>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</si>
  <si>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</si>
  <si>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</si>
  <si>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</si>
  <si>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</si>
  <si>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</si>
  <si>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</si>
  <si>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</si>
  <si>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</si>
  <si>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</si>
  <si>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</si>
  <si>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</si>
  <si>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</si>
  <si>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</si>
  <si>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</si>
  <si>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</si>
  <si>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</si>
  <si>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</si>
  <si>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</si>
  <si>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</si>
  <si>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</si>
  <si>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</si>
  <si>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</si>
  <si>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</si>
  <si>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</si>
  <si>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</si>
  <si>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</si>
  <si>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</si>
  <si>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</si>
  <si>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</si>
  <si>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</si>
  <si>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</si>
  <si>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</si>
  <si>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</si>
  <si>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</si>
  <si>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</si>
  <si>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</si>
  <si>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</si>
  <si>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</si>
  <si>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</si>
  <si>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</si>
  <si>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</si>
  <si>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</si>
  <si>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</si>
  <si>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</si>
  <si>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</si>
  <si>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</si>
  <si>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</si>
  <si>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</si>
  <si>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</si>
  <si>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</si>
  <si>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</si>
  <si>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</si>
  <si>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</si>
  <si>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</si>
  <si>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</si>
  <si>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</si>
  <si>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</si>
  <si>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</si>
  <si>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</si>
  <si>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</si>
  <si>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</si>
  <si>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</si>
  <si>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</si>
  <si>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</si>
  <si>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</si>
  <si>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</si>
  <si>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</si>
  <si>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</si>
  <si>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</si>
  <si>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</si>
  <si>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</si>
  <si>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</si>
  <si>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</si>
  <si>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</si>
  <si>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</si>
  <si>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</si>
  <si>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</si>
  <si>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</si>
  <si>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</si>
  <si>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</si>
  <si>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</si>
  <si>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</si>
  <si>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</si>
  <si>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</si>
  <si>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</si>
  <si>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</si>
  <si>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</si>
  <si>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</si>
  <si>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</si>
  <si>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</si>
  <si>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</si>
  <si>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</si>
  <si>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</si>
  <si>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</si>
  <si>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</si>
  <si>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</si>
  <si>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</si>
  <si>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</si>
  <si>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</si>
  <si>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</si>
  <si>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</si>
  <si>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</si>
  <si>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</si>
  <si>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</si>
  <si>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</si>
  <si>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</si>
  <si>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</si>
  <si>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</si>
  <si>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</si>
  <si>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</si>
  <si>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</si>
  <si>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</si>
  <si>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</si>
  <si>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</si>
  <si>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</si>
  <si>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</si>
  <si>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</si>
  <si>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</si>
  <si>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</si>
  <si>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</si>
  <si>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</si>
  <si>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</si>
  <si>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</si>
  <si>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</si>
  <si>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</si>
  <si>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</si>
  <si>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</si>
  <si>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</si>
  <si>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</si>
  <si>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</si>
  <si>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</si>
  <si>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</si>
  <si>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</si>
  <si>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</si>
  <si>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</si>
  <si>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</si>
  <si>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</si>
  <si>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</si>
  <si>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</si>
  <si>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</si>
  <si>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</si>
  <si>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</si>
  <si>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</si>
  <si>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</si>
  <si>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</si>
  <si>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</si>
  <si>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</si>
  <si>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</si>
  <si>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</si>
  <si>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</si>
  <si>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</si>
  <si>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</si>
  <si>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</si>
  <si>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</si>
  <si>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</si>
  <si>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</si>
  <si>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</si>
  <si>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</si>
  <si>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</si>
  <si>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</si>
  <si>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</si>
  <si>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</si>
  <si>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</si>
  <si>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</si>
  <si>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</si>
  <si>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</si>
  <si>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</si>
  <si>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</si>
  <si>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</si>
  <si>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</si>
  <si>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</si>
  <si>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</si>
  <si>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</si>
  <si>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</si>
  <si>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</si>
  <si>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</si>
  <si>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</si>
  <si>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</si>
  <si>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</si>
  <si>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</si>
  <si>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</si>
  <si>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</si>
  <si>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</si>
  <si>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</si>
  <si>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</si>
  <si>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</si>
  <si>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</si>
  <si>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</si>
  <si>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</si>
  <si>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</si>
  <si>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</si>
  <si>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</si>
  <si>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</si>
  <si>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</si>
  <si>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</si>
  <si>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</si>
  <si>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</si>
  <si>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</si>
  <si>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</si>
  <si>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</si>
  <si>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</si>
  <si>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</si>
  <si>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</si>
  <si>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</si>
  <si>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</si>
  <si>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</si>
  <si>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</si>
  <si>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</si>
  <si>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</si>
  <si>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</si>
  <si>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</si>
  <si>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</si>
  <si>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</si>
  <si>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</si>
  <si>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</si>
  <si>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</si>
  <si>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</si>
  <si>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</si>
  <si>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</si>
  <si>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</si>
  <si>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</si>
  <si>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</si>
  <si>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</si>
  <si>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</si>
  <si>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</si>
  <si>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</si>
  <si>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</si>
  <si>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</si>
  <si>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</si>
  <si>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</si>
  <si>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</si>
  <si>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</si>
  <si>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</si>
  <si>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</si>
  <si>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</si>
  <si>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</si>
  <si>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</si>
  <si>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</si>
  <si>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</si>
  <si>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</si>
  <si>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</si>
  <si>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</si>
  <si>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</si>
  <si>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</si>
  <si>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</si>
  <si>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</si>
  <si>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</si>
  <si>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</si>
  <si>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</si>
  <si>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</si>
  <si>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</si>
  <si>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</si>
  <si>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</si>
  <si>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</si>
  <si>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</si>
  <si>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</si>
  <si>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</si>
  <si>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</si>
  <si>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</si>
  <si>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</si>
  <si>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</si>
  <si>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</si>
  <si>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</si>
  <si>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</si>
  <si>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</si>
  <si>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</si>
  <si>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</si>
  <si>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</si>
  <si>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</si>
  <si>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</si>
  <si>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</si>
  <si>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</si>
  <si>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</si>
  <si>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</si>
  <si>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</si>
  <si>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</si>
  <si>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</si>
  <si>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</si>
  <si>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</si>
  <si>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</si>
  <si>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</si>
  <si>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</si>
  <si>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</si>
  <si>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</si>
  <si>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</si>
  <si>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</si>
  <si>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</si>
  <si>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</si>
  <si>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</si>
  <si>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</si>
  <si>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</si>
  <si>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</si>
  <si>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</si>
  <si>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</si>
  <si>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</si>
  <si>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</si>
  <si>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</si>
  <si>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</si>
  <si>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</si>
  <si>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</si>
  <si>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</si>
  <si>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</si>
  <si>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</si>
  <si>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</si>
  <si>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</si>
  <si>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</si>
  <si>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</si>
  <si>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</si>
  <si>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</si>
  <si>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</si>
  <si>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</si>
  <si>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</si>
  <si>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</si>
  <si>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</si>
  <si>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</si>
  <si>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</si>
  <si>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</si>
  <si>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</si>
  <si>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</si>
  <si>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</si>
  <si>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</si>
  <si>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</si>
  <si>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</si>
  <si>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</si>
  <si>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</si>
  <si>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</si>
  <si>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</si>
  <si>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</si>
  <si>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</si>
  <si>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</si>
  <si>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</si>
  <si>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</si>
  <si>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</si>
  <si>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</si>
  <si>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</si>
  <si>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</si>
  <si>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</si>
  <si>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</si>
  <si>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</si>
  <si>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</si>
  <si>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</si>
  <si>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</si>
  <si>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</si>
  <si>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</si>
  <si>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</si>
  <si>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</si>
  <si>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</si>
  <si>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</si>
  <si>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</si>
  <si>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</si>
  <si>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</si>
  <si>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</si>
  <si>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</si>
  <si>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</si>
  <si>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</si>
  <si>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</si>
  <si>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</si>
  <si>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</si>
  <si>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</si>
  <si>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</si>
  <si>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</si>
  <si>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</si>
  <si>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</si>
  <si>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</si>
  <si>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</si>
  <si>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</si>
  <si>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</si>
  <si>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</si>
  <si>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</si>
  <si>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</si>
  <si>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</si>
  <si>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</si>
  <si>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</si>
  <si>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</si>
  <si>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</si>
  <si>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</si>
  <si>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</si>
  <si>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</si>
  <si>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</si>
  <si>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</si>
  <si>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</si>
  <si>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</si>
  <si>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</si>
  <si>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</si>
  <si>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</si>
  <si>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</si>
  <si>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</si>
  <si>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</si>
  <si>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</si>
  <si>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</si>
  <si>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</si>
  <si>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</si>
  <si>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</si>
  <si>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</si>
  <si>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</si>
  <si>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</si>
  <si>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</si>
  <si>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</si>
  <si>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</si>
  <si>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</si>
  <si>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</si>
  <si>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</si>
  <si>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</si>
  <si>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</si>
  <si>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</si>
  <si>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</si>
  <si>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</si>
  <si>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</si>
  <si>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</si>
  <si>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</si>
  <si>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</si>
  <si>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</si>
  <si>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</si>
  <si>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</si>
  <si>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</si>
  <si>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</si>
  <si>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</si>
  <si>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</si>
  <si>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</si>
  <si>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</si>
  <si>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</si>
  <si>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</si>
  <si>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</si>
  <si>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</si>
  <si>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</si>
  <si>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</si>
  <si>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</si>
  <si>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</si>
  <si>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</si>
  <si>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</si>
  <si>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</si>
  <si>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</si>
  <si>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</si>
  <si>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</si>
  <si>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</si>
  <si>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</si>
  <si>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</si>
  <si>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</si>
  <si>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</si>
  <si>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</si>
  <si>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</si>
  <si>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</si>
  <si>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</si>
  <si>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</si>
  <si>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</si>
  <si>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</si>
  <si>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</si>
  <si>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</si>
  <si>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</si>
  <si>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</si>
  <si>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</si>
  <si>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</si>
  <si>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</si>
  <si>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</si>
  <si>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</si>
  <si>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</si>
  <si>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</si>
  <si>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</si>
  <si>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</si>
  <si>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</si>
  <si>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</si>
  <si>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</si>
  <si>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</si>
  <si>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</si>
  <si>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</si>
  <si>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</si>
  <si>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</si>
  <si>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</si>
  <si>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</si>
  <si>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</si>
  <si>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</si>
  <si>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</si>
  <si>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</si>
  <si>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</si>
  <si>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</si>
  <si>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</si>
  <si>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</si>
  <si>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</si>
  <si>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</si>
  <si>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</si>
  <si>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</si>
  <si>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</si>
  <si>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</si>
  <si>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</si>
  <si>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</si>
  <si>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</si>
  <si>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</si>
  <si>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</si>
  <si>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</si>
  <si>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</si>
  <si>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</si>
  <si>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</si>
  <si>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</si>
  <si>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</si>
  <si>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</si>
  <si>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</si>
  <si>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</si>
  <si>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</si>
  <si>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</si>
  <si>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</si>
  <si>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</si>
  <si>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</si>
  <si>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</si>
  <si>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</si>
  <si>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</si>
  <si>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</si>
  <si>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</si>
  <si>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</si>
  <si>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</si>
  <si>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</si>
  <si>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</si>
  <si>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</si>
  <si>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</si>
  <si>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</si>
  <si>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</si>
  <si>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</si>
  <si>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</si>
  <si>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</si>
  <si>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</si>
  <si>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</si>
  <si>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</si>
  <si>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</si>
  <si>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</si>
  <si>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</si>
  <si>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</si>
  <si>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</si>
  <si>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</si>
  <si>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</si>
  <si>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</si>
  <si>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</si>
  <si>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</si>
  <si>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</si>
  <si>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</si>
  <si>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</si>
  <si>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</si>
  <si>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</si>
  <si>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</si>
  <si>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</si>
  <si>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</si>
  <si>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</si>
  <si>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</si>
  <si>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</si>
  <si>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</si>
  <si>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</si>
  <si>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</si>
  <si>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</si>
  <si>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</si>
  <si>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</si>
  <si>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</si>
  <si>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</si>
  <si>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</si>
  <si>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</si>
  <si>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</si>
  <si>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</si>
  <si>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</si>
  <si>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</si>
  <si>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</si>
  <si>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</si>
  <si>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</si>
  <si>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</si>
  <si>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</si>
  <si>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</si>
  <si>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</si>
  <si>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</si>
  <si>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</si>
  <si>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</si>
  <si>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</si>
  <si>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</si>
  <si>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</si>
  <si>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</si>
  <si>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</si>
  <si>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</si>
  <si>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</si>
  <si>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</si>
  <si>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</si>
  <si>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</si>
  <si>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</si>
  <si>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</si>
  <si>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</si>
  <si>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</si>
  <si>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</si>
  <si>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</si>
  <si>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</si>
  <si>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</si>
  <si>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</si>
  <si>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</si>
  <si>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</si>
  <si>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</si>
  <si>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</si>
  <si>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</si>
  <si>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</si>
  <si>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</si>
  <si>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</si>
  <si>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</si>
  <si>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</si>
  <si>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</si>
  <si>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</si>
  <si>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</si>
  <si>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</si>
  <si>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</si>
  <si>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</si>
  <si>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</si>
  <si>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</si>
  <si>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</si>
  <si>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</si>
  <si>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</si>
  <si>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</si>
  <si>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</si>
  <si>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</si>
  <si>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</si>
  <si>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</si>
  <si>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</si>
  <si>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</si>
  <si>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</si>
  <si>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</si>
  <si>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</si>
  <si>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</si>
  <si>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</si>
  <si>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</si>
  <si>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</si>
  <si>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</si>
  <si>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</si>
  <si>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</si>
  <si>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</si>
  <si>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</si>
  <si>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</si>
  <si>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</si>
  <si>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</si>
  <si>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</si>
  <si>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</si>
  <si>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</si>
  <si>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</si>
  <si>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</si>
  <si>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</si>
  <si>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</si>
  <si>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</si>
  <si>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</si>
  <si>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</si>
  <si>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</si>
  <si>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</si>
  <si>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</si>
  <si>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</si>
  <si>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</si>
  <si>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</si>
  <si>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</si>
  <si>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</si>
  <si>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</si>
  <si>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</si>
  <si>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</si>
  <si>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</si>
  <si>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</si>
  <si>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</si>
  <si>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</si>
  <si>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</si>
  <si>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</si>
  <si>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</si>
  <si>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</si>
  <si>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</si>
  <si>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</si>
  <si>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</si>
  <si>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</si>
  <si>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</si>
  <si>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</si>
  <si>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</si>
  <si>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</si>
  <si>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</si>
  <si>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</si>
  <si>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</si>
  <si>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</si>
  <si>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</si>
  <si>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</si>
  <si>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</si>
  <si>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</si>
  <si>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</si>
  <si>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</si>
  <si>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</si>
  <si>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</si>
  <si>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</si>
  <si>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</si>
  <si>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</si>
  <si>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</si>
  <si>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</si>
  <si>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</si>
  <si>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</si>
  <si>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</si>
  <si>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</si>
  <si>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</si>
  <si>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</si>
  <si>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</si>
  <si>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</si>
  <si>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</si>
  <si>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</si>
  <si>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</si>
  <si>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</si>
  <si>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</si>
  <si>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</si>
  <si>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</si>
  <si>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</si>
  <si>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</si>
  <si>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</si>
  <si>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</si>
  <si>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</si>
  <si>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</si>
  <si>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</si>
  <si>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</si>
  <si>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</si>
  <si>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</si>
  <si>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</si>
  <si>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</si>
  <si>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</si>
  <si>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</si>
  <si>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</si>
  <si>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</si>
  <si>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</si>
  <si>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</si>
  <si>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</si>
  <si>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</si>
  <si>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</si>
  <si>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</si>
  <si>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</si>
  <si>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</si>
  <si>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</si>
  <si>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</si>
  <si>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</si>
  <si>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</si>
  <si>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</si>
  <si>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</si>
  <si>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</si>
  <si>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</si>
  <si>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</si>
  <si>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</si>
  <si>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</si>
  <si>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</si>
  <si>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</si>
  <si>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</si>
  <si>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</si>
  <si>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</si>
  <si>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</si>
  <si>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</si>
  <si>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</si>
  <si>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</si>
  <si>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</si>
  <si>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</si>
  <si>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</si>
  <si>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</si>
  <si>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</si>
  <si>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</si>
  <si>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</si>
  <si>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</si>
  <si>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</si>
  <si>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</si>
  <si>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</si>
  <si>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</si>
  <si>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</si>
  <si>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</si>
  <si>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</si>
  <si>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</si>
  <si>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</si>
  <si>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</si>
  <si>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</si>
  <si>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</si>
  <si>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</si>
  <si>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</si>
  <si>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</si>
  <si>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</si>
  <si>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</si>
  <si>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</si>
  <si>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</si>
  <si>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</si>
  <si>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</si>
  <si>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</si>
  <si>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</si>
  <si>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</si>
  <si>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</si>
  <si>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</si>
  <si>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</si>
  <si>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</si>
  <si>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</si>
  <si>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</si>
  <si>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</si>
  <si>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</si>
  <si>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</si>
  <si>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</si>
  <si>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</si>
  <si>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</si>
  <si>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</si>
  <si>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</si>
  <si>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</si>
  <si>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</si>
  <si>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</si>
  <si>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</si>
  <si>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</si>
  <si>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</si>
  <si>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</si>
  <si>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</si>
  <si>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</si>
  <si>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</si>
  <si>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</si>
  <si>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</si>
  <si>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</si>
  <si>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</si>
  <si>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</si>
  <si>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</si>
  <si>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</si>
  <si>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</si>
  <si>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</si>
  <si>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</si>
  <si>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</si>
  <si>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</si>
  <si>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</si>
  <si>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</si>
  <si>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</si>
  <si>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</si>
  <si>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</si>
  <si>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</si>
  <si>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</si>
  <si>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</si>
  <si>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</si>
  <si>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</si>
  <si>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</si>
  <si>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</si>
  <si>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</si>
  <si>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</si>
  <si>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</si>
  <si>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</si>
  <si>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</si>
  <si>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</si>
  <si>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</si>
  <si>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</si>
  <si>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</si>
  <si>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</si>
  <si>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</si>
  <si>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</si>
  <si>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</si>
  <si>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</si>
  <si>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</si>
  <si>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</si>
  <si>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</si>
  <si>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</si>
  <si>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</si>
  <si>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</si>
  <si>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</si>
  <si>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</si>
  <si>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</si>
  <si>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</si>
  <si>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</si>
  <si>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</si>
  <si>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</si>
  <si>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</si>
  <si>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</si>
  <si>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</si>
  <si>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</si>
  <si>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</si>
  <si>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</si>
  <si>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</si>
  <si>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</si>
  <si>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</si>
  <si>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</si>
  <si>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</si>
  <si>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</si>
  <si>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</si>
  <si>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</si>
  <si>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</si>
  <si>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</si>
  <si>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</si>
  <si>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</si>
  <si>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</si>
  <si>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</si>
  <si>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</si>
  <si>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</si>
  <si>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</si>
  <si>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</si>
  <si>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</si>
  <si>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</si>
  <si>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</si>
  <si>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</si>
  <si>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</si>
  <si>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</si>
  <si>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</si>
  <si>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</si>
  <si>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</si>
  <si>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</si>
  <si>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</si>
  <si>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</si>
  <si>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</si>
  <si>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</si>
  <si>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</si>
  <si>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</si>
  <si>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</si>
  <si>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</si>
  <si>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</si>
  <si>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</si>
  <si>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</si>
  <si>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</si>
  <si>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</si>
  <si>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</si>
  <si>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</si>
  <si>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</si>
  <si>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</si>
  <si>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</si>
  <si>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</si>
  <si>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</si>
  <si>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</si>
  <si>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</si>
  <si>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</si>
  <si>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</si>
  <si>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</si>
  <si>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</si>
  <si>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</si>
  <si>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</si>
  <si>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</si>
  <si>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</si>
  <si>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</si>
  <si>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</si>
  <si>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</si>
  <si>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</si>
  <si>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</si>
  <si>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</si>
  <si>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</si>
  <si>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</si>
  <si>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</si>
  <si>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</si>
  <si>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</si>
  <si>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</si>
  <si>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</si>
  <si>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</si>
  <si>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</si>
  <si>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</si>
  <si>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</si>
  <si>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</si>
  <si>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</si>
  <si>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</si>
  <si>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</si>
  <si>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</si>
  <si>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</si>
  <si>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</si>
  <si>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</si>
  <si>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</si>
  <si>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</si>
  <si>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</si>
  <si>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</si>
  <si>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</si>
  <si>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</si>
  <si>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</si>
  <si>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</si>
  <si>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</si>
  <si>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</si>
  <si>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</si>
  <si>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</si>
  <si>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</si>
  <si>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</si>
  <si>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</si>
  <si>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</si>
  <si>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</si>
  <si>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</si>
  <si>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</si>
  <si>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</si>
  <si>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</si>
  <si>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</si>
  <si>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</si>
  <si>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</si>
  <si>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</si>
  <si>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</si>
  <si>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</si>
  <si>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</si>
  <si>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</si>
  <si>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</si>
  <si>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</si>
  <si>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</si>
  <si>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</si>
  <si>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</si>
  <si>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</si>
  <si>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</si>
  <si>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</si>
  <si>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</si>
  <si>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</si>
  <si>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</si>
  <si>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</si>
  <si>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</si>
  <si>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</si>
  <si>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</si>
  <si>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</si>
  <si>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</si>
  <si>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</si>
  <si>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</si>
  <si>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</si>
  <si>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</si>
  <si>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</si>
  <si>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</si>
  <si>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</si>
  <si>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</si>
  <si>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</si>
  <si>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</si>
  <si>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</si>
  <si>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</si>
  <si>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</si>
  <si>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</si>
  <si>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</si>
  <si>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</si>
  <si>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</si>
  <si>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</si>
  <si>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</si>
  <si>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</si>
  <si>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</si>
  <si>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</si>
  <si>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</si>
  <si>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</si>
  <si>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</si>
  <si>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</si>
  <si>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</si>
  <si>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</si>
  <si>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</si>
  <si>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</si>
  <si>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</si>
  <si>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</si>
  <si>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</si>
  <si>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</si>
  <si>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</si>
  <si>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</si>
  <si>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</si>
  <si>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</si>
  <si>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</si>
  <si>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</si>
  <si>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</si>
  <si>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</si>
  <si>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</si>
  <si>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</si>
  <si>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</si>
  <si>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</si>
  <si>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</si>
  <si>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</si>
  <si>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</si>
  <si>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</si>
  <si>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</si>
  <si>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</si>
  <si>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</si>
  <si>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</si>
  <si>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</si>
  <si>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</si>
  <si>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</si>
  <si>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</si>
  <si>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</si>
  <si>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</si>
  <si>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</si>
  <si>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</si>
  <si>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</si>
  <si>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</si>
  <si>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</si>
  <si>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</si>
  <si>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</si>
  <si>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</si>
  <si>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</si>
  <si>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</si>
  <si>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</si>
  <si>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</si>
  <si>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</si>
  <si>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</si>
  <si>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</si>
  <si>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</si>
  <si>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</si>
  <si>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</si>
  <si>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</si>
  <si>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</si>
  <si>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</si>
  <si>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</si>
  <si>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</si>
  <si>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</si>
  <si>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</si>
  <si>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</si>
  <si>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</si>
  <si>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</si>
  <si>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</si>
  <si>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</si>
  <si>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</si>
  <si>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</si>
  <si>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</si>
  <si>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</si>
  <si>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</si>
  <si>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</si>
  <si>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</si>
  <si>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</si>
  <si>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</si>
  <si>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</si>
  <si>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</si>
  <si>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</si>
  <si>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</si>
  <si>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</si>
  <si>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</si>
  <si>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</si>
  <si>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</si>
  <si>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</si>
  <si>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</si>
  <si>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</si>
  <si>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</si>
  <si>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</si>
  <si>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</si>
  <si>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</si>
  <si>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</si>
  <si>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</si>
  <si>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</si>
  <si>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</si>
  <si>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</si>
  <si>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</si>
  <si>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</si>
  <si>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</si>
  <si>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</si>
  <si>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</si>
  <si>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</si>
  <si>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</si>
  <si>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</si>
  <si>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</si>
  <si>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</si>
  <si>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</si>
  <si>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</si>
  <si>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</si>
  <si>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</si>
  <si>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</si>
  <si>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</si>
  <si>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</si>
  <si>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</si>
  <si>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</si>
  <si>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</si>
  <si>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</si>
  <si>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</si>
  <si>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</si>
  <si>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</si>
  <si>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</si>
  <si>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</si>
  <si>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</si>
  <si>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</si>
  <si>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</si>
  <si>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</si>
  <si>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</si>
  <si>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</si>
  <si>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</si>
  <si>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</si>
  <si>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</si>
  <si>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</si>
  <si>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</si>
  <si>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</si>
  <si>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</si>
  <si>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</si>
  <si>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</si>
  <si>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</si>
  <si>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</si>
  <si>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</si>
  <si>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</si>
  <si>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</si>
  <si>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</si>
  <si>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</si>
  <si>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</si>
  <si>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</si>
  <si>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</si>
  <si>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</si>
  <si>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</si>
  <si>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</si>
  <si>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</si>
  <si>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</si>
  <si>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</si>
  <si>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</si>
  <si>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</si>
  <si>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</si>
  <si>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</si>
  <si>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</si>
  <si>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</si>
  <si>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</si>
  <si>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</si>
  <si>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</si>
  <si>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</si>
  <si>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</si>
  <si>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</si>
  <si>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</si>
  <si>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</si>
  <si>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</si>
  <si>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</si>
  <si>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</si>
  <si>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</si>
  <si>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</si>
  <si>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</si>
  <si>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</si>
  <si>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</si>
  <si>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</si>
  <si>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</si>
  <si>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</si>
  <si>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</si>
  <si>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</si>
  <si>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</si>
  <si>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</si>
  <si>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</si>
  <si>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</si>
  <si>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</si>
  <si>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</si>
  <si>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</si>
  <si>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</si>
  <si>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</si>
  <si>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</si>
  <si>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</si>
  <si>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</si>
  <si>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</si>
  <si>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</si>
  <si>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</si>
  <si>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</si>
  <si>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</si>
  <si>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</si>
  <si>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</si>
  <si>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</si>
  <si>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</si>
  <si>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</si>
  <si>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</si>
  <si>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</si>
  <si>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</si>
  <si>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</si>
  <si>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</si>
  <si>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</si>
  <si>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</si>
  <si>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</si>
  <si>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</si>
  <si>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</si>
  <si>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</si>
  <si>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</si>
  <si>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</si>
  <si>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</si>
  <si>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</si>
  <si>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</si>
  <si>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</si>
  <si>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</si>
  <si>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</si>
  <si>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</si>
  <si>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</si>
  <si>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</si>
  <si>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</si>
  <si>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</si>
  <si>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</si>
  <si>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</si>
  <si>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</si>
  <si>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</si>
  <si>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</si>
  <si>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</si>
  <si>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</si>
  <si>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</si>
  <si>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</si>
  <si>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</si>
  <si>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</si>
  <si>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</si>
  <si>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</si>
  <si>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</si>
  <si>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</si>
  <si>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</si>
  <si>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</si>
  <si>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</si>
  <si>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</si>
  <si>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</si>
  <si>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</si>
  <si>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</si>
  <si>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</si>
  <si>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</si>
  <si>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</si>
  <si>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</si>
  <si>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</si>
  <si>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</si>
  <si>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</si>
  <si>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</si>
  <si>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</si>
  <si>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</si>
  <si>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</si>
  <si>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</si>
  <si>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</si>
  <si>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</si>
  <si>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</si>
  <si>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</si>
  <si>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</si>
  <si>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</si>
  <si>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</si>
  <si>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</si>
  <si>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</si>
  <si>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</si>
  <si>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</si>
  <si>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</si>
  <si>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</si>
  <si>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</si>
  <si>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</si>
  <si>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</si>
  <si>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</si>
  <si>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</si>
  <si>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</si>
  <si>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</si>
  <si>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</si>
  <si>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</si>
  <si>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</si>
  <si>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</si>
  <si>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</si>
  <si>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</si>
  <si>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</si>
  <si>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</si>
  <si>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</si>
  <si>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</si>
  <si>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</si>
  <si>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</si>
  <si>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</si>
  <si>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</si>
  <si>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</si>
  <si>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</si>
  <si>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</si>
  <si>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</si>
  <si>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</si>
  <si>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</si>
  <si>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</si>
  <si>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</si>
  <si>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</si>
  <si>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</si>
  <si>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</si>
  <si>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</si>
  <si>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</si>
  <si>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</si>
  <si>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</si>
  <si>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</si>
  <si>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</si>
  <si>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</si>
  <si>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</si>
  <si>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</si>
  <si>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</si>
  <si>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</si>
  <si>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</si>
  <si>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</si>
  <si>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</si>
  <si>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</si>
  <si>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</si>
  <si>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</si>
  <si>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</si>
  <si>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</si>
  <si>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</si>
  <si>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</si>
  <si>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</si>
  <si>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</si>
  <si>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</si>
  <si>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</si>
  <si>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</si>
  <si>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</si>
  <si>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</si>
  <si>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</si>
  <si>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</si>
  <si>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</si>
  <si>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</si>
  <si>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</si>
  <si>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</si>
  <si>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</si>
  <si>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</si>
  <si>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</si>
  <si>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</si>
  <si>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</si>
  <si>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</si>
  <si>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</si>
  <si>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</si>
  <si>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</si>
  <si>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</si>
  <si>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</si>
  <si>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</si>
  <si>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</si>
  <si>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</si>
  <si>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</si>
  <si>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</si>
  <si>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</si>
  <si>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</si>
  <si>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</si>
  <si>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</si>
  <si>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</si>
  <si>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</si>
  <si>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</si>
  <si>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</si>
  <si>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</si>
  <si>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</si>
  <si>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</si>
  <si>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</si>
  <si>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</si>
  <si>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</si>
  <si>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</si>
  <si>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</si>
  <si>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</si>
  <si>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</si>
  <si>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</si>
  <si>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</si>
  <si>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</si>
  <si>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</si>
  <si>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</si>
  <si>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</si>
  <si>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</si>
  <si>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</si>
  <si>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</si>
  <si>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</si>
  <si>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</si>
  <si>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</si>
  <si>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</si>
  <si>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</si>
  <si>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</si>
  <si>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</si>
  <si>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</si>
  <si>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</si>
  <si>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</si>
  <si>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</si>
  <si>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</si>
  <si>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</si>
  <si>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</si>
  <si>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</si>
  <si>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</si>
  <si>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</si>
  <si>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</si>
  <si>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</si>
  <si>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</si>
  <si>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</si>
  <si>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</si>
  <si>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</si>
  <si>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</si>
  <si>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</si>
  <si>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</si>
  <si>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</si>
  <si>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</si>
  <si>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</si>
  <si>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</si>
  <si>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</si>
  <si>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</si>
  <si>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</si>
  <si>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</si>
  <si>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</si>
  <si>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</si>
  <si>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</si>
  <si>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</si>
  <si>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</si>
  <si>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</si>
  <si>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</si>
  <si>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</si>
  <si>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</si>
  <si>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</si>
  <si>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</si>
  <si>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</si>
  <si>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</si>
  <si>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</si>
  <si>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</si>
  <si>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</si>
  <si>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</si>
  <si>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</si>
  <si>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</si>
  <si>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</si>
  <si>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</si>
  <si>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</si>
  <si>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</si>
  <si>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</si>
  <si>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</si>
  <si>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</si>
  <si>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</si>
  <si>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</si>
  <si>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</si>
  <si>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</si>
  <si>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</si>
  <si>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</si>
  <si>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</si>
  <si>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</si>
  <si>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</si>
  <si>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</si>
  <si>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</si>
  <si>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</si>
  <si>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</si>
  <si>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</si>
  <si>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</si>
  <si>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</si>
  <si>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</si>
  <si>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</si>
  <si>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</si>
  <si>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</si>
  <si>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</si>
  <si>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</si>
  <si>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</si>
  <si>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</si>
  <si>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</si>
  <si>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</si>
  <si>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</si>
  <si>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</si>
  <si>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</si>
  <si>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</si>
  <si>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</si>
  <si>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</si>
  <si>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</si>
  <si>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</si>
  <si>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</si>
  <si>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</si>
  <si>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</si>
  <si>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</si>
  <si>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</si>
  <si>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</si>
  <si>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</si>
  <si>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</si>
  <si>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</si>
  <si>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</si>
  <si>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</si>
  <si>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</si>
  <si>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</si>
  <si>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</si>
  <si>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</si>
  <si>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</si>
  <si>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</si>
  <si>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</si>
  <si>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</si>
  <si>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</si>
  <si>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</si>
  <si>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</si>
  <si>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</si>
  <si>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</si>
  <si>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</si>
  <si>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</si>
  <si>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</si>
  <si>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</si>
  <si>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</si>
  <si>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</si>
  <si>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</si>
  <si>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</si>
  <si>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</si>
  <si>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</si>
  <si>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</si>
  <si>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</si>
  <si>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</si>
  <si>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</si>
  <si>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</si>
  <si>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</si>
  <si>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</si>
  <si>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</si>
  <si>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</si>
  <si>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</si>
  <si>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</si>
  <si>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</si>
  <si>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</si>
  <si>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</si>
  <si>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</si>
  <si>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</si>
  <si>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</si>
  <si>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</si>
  <si>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</si>
  <si>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</si>
  <si>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</si>
  <si>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</si>
  <si>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</si>
  <si>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</si>
  <si>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</si>
  <si>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</si>
  <si>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</si>
  <si>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</si>
  <si>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</si>
  <si>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</si>
  <si>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</si>
  <si>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</si>
  <si>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</si>
  <si>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</si>
  <si>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</si>
  <si>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</si>
  <si>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</si>
  <si>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</si>
  <si>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</si>
  <si>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</si>
  <si>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</si>
  <si>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</si>
  <si>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</si>
  <si>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</si>
  <si>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</si>
  <si>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</si>
  <si>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</si>
  <si>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</si>
  <si>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</si>
  <si>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</si>
  <si>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</si>
  <si>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</si>
  <si>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</si>
  <si>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</si>
  <si>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</si>
  <si>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</si>
  <si>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</si>
  <si>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</si>
  <si>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</si>
  <si>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</si>
  <si>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</si>
  <si>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</si>
  <si>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</si>
  <si>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</si>
  <si>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</si>
  <si>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</si>
  <si>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</si>
  <si>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</si>
  <si>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</si>
  <si>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</si>
  <si>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</si>
  <si>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</si>
  <si>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</si>
  <si>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</si>
  <si>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</si>
  <si>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</si>
  <si>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</si>
  <si>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</si>
  <si>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</si>
  <si>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</si>
  <si>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</si>
  <si>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</si>
  <si>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</si>
  <si>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</si>
  <si>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</si>
  <si>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</si>
  <si>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</si>
  <si>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</si>
  <si>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</si>
  <si>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</si>
  <si>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</si>
  <si>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</si>
  <si>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</si>
  <si>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</si>
  <si>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</si>
  <si>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</si>
  <si>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</si>
  <si>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</si>
  <si>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</si>
  <si>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</si>
  <si>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</si>
  <si>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</si>
  <si>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</si>
  <si>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</si>
  <si>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</si>
  <si>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</si>
  <si>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</si>
  <si>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</si>
  <si>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</si>
  <si>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</si>
  <si>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</si>
  <si>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</si>
  <si>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</si>
  <si>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</si>
  <si>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</si>
  <si>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</si>
  <si>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</si>
  <si>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</si>
  <si>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</si>
  <si>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</si>
  <si>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</si>
  <si>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</si>
  <si>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</si>
  <si>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</si>
  <si>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</si>
  <si>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</si>
  <si>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</si>
  <si>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</si>
  <si>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</si>
  <si>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</si>
  <si>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</si>
  <si>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</si>
  <si>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</si>
  <si>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</si>
  <si>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</si>
  <si>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</si>
  <si>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</si>
  <si>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</si>
  <si>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</si>
  <si>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</si>
  <si>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</si>
  <si>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</si>
  <si>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</si>
  <si>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</si>
  <si>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</si>
  <si>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</si>
  <si>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</si>
  <si>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</si>
  <si>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</si>
  <si>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</si>
  <si>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</si>
  <si>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</si>
  <si>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</si>
  <si>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</si>
  <si>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</si>
  <si>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</si>
  <si>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</si>
  <si>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</si>
  <si>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</si>
  <si>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</si>
  <si>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</si>
  <si>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</si>
  <si>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</si>
  <si>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</si>
  <si>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</si>
  <si>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</si>
  <si>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</si>
  <si>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</si>
  <si>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</si>
  <si>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</si>
  <si>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</si>
  <si>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</si>
  <si>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</si>
  <si>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</si>
  <si>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</si>
  <si>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</si>
  <si>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</si>
  <si>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</si>
  <si>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</si>
  <si>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</si>
  <si>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</si>
  <si>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</si>
  <si>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</si>
  <si>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</si>
  <si>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</si>
  <si>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</si>
  <si>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</si>
  <si>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</si>
  <si>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</si>
  <si>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</si>
  <si>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</si>
  <si>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</si>
  <si>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</si>
  <si>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</si>
  <si>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</si>
  <si>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</si>
  <si>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</si>
  <si>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</si>
  <si>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</si>
  <si>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</si>
  <si>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</si>
  <si>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</si>
  <si>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</si>
  <si>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</si>
  <si>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</si>
  <si>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</si>
  <si>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</si>
  <si>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</si>
  <si>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</si>
  <si>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</si>
  <si>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</si>
  <si>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</si>
  <si>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</si>
  <si>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</si>
  <si>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</si>
  <si>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</si>
  <si>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</si>
  <si>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</si>
  <si>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</si>
  <si>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</si>
  <si>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</si>
  <si>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</si>
  <si>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</si>
  <si>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</si>
  <si>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</si>
  <si>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</si>
  <si>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</si>
  <si>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</si>
  <si>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</si>
  <si>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</si>
  <si>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</si>
  <si>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</si>
  <si>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</si>
  <si>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</si>
  <si>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</si>
  <si>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</si>
  <si>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</si>
  <si>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</si>
  <si>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</si>
  <si>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</si>
  <si>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</si>
  <si>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</si>
  <si>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</si>
  <si>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</si>
  <si>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</si>
  <si>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</si>
  <si>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</si>
  <si>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</si>
  <si>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</si>
  <si>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</si>
  <si>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</si>
  <si>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</si>
  <si>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</si>
  <si>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</si>
  <si>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</si>
  <si>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</si>
  <si>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</si>
  <si>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</si>
  <si>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</si>
  <si>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</si>
  <si>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</si>
  <si>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</si>
  <si>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</si>
  <si>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</si>
  <si>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</si>
  <si>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</si>
  <si>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</si>
  <si>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</si>
  <si>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</si>
  <si>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</si>
  <si>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</si>
  <si>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</si>
  <si>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</si>
  <si>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</si>
  <si>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</si>
  <si>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</si>
  <si>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</si>
  <si>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</si>
  <si>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</si>
  <si>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</si>
  <si>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</si>
  <si>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</si>
  <si>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</si>
  <si>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</si>
  <si>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</si>
  <si>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</si>
  <si>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</si>
  <si>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</si>
  <si>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</si>
  <si>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</si>
  <si>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</si>
  <si>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</si>
  <si>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</si>
  <si>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</si>
  <si>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</si>
  <si>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</si>
  <si>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</si>
  <si>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</si>
  <si>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</si>
  <si>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</si>
  <si>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</si>
  <si>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</si>
  <si>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</si>
  <si>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</si>
  <si>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</si>
  <si>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</si>
  <si>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</si>
  <si>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</si>
  <si>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</si>
  <si>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</si>
  <si>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</si>
  <si>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</si>
  <si>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</si>
  <si>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</si>
  <si>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</si>
  <si>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</si>
  <si>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</si>
  <si>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</si>
  <si>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</si>
  <si>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</si>
  <si>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</si>
  <si>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</si>
  <si>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</si>
  <si>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</si>
  <si>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</si>
  <si>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</si>
  <si>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</si>
  <si>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</si>
  <si>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</si>
  <si>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</si>
  <si>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</si>
  <si>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</si>
  <si>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</si>
  <si>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</si>
  <si>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</si>
  <si>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</si>
  <si>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</si>
  <si>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</si>
  <si>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</si>
  <si>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</si>
  <si>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</si>
  <si>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</si>
  <si>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</si>
  <si>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</si>
  <si>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</si>
  <si>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</si>
  <si>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</si>
  <si>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</si>
  <si>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</si>
  <si>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</si>
  <si>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</si>
  <si>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</si>
  <si>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</si>
  <si>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</si>
  <si>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</si>
  <si>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</si>
  <si>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</si>
  <si>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</si>
  <si>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</si>
  <si>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</si>
  <si>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</si>
  <si>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</si>
  <si>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</si>
  <si>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</si>
  <si>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</si>
  <si>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</si>
  <si>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</si>
  <si>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</si>
  <si>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</si>
  <si>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</si>
  <si>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</si>
  <si>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</si>
  <si>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</si>
  <si>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</si>
  <si>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</si>
  <si>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</si>
  <si>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</si>
  <si>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</si>
  <si>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</si>
  <si>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</si>
  <si>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</si>
  <si>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</si>
  <si>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</si>
  <si>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</si>
  <si>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</si>
  <si>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</si>
  <si>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</si>
  <si>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</si>
  <si>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</si>
  <si>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</si>
  <si>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</si>
  <si>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</si>
  <si>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</si>
  <si>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</si>
  <si>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</si>
  <si>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</si>
  <si>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</si>
  <si>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</si>
  <si>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</si>
  <si>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</si>
  <si>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</si>
  <si>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</si>
  <si>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</si>
  <si>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</si>
  <si>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</si>
  <si>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</si>
  <si>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</si>
  <si>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</si>
  <si>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</si>
  <si>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</si>
  <si>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</si>
  <si>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</si>
  <si>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</si>
  <si>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</si>
  <si>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</si>
  <si>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</si>
  <si>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</si>
  <si>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</si>
  <si>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</si>
  <si>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</si>
  <si>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</si>
  <si>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</si>
  <si>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</si>
  <si>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</si>
  <si>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</si>
  <si>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</si>
  <si>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</si>
  <si>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</si>
  <si>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</si>
  <si>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</si>
  <si>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</si>
  <si>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</si>
  <si>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</si>
  <si>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</si>
  <si>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</si>
  <si>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</si>
  <si>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</si>
  <si>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</si>
  <si>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</si>
  <si>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</si>
  <si>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</si>
  <si>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</si>
  <si>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</si>
  <si>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</si>
  <si>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</si>
  <si>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</si>
  <si>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</si>
  <si>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</si>
  <si>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</si>
  <si>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</si>
  <si>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</si>
  <si>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</si>
  <si>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</si>
  <si>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</si>
  <si>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</si>
  <si>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</si>
  <si>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</si>
  <si>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</si>
  <si>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</si>
  <si>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</si>
  <si>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</si>
  <si>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</si>
  <si>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</si>
  <si>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</si>
  <si>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</si>
  <si>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</si>
  <si>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</si>
  <si>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</si>
  <si>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</si>
  <si>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</si>
  <si>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</si>
  <si>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</si>
  <si>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</si>
  <si>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</si>
  <si>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</si>
  <si>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</si>
  <si>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</si>
  <si>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</si>
  <si>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</si>
  <si>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</si>
  <si>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</si>
  <si>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</si>
  <si>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</si>
  <si>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</si>
  <si>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</si>
  <si>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</si>
  <si>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</si>
  <si>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</si>
  <si>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</si>
  <si>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</si>
  <si>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</si>
  <si>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</si>
  <si>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</si>
  <si>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</si>
  <si>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</si>
  <si>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</si>
  <si>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</si>
  <si>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</si>
  <si>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</si>
  <si>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</si>
  <si>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</si>
  <si>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</si>
  <si>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</si>
  <si>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</si>
  <si>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</si>
  <si>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</si>
  <si>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</si>
  <si>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</si>
  <si>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</si>
  <si>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</si>
  <si>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</si>
  <si>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</si>
  <si>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</si>
  <si>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</si>
  <si>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</si>
  <si>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</si>
  <si>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</si>
  <si>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</si>
  <si>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</si>
  <si>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</si>
  <si>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</si>
  <si>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</si>
  <si>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</si>
  <si>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</si>
  <si>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</si>
  <si>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</si>
  <si>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</si>
  <si>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</si>
  <si>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</si>
  <si>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</si>
  <si>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</si>
  <si>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</si>
  <si>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</si>
  <si>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</si>
  <si>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</si>
  <si>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</si>
  <si>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</si>
  <si>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</si>
  <si>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</si>
  <si>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</si>
  <si>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</si>
  <si>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</si>
  <si>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</si>
  <si>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</si>
  <si>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</si>
  <si>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</si>
  <si>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</si>
  <si>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</si>
  <si>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</si>
  <si>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</si>
  <si>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</si>
  <si>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</si>
  <si>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</si>
  <si>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</si>
  <si>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</si>
  <si>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</si>
  <si>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</si>
  <si>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</si>
  <si>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</si>
  <si>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</si>
  <si>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</si>
  <si>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</si>
  <si>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</si>
  <si>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</si>
  <si>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</si>
  <si>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</si>
  <si>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</si>
  <si>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</si>
  <si>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</si>
  <si>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</si>
  <si>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</si>
  <si>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</si>
  <si>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</si>
  <si>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</si>
  <si>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</si>
  <si>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</si>
  <si>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</si>
  <si>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</si>
  <si>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</si>
  <si>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</si>
  <si>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</si>
  <si>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</si>
  <si>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</si>
  <si>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</si>
  <si>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</si>
  <si>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</si>
  <si>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</si>
  <si>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</si>
  <si>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</si>
  <si>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</si>
  <si>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</si>
  <si>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</si>
  <si>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</si>
  <si>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</si>
  <si>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</si>
  <si>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</si>
  <si>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</si>
  <si>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</si>
  <si>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</si>
  <si>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</si>
  <si>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</si>
  <si>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</si>
  <si>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</si>
  <si>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</si>
  <si>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</si>
  <si>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</si>
  <si>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</si>
  <si>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</si>
  <si>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</si>
  <si>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</si>
  <si>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</si>
  <si>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</si>
  <si>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</si>
  <si>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</si>
  <si>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</si>
  <si>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</si>
  <si>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</si>
  <si>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</si>
  <si>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</si>
  <si>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</si>
  <si>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</si>
  <si>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</si>
  <si>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</si>
  <si>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</si>
  <si>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</si>
  <si>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</si>
  <si>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</si>
  <si>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</si>
  <si>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</si>
  <si>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</si>
  <si>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</si>
  <si>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</si>
  <si>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</si>
  <si>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</si>
  <si>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</si>
  <si>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</si>
  <si>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</si>
  <si>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</si>
  <si>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</si>
  <si>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</si>
  <si>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</si>
  <si>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</si>
  <si>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</si>
  <si>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</si>
  <si>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</si>
  <si>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</si>
  <si>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</si>
  <si>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</si>
  <si>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</si>
  <si>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</si>
  <si>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</si>
  <si>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</si>
  <si>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</si>
  <si>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</si>
  <si>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</si>
  <si>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ROEM West, LLC</t>
  </si>
  <si>
    <t>Belmont Family Apartments</t>
  </si>
  <si>
    <t>City of Belmont</t>
  </si>
  <si>
    <t>Afshin Oskoui</t>
  </si>
  <si>
    <t>1 Twin Pines Ln</t>
  </si>
  <si>
    <t>Belmont</t>
  </si>
  <si>
    <t>(650) 595-7408</t>
  </si>
  <si>
    <t>aoskoui@belmont.gov</t>
  </si>
  <si>
    <t>800-803 Belmont Avenue</t>
  </si>
  <si>
    <t>044-172-190; 044-172-200</t>
  </si>
  <si>
    <t>$500M</t>
  </si>
  <si>
    <t>1650 Lafayette St.</t>
  </si>
  <si>
    <t>CA</t>
  </si>
  <si>
    <t>Lucky Bhardwaj</t>
  </si>
  <si>
    <t>(408) 984-5600</t>
  </si>
  <si>
    <t>lbhardwaj@roemcorp.com</t>
  </si>
  <si>
    <t>LLC</t>
  </si>
  <si>
    <t>PACH San Jose Holdings, LLC</t>
  </si>
  <si>
    <t>Managing GP</t>
  </si>
  <si>
    <t>2115 J Street</t>
  </si>
  <si>
    <t>Mark Wiese</t>
  </si>
  <si>
    <t>(916) 638-5200</t>
  </si>
  <si>
    <t>(916) 325-8624</t>
  </si>
  <si>
    <t>mwiese@pacifichousing.org</t>
  </si>
  <si>
    <t>Pacific Housing, Inc.</t>
  </si>
  <si>
    <t>ROEM Belmont Family Apartments, LLC</t>
  </si>
  <si>
    <t>Administrative GP</t>
  </si>
  <si>
    <t>1650 Lafayette St</t>
  </si>
  <si>
    <t>lbhardwaj@oremcorp.com</t>
  </si>
  <si>
    <t>Controller</t>
  </si>
  <si>
    <t>Santa Clara, CA 95050</t>
  </si>
  <si>
    <t>408-984-5600</t>
  </si>
  <si>
    <t>Withee Malcolm Architects</t>
  </si>
  <si>
    <t>2251 W 190th St</t>
  </si>
  <si>
    <t>Torrance, CA 90504</t>
  </si>
  <si>
    <t>Dirk Thelen</t>
  </si>
  <si>
    <t>310-217-8885</t>
  </si>
  <si>
    <t>dthelen@witheemalcolm.com</t>
  </si>
  <si>
    <t>Bocarsly Emden Cowan Esmail &amp; Arndt</t>
  </si>
  <si>
    <t>633 W. 5th Street, 64th Floor</t>
  </si>
  <si>
    <t>Los Angeles, CA 90071</t>
  </si>
  <si>
    <t>Kyle Arndt</t>
  </si>
  <si>
    <t>213-239-8048</t>
  </si>
  <si>
    <t>karndt@bocarsley.com</t>
  </si>
  <si>
    <t>ROEM Builders</t>
  </si>
  <si>
    <t>Stephen Emami</t>
  </si>
  <si>
    <t>Novogradac and Company LLP</t>
  </si>
  <si>
    <t>1160 Battery Street, 4th Floor</t>
  </si>
  <si>
    <t>San Francisco, CA 94111</t>
  </si>
  <si>
    <t>Mike Morrison</t>
  </si>
  <si>
    <t>Bright Green Strategies</t>
  </si>
  <si>
    <t>820 Delaware Street</t>
  </si>
  <si>
    <t>Berkeley, CA 94710</t>
  </si>
  <si>
    <t>Steve Davis</t>
  </si>
  <si>
    <t>Kinetic Valuation Group</t>
  </si>
  <si>
    <t>P.O. Box 68</t>
  </si>
  <si>
    <t>Corona Del Mar, CA 92625</t>
  </si>
  <si>
    <t>Jay Wortmann</t>
  </si>
  <si>
    <t>R4 Capital</t>
  </si>
  <si>
    <t>895 Dove Street, Suite 475</t>
  </si>
  <si>
    <t>Newport Beach, CA</t>
  </si>
  <si>
    <t>Cory Bannister</t>
  </si>
  <si>
    <t>415-356-8000</t>
  </si>
  <si>
    <t>415-346-8001</t>
  </si>
  <si>
    <t>mike.morrison@novoco.com</t>
  </si>
  <si>
    <t>510-863-1109</t>
  </si>
  <si>
    <t>steve@brightgreenstrategies.com</t>
  </si>
  <si>
    <t>949-438-1056</t>
  </si>
  <si>
    <t>cbannister@r4cap.com</t>
  </si>
  <si>
    <t>402-202-0771</t>
  </si>
  <si>
    <t>jay@kvgteam.com</t>
  </si>
  <si>
    <t>California Statewide Communities</t>
  </si>
  <si>
    <t>1700 North Broadway, Suite 402</t>
  </si>
  <si>
    <t>Walnut Creek, CA 94596</t>
  </si>
  <si>
    <t>Jon Penkower</t>
  </si>
  <si>
    <t>FPI Management</t>
  </si>
  <si>
    <t>800 Iron Point Rd</t>
  </si>
  <si>
    <t>Folsom, CA 95630</t>
  </si>
  <si>
    <t>Leigh Ann Caraballo</t>
  </si>
  <si>
    <t>925-476-5887</t>
  </si>
  <si>
    <t>jpenkower@cscda.org</t>
  </si>
  <si>
    <t>916-357-5300</t>
  </si>
  <si>
    <t>leighann.caraballo@fpimgt.com</t>
  </si>
  <si>
    <t xml:space="preserve">Lenore Griffin, Trustee of the Lloyd J. DeMartini Survivor Trust (803 Belmont Ave); atthew Branagh, as Trustee for the Matthew and Katie Branagh Family 2013 Trust dated July 31, 2013, Michael Branagh, as Trustee for The Michael and Jennifer Branagh Family 2013 Trust dated August 7, 2013, and Alex Griffith, as Trustee for the Alexander and Kathleen Griffin Family 2013 Trust dated July 31, 2013  (800 Belmont Ave) </t>
  </si>
  <si>
    <t>Lenore Griffin</t>
  </si>
  <si>
    <t>Trustee</t>
  </si>
  <si>
    <t>803 Belmont Ave.</t>
  </si>
  <si>
    <t>Belmont, CA 94002</t>
  </si>
  <si>
    <t>Secured by Fee Interest</t>
  </si>
  <si>
    <t>8-story high-rise, single building multifamily</t>
  </si>
  <si>
    <t>HUD-VASH Units for veterans</t>
  </si>
  <si>
    <t>Corridor Mixed Use</t>
  </si>
  <si>
    <t>Village Corridor Mixed Use, 60 DU./AC., 125 DU./AC. with density bonus</t>
  </si>
  <si>
    <t>55'</t>
  </si>
  <si>
    <t>0.5 spaces/unit</t>
  </si>
  <si>
    <t>Citibank Tax-Exempt Loan</t>
  </si>
  <si>
    <t>Citibank Recycled Bond Cap</t>
  </si>
  <si>
    <t>Citibank Taxable Tail</t>
  </si>
  <si>
    <t>Lease-Up NOI</t>
  </si>
  <si>
    <t>R4 Capital Tax Credit Equity During Const.</t>
  </si>
  <si>
    <t>Deferred Reserve Funding</t>
  </si>
  <si>
    <t>HASMC AHF Loan</t>
  </si>
  <si>
    <t>City of Belmont Loan</t>
  </si>
  <si>
    <t>Fixed</t>
  </si>
  <si>
    <t>325 E. Hillcrest Drive, Suite 160</t>
  </si>
  <si>
    <t>Thousand Oaks, CA 91360</t>
  </si>
  <si>
    <t>Mike Hemmens</t>
  </si>
  <si>
    <t>1650 Lafayette Street</t>
  </si>
  <si>
    <t>Newport Beach, CA 92660</t>
  </si>
  <si>
    <t>Santa Clara, CA</t>
  </si>
  <si>
    <t>400 County Center</t>
  </si>
  <si>
    <t>Redwood City, CA 94063</t>
  </si>
  <si>
    <t>Jan Stokely</t>
  </si>
  <si>
    <t>805-557-0933</t>
  </si>
  <si>
    <t>Tax Credit Equity</t>
  </si>
  <si>
    <t>1 Twin Pines Lane</t>
  </si>
  <si>
    <t>Carlos De Melo</t>
  </si>
  <si>
    <t>650-363-4000</t>
  </si>
  <si>
    <t>County Loan</t>
  </si>
  <si>
    <t>650-984-5600</t>
  </si>
  <si>
    <t>City Loan</t>
  </si>
  <si>
    <t>Permanent Loan</t>
  </si>
  <si>
    <t>(650) 363-4000</t>
  </si>
  <si>
    <t>(650) 595-7413</t>
  </si>
  <si>
    <t>Veterans</t>
  </si>
  <si>
    <t>Housing Authority of the County of San Mateo</t>
  </si>
  <si>
    <t>Leasing, Admin, and Payroll Taxes</t>
  </si>
  <si>
    <t>Security Gate, Misc.</t>
  </si>
  <si>
    <t>Supplies, Reports, Training</t>
  </si>
  <si>
    <t>HUD-VASH (HACSM)</t>
  </si>
  <si>
    <t xml:space="preserve">HACSM </t>
  </si>
  <si>
    <t>Project-based vouchers (PBVs)</t>
  </si>
  <si>
    <t>Consruction Inspections</t>
  </si>
  <si>
    <t>Planning/Misc. Cons.</t>
  </si>
  <si>
    <t>Other: Broker Commission</t>
  </si>
  <si>
    <t>Pacific Housing</t>
  </si>
  <si>
    <t>1 bedroom</t>
  </si>
  <si>
    <t>Above residual receipts line for cash flow</t>
  </si>
  <si>
    <t>HACSM AHF Loans</t>
  </si>
  <si>
    <t>Below residual receipts line for cash flow</t>
  </si>
  <si>
    <t>Provided</t>
  </si>
  <si>
    <t>Not Applicable</t>
  </si>
  <si>
    <t>Misc. Fees</t>
  </si>
  <si>
    <t>Other Electric &amp; Cooling</t>
  </si>
  <si>
    <t>Project-Based Vouchers</t>
  </si>
  <si>
    <t>County Loan AHF 7.0</t>
  </si>
  <si>
    <t>County Loan AHF 9.0</t>
  </si>
  <si>
    <t>County Loan MTW</t>
  </si>
  <si>
    <t>Other (Specify below)</t>
  </si>
  <si>
    <t>40%/60% Average Income</t>
  </si>
  <si>
    <t>2 bedroom</t>
  </si>
  <si>
    <t>3 bedroom</t>
  </si>
  <si>
    <t>ROEM Development Corporation</t>
  </si>
  <si>
    <t>semami@roemcorp.com</t>
  </si>
  <si>
    <t>1-Month SOFR</t>
  </si>
  <si>
    <t>Taxable Loan</t>
  </si>
  <si>
    <t>Construction Tax Exempt</t>
  </si>
  <si>
    <t>Recycled Bonds Tax Exempt</t>
  </si>
  <si>
    <t>HACSM AHF and MTW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</si>
</sst>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12"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0" fontId="12" fillId="5" borderId="6"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15" zoomScaleNormal="100" zoomScaleSheetLayoutView="100" workbookViewId="0">
      <selection activeCell="G244" sqref="G244"/>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 customHeight="1">
      <c r="A42" s="4"/>
      <c r="B42"/>
      <c r="C42" s="2"/>
      <c r="D42" s="4"/>
      <c r="E42" s="4" t="s">
        <v>663</v>
      </c>
      <c r="F42" s="1260" t="s">
        <v>1308</v>
      </c>
    </row>
    <row r="43" spans="1:38" s="1260"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4">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4">
      <c r="A21" s="176"/>
      <c r="B21" s="469" t="s">
        <v>309</v>
      </c>
      <c r="D21" s="1284" t="s">
        <v>1190</v>
      </c>
      <c r="E21" s="1284"/>
      <c r="F21" s="1284"/>
    </row>
    <row r="22" spans="1:6" ht="14.4">
      <c r="A22" s="176"/>
      <c r="B22" s="176"/>
      <c r="D22" s="35"/>
    </row>
    <row r="23" spans="1:6" ht="14.4">
      <c r="A23" s="176"/>
      <c r="B23" s="469" t="s">
        <v>309</v>
      </c>
      <c r="D23" s="1260" t="s">
        <v>1191</v>
      </c>
      <c r="E23" s="1260"/>
      <c r="F23" s="1260"/>
    </row>
    <row r="24" spans="1:6" ht="14.4">
      <c r="A24" s="176"/>
      <c r="B24" s="176"/>
      <c r="D24" s="1260"/>
      <c r="E24" s="1260"/>
      <c r="F24" s="1260"/>
    </row>
    <row r="25" spans="1:6"/>
    <row r="26" spans="1:6" ht="14.4">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4">
      <c r="A34" s="176"/>
      <c r="B34" s="176"/>
      <c r="D34" s="220"/>
    </row>
    <row r="35" spans="1:6" ht="14.4" customHeight="1">
      <c r="A35" s="176"/>
      <c r="B35" s="469" t="s">
        <v>309</v>
      </c>
      <c r="D35" s="1260" t="s">
        <v>1194</v>
      </c>
      <c r="E35" s="1260"/>
      <c r="F35" s="1260"/>
    </row>
    <row r="36" spans="1:6" ht="14.4">
      <c r="A36" s="176"/>
      <c r="B36" s="176"/>
      <c r="D36" s="1260"/>
      <c r="E36" s="1260"/>
      <c r="F36" s="1260"/>
    </row>
    <row r="37" spans="1:6" ht="14.4">
      <c r="A37" s="176"/>
      <c r="B37" s="176"/>
      <c r="D37" s="1260"/>
      <c r="E37" s="1260"/>
      <c r="F37" s="1260"/>
    </row>
    <row r="38" spans="1:6" ht="14.4">
      <c r="A38" s="176"/>
      <c r="B38" s="176"/>
      <c r="D38"/>
    </row>
    <row r="39" spans="1:6" ht="14.4">
      <c r="A39" s="176"/>
      <c r="B39" s="469" t="s">
        <v>309</v>
      </c>
      <c r="D39" s="1260" t="s">
        <v>1195</v>
      </c>
      <c r="E39" s="1260"/>
      <c r="F39" s="1260"/>
    </row>
    <row r="40" spans="1:6" ht="14.4">
      <c r="A40" s="176"/>
      <c r="B40" s="176"/>
      <c r="D40" s="1260"/>
      <c r="E40" s="1260"/>
      <c r="F40" s="1260"/>
    </row>
    <row r="41" spans="1:6" ht="14.4">
      <c r="A41" s="176"/>
      <c r="B41" s="176"/>
      <c r="D41" s="1260"/>
      <c r="E41" s="1260"/>
      <c r="F41" s="1260"/>
    </row>
    <row r="42" spans="1:6" ht="14.4">
      <c r="A42" s="176"/>
      <c r="B42" s="176"/>
      <c r="D42" s="1260"/>
      <c r="E42" s="1260"/>
      <c r="F42" s="1260"/>
    </row>
    <row r="43" spans="1:6" ht="14.4">
      <c r="A43" s="176"/>
      <c r="B43" s="176"/>
      <c r="D43" s="1260"/>
      <c r="E43" s="1260"/>
      <c r="F43" s="1260"/>
    </row>
    <row r="44" spans="1:6" ht="14.4">
      <c r="A44" s="176"/>
      <c r="B44" s="176"/>
      <c r="D44" s="475"/>
      <c r="E44" s="475"/>
      <c r="F44" s="475"/>
    </row>
    <row r="45" spans="1:6" ht="14.4">
      <c r="A45" s="176"/>
      <c r="B45" s="469" t="s">
        <v>309</v>
      </c>
      <c r="D45" s="1260" t="s">
        <v>1196</v>
      </c>
      <c r="E45" s="1260"/>
      <c r="F45" s="1260"/>
    </row>
    <row r="46" spans="1:6" ht="14.4">
      <c r="A46" s="176"/>
      <c r="B46" s="176"/>
      <c r="D46" s="1260"/>
      <c r="E46" s="1260"/>
      <c r="F46" s="1260"/>
    </row>
    <row r="47" spans="1:6" ht="14.4">
      <c r="A47" s="176"/>
      <c r="B47" s="176"/>
      <c r="D47" s="1260"/>
      <c r="E47" s="1260"/>
      <c r="F47" s="1260"/>
    </row>
    <row r="48" spans="1:6" ht="23.25" customHeight="1">
      <c r="A48" s="176"/>
      <c r="B48" s="176"/>
      <c r="D48" s="1260"/>
      <c r="E48" s="1260"/>
      <c r="F48" s="1260"/>
    </row>
    <row r="49" spans="1:7" ht="14.4">
      <c r="A49" s="176"/>
      <c r="B49" s="176"/>
      <c r="D49" s="35"/>
    </row>
    <row r="50" spans="1:7" ht="14.4" customHeight="1">
      <c r="A50" s="176"/>
      <c r="B50" s="469" t="s">
        <v>309</v>
      </c>
      <c r="D50" s="1260" t="s">
        <v>1197</v>
      </c>
      <c r="E50" s="1260"/>
      <c r="F50" s="1260"/>
    </row>
    <row r="51" spans="1:7" ht="14.4">
      <c r="A51" s="176"/>
      <c r="B51" s="176"/>
      <c r="D51" s="1260"/>
      <c r="E51" s="1260"/>
      <c r="F51" s="1260"/>
    </row>
    <row r="52" spans="1:7" ht="14.4">
      <c r="A52" s="176"/>
      <c r="B52" s="176"/>
      <c r="D52" s="1260"/>
      <c r="E52" s="1260"/>
      <c r="F52" s="1260"/>
    </row>
    <row r="53" spans="1:7" ht="14.4">
      <c r="A53" s="176"/>
      <c r="B53" s="176"/>
      <c r="C53" s="386"/>
      <c r="D53" s="3"/>
      <c r="E53" s="3"/>
      <c r="F53" s="3"/>
      <c r="G53" s="3"/>
    </row>
    <row r="54" spans="1:7" ht="14.4">
      <c r="A54" s="176"/>
      <c r="B54" s="469" t="s">
        <v>309</v>
      </c>
      <c r="C54" s="386"/>
      <c r="D54" s="1260" t="s">
        <v>1198</v>
      </c>
      <c r="E54" s="1260"/>
      <c r="F54" s="1260"/>
      <c r="G54" s="3"/>
    </row>
    <row r="55" spans="1:7" ht="14.4">
      <c r="A55" s="176"/>
      <c r="B55" s="176"/>
      <c r="C55" s="386"/>
      <c r="D55" s="1260"/>
      <c r="E55" s="1260"/>
      <c r="F55" s="1260"/>
      <c r="G55" s="3"/>
    </row>
    <row r="56" spans="1:7">
      <c r="D56" s="220"/>
    </row>
    <row r="57" spans="1:7" ht="14.4">
      <c r="A57" s="176"/>
      <c r="B57" s="469" t="s">
        <v>309</v>
      </c>
      <c r="D57" s="1260" t="s">
        <v>1199</v>
      </c>
      <c r="E57" s="1260"/>
      <c r="F57" s="1260"/>
    </row>
    <row r="58" spans="1:7">
      <c r="D58" s="1260"/>
      <c r="E58" s="1260"/>
      <c r="F58" s="1260"/>
    </row>
    <row r="59" spans="1:7">
      <c r="D59" s="1260"/>
      <c r="E59" s="1260"/>
      <c r="F59" s="1260"/>
    </row>
    <row r="60" spans="1:7">
      <c r="D60" s="3"/>
    </row>
    <row r="61" spans="1:7" ht="14.4">
      <c r="A61" s="176"/>
      <c r="B61" s="469" t="s">
        <v>309</v>
      </c>
      <c r="D61" s="1260" t="s">
        <v>1200</v>
      </c>
      <c r="E61" s="1260"/>
      <c r="F61" s="1260"/>
    </row>
    <row r="62" spans="1:7">
      <c r="D62" s="1260"/>
      <c r="E62" s="1260"/>
      <c r="F62" s="1260"/>
    </row>
    <row r="63" spans="1:7"/>
    <row r="64" spans="1:7" ht="14.4">
      <c r="A64" s="176"/>
      <c r="B64" s="469" t="s">
        <v>309</v>
      </c>
      <c r="D64" s="1260" t="s">
        <v>1201</v>
      </c>
      <c r="E64" s="1260"/>
      <c r="F64" s="1260"/>
    </row>
    <row r="65" spans="1:7">
      <c r="D65" s="1260"/>
      <c r="E65" s="1260"/>
      <c r="F65" s="1260"/>
    </row>
    <row r="66" spans="1:7">
      <c r="D66" s="1260"/>
      <c r="E66" s="1260"/>
      <c r="F66" s="1260"/>
    </row>
    <row r="67" spans="1:7">
      <c r="D67"/>
    </row>
    <row r="68" spans="1:7" ht="14.4">
      <c r="A68" s="176"/>
      <c r="B68" s="469" t="s">
        <v>309</v>
      </c>
      <c r="D68" s="1260" t="s">
        <v>1202</v>
      </c>
      <c r="E68" s="1260"/>
      <c r="F68" s="1260"/>
    </row>
    <row r="69" spans="1:7">
      <c r="D69" s="1260"/>
      <c r="E69" s="1260"/>
      <c r="F69" s="1260"/>
    </row>
    <row r="70" spans="1:7" ht="14.4">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4">
      <c r="A76" s="176"/>
      <c r="B76" s="469" t="s">
        <v>309</v>
      </c>
      <c r="D76" s="1260" t="s">
        <v>1208</v>
      </c>
      <c r="E76" s="1260"/>
      <c r="F76" s="1260"/>
    </row>
    <row r="77" spans="1:7" ht="14.4">
      <c r="A77" s="176"/>
      <c r="B77" s="176"/>
      <c r="D77" s="1260"/>
      <c r="E77" s="1260"/>
      <c r="F77" s="1260"/>
    </row>
    <row r="78" spans="1:7" ht="14.4">
      <c r="A78" s="176"/>
      <c r="B78" s="176"/>
      <c r="D78" s="1260"/>
      <c r="E78" s="1260"/>
      <c r="F78" s="1260"/>
    </row>
    <row r="79" spans="1:7" ht="14.4">
      <c r="A79" s="176"/>
      <c r="B79" s="176"/>
      <c r="D79" s="1260"/>
      <c r="E79" s="1260"/>
      <c r="F79" s="1260"/>
    </row>
    <row r="80" spans="1:7" ht="14.4">
      <c r="A80" s="176"/>
      <c r="B80" s="176"/>
      <c r="D80" s="1260"/>
      <c r="E80" s="1260"/>
      <c r="F80" s="1260"/>
    </row>
    <row r="81" spans="1:6" ht="14.4">
      <c r="A81" s="176"/>
      <c r="B81" s="176"/>
      <c r="D81" s="1260"/>
      <c r="E81" s="1260"/>
      <c r="F81" s="1260"/>
    </row>
    <row r="82" spans="1:6" ht="14.4">
      <c r="A82" s="176"/>
      <c r="B82" s="176"/>
      <c r="D82" s="475"/>
      <c r="E82" s="475"/>
      <c r="F82" s="475"/>
    </row>
    <row r="83" spans="1:6" ht="14.4" customHeight="1">
      <c r="A83" s="176"/>
      <c r="B83" s="469" t="s">
        <v>309</v>
      </c>
      <c r="D83" s="1263" t="s">
        <v>1307</v>
      </c>
      <c r="E83" s="1263"/>
      <c r="F83" s="1263"/>
    </row>
    <row r="84" spans="1:6" ht="14.4">
      <c r="A84" s="176"/>
      <c r="B84" s="176"/>
      <c r="D84" s="1263"/>
      <c r="E84" s="1263"/>
      <c r="F84" s="1263"/>
    </row>
    <row r="85" spans="1:6" ht="14.4">
      <c r="A85" s="176"/>
      <c r="B85" s="176"/>
      <c r="D85" s="1263"/>
      <c r="E85" s="1263"/>
      <c r="F85" s="1263"/>
    </row>
    <row r="86" spans="1:6" ht="14.4">
      <c r="A86" s="176"/>
      <c r="B86" s="176"/>
      <c r="D86" s="1263"/>
      <c r="E86" s="1263"/>
      <c r="F86" s="1263"/>
    </row>
    <row r="87" spans="1:6" ht="14.4">
      <c r="A87" s="176"/>
      <c r="B87" s="176"/>
      <c r="D87" s="1263"/>
      <c r="E87" s="1263"/>
      <c r="F87" s="1263"/>
    </row>
    <row r="88" spans="1:6" ht="14.4">
      <c r="A88" s="176"/>
      <c r="B88" s="176"/>
      <c r="D88" s="1263"/>
      <c r="E88" s="1263"/>
      <c r="F88" s="1263"/>
    </row>
    <row r="89" spans="1:6" ht="14.4">
      <c r="A89" s="176"/>
      <c r="B89" s="176"/>
      <c r="D89" s="1263"/>
      <c r="E89" s="1263"/>
      <c r="F89" s="1263"/>
    </row>
    <row r="90" spans="1:6" ht="14.4">
      <c r="A90" s="176"/>
      <c r="B90" s="176"/>
      <c r="D90" s="1263"/>
      <c r="E90" s="1263"/>
      <c r="F90" s="1263"/>
    </row>
    <row r="91" spans="1:6" ht="14.4">
      <c r="A91" s="176"/>
      <c r="B91" s="176"/>
      <c r="D91" s="1263"/>
      <c r="E91" s="1263"/>
      <c r="F91" s="1263"/>
    </row>
    <row r="92" spans="1:6" ht="14.4">
      <c r="A92" s="176"/>
      <c r="B92" s="176"/>
      <c r="D92" s="1263"/>
      <c r="E92" s="1263"/>
      <c r="F92" s="1263"/>
    </row>
    <row r="93" spans="1:6" ht="14.4">
      <c r="A93" s="176"/>
      <c r="B93" s="176"/>
      <c r="D93" s="1263"/>
      <c r="E93" s="1263"/>
      <c r="F93" s="1263"/>
    </row>
    <row r="94" spans="1:6" ht="14.4">
      <c r="A94" s="176"/>
      <c r="B94" s="176"/>
      <c r="D94" s="1263"/>
      <c r="E94" s="1263"/>
      <c r="F94" s="1263"/>
    </row>
    <row r="95" spans="1:6" ht="14.4">
      <c r="A95" s="176"/>
      <c r="B95" s="176"/>
      <c r="D95" s="1263"/>
      <c r="E95" s="1263"/>
      <c r="F95" s="1263"/>
    </row>
    <row r="96" spans="1:6" ht="14.4">
      <c r="A96" s="176"/>
      <c r="B96" s="176"/>
      <c r="D96" s="1263"/>
      <c r="E96" s="1263"/>
      <c r="F96" s="1263"/>
    </row>
    <row r="97" spans="1:11" ht="14.4">
      <c r="A97" s="176"/>
      <c r="B97" s="469" t="s">
        <v>309</v>
      </c>
      <c r="D97" s="1260" t="s">
        <v>1209</v>
      </c>
      <c r="E97" s="1260"/>
      <c r="F97" s="1260"/>
    </row>
    <row r="98" spans="1:11" ht="14.4">
      <c r="A98" s="176"/>
      <c r="B98" s="176"/>
      <c r="D98" s="1260"/>
      <c r="E98" s="1260"/>
      <c r="F98" s="1260"/>
    </row>
    <row r="99" spans="1:11" ht="14.4">
      <c r="A99" s="176"/>
      <c r="B99" s="176"/>
      <c r="D99" s="1260"/>
      <c r="E99" s="1260"/>
      <c r="F99" s="1260"/>
    </row>
    <row r="100" spans="1:11" ht="14.4">
      <c r="A100" s="176"/>
      <c r="B100" s="176"/>
      <c r="D100" s="1260"/>
      <c r="E100" s="1260"/>
      <c r="F100" s="1260"/>
    </row>
    <row r="101" spans="1:11" ht="14.4">
      <c r="A101" s="176"/>
      <c r="B101" s="176"/>
      <c r="D101" s="1260"/>
      <c r="E101" s="1260"/>
      <c r="F101" s="1260"/>
    </row>
    <row r="102" spans="1:11" ht="14.4">
      <c r="A102" s="176"/>
      <c r="B102" s="176"/>
      <c r="D102" s="1260"/>
      <c r="E102" s="1260"/>
      <c r="F102" s="1260"/>
    </row>
    <row r="103" spans="1:11" ht="14.4">
      <c r="A103" s="176"/>
      <c r="B103" s="176"/>
      <c r="D103" s="1260"/>
      <c r="E103" s="1260"/>
      <c r="F103" s="1260"/>
    </row>
    <row r="104" spans="1:11" ht="14.4">
      <c r="A104" s="176"/>
      <c r="B104" s="176"/>
      <c r="D104" s="1260"/>
      <c r="E104" s="1260"/>
      <c r="F104" s="1260"/>
    </row>
    <row r="105" spans="1:11" ht="14.4">
      <c r="A105" s="176"/>
      <c r="B105" s="176"/>
      <c r="D105" s="475"/>
      <c r="E105" s="475"/>
      <c r="F105" s="475"/>
    </row>
    <row r="106" spans="1:11" ht="14.4">
      <c r="A106" s="176"/>
      <c r="B106" s="469" t="s">
        <v>309</v>
      </c>
      <c r="C106" s="179"/>
      <c r="D106" s="1301" t="s">
        <v>1210</v>
      </c>
      <c r="E106" s="1301"/>
      <c r="F106" s="1301"/>
      <c r="G106" s="183"/>
      <c r="H106" s="181"/>
      <c r="I106" s="181"/>
      <c r="J106" s="181"/>
      <c r="K106" s="181"/>
    </row>
    <row r="107" spans="1:11" ht="14.4">
      <c r="A107" s="176"/>
      <c r="B107" s="176"/>
      <c r="C107" s="179"/>
      <c r="D107" s="1301"/>
      <c r="E107" s="1301"/>
      <c r="F107" s="1301"/>
      <c r="G107" s="183"/>
      <c r="H107" s="181"/>
      <c r="I107" s="181"/>
      <c r="J107" s="181"/>
      <c r="K107" s="181"/>
    </row>
    <row r="108" spans="1:11" ht="14.4">
      <c r="A108" s="176"/>
      <c r="B108" s="176"/>
      <c r="C108" s="179"/>
      <c r="D108" s="1301"/>
      <c r="E108" s="1301"/>
      <c r="F108" s="1301"/>
      <c r="G108" s="183"/>
      <c r="H108" s="181"/>
      <c r="I108" s="181"/>
      <c r="J108" s="181"/>
      <c r="K108" s="181"/>
    </row>
    <row r="109" spans="1:11" ht="14.4">
      <c r="A109" s="176"/>
      <c r="B109" s="176"/>
      <c r="C109" s="179"/>
      <c r="D109" s="1301"/>
      <c r="E109" s="1301"/>
      <c r="F109" s="1301"/>
      <c r="G109" s="183"/>
      <c r="H109" s="181"/>
      <c r="I109" s="181"/>
      <c r="J109" s="181"/>
      <c r="K109" s="181"/>
    </row>
    <row r="110" spans="1:11" ht="14.4">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4">
      <c r="A114" s="176"/>
      <c r="B114" s="469" t="s">
        <v>309</v>
      </c>
      <c r="C114"/>
      <c r="D114" s="1302" t="s">
        <v>1211</v>
      </c>
      <c r="E114" s="1302"/>
      <c r="F114" s="1302"/>
      <c r="G114"/>
    </row>
    <row r="115" spans="1:7" ht="14.4">
      <c r="A115" s="176"/>
      <c r="B115" s="176"/>
      <c r="C115"/>
      <c r="D115" s="1302"/>
      <c r="E115" s="1302"/>
      <c r="F115" s="1302"/>
      <c r="G115"/>
    </row>
    <row r="116" spans="1:7"/>
    <row r="117" spans="1:7" ht="14.4">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4">
      <c r="A123" s="176"/>
      <c r="B123" s="469" t="s">
        <v>309</v>
      </c>
      <c r="D123" s="1260" t="s">
        <v>1213</v>
      </c>
      <c r="E123" s="1260"/>
      <c r="F123" s="1260"/>
    </row>
    <row r="124" spans="1:7" s="197" customFormat="1" ht="13.65" customHeight="1">
      <c r="A124" s="195"/>
      <c r="B124" s="195"/>
      <c r="C124" s="195"/>
      <c r="D124" s="1260"/>
      <c r="E124" s="1260"/>
      <c r="F124" s="1260"/>
      <c r="G124" s="196"/>
    </row>
    <row r="125" spans="1:7" ht="13.65" customHeight="1">
      <c r="D125" s="1260"/>
      <c r="E125" s="1260"/>
      <c r="F125" s="1260"/>
    </row>
    <row r="126" spans="1:7" ht="13.65" customHeight="1">
      <c r="D126" s="1260"/>
      <c r="E126" s="1260"/>
      <c r="F126" s="1260"/>
    </row>
    <row r="127" spans="1:7" ht="13.65" customHeight="1">
      <c r="D127" s="1260"/>
      <c r="E127" s="1260"/>
      <c r="F127" s="1260"/>
    </row>
    <row r="128" spans="1:7" ht="13.65" customHeight="1">
      <c r="A128" s="256"/>
      <c r="B128" s="256"/>
      <c r="D128" s="1260"/>
      <c r="E128" s="1260"/>
      <c r="F128" s="1260"/>
    </row>
    <row r="129" spans="2:6" ht="13.65" customHeight="1">
      <c r="D129" s="1260"/>
      <c r="E129" s="1260"/>
      <c r="F129" s="1260"/>
    </row>
    <row r="130" spans="2:6" ht="13.65" customHeight="1">
      <c r="D130" s="1260"/>
      <c r="E130" s="1260"/>
      <c r="F130" s="1260"/>
    </row>
    <row r="131" spans="2:6" ht="13.65" customHeight="1">
      <c r="D131" s="1260"/>
      <c r="E131" s="1260"/>
      <c r="F131" s="1260"/>
    </row>
    <row r="132" spans="2:6" ht="13.65" customHeight="1">
      <c r="D132" s="1260"/>
      <c r="E132" s="1260"/>
      <c r="F132" s="1260"/>
    </row>
    <row r="133" spans="2:6" ht="13.65" customHeight="1">
      <c r="D133" s="1260"/>
      <c r="E133" s="1260"/>
      <c r="F133" s="1260"/>
    </row>
    <row r="134" spans="2:6" ht="13.65" customHeight="1">
      <c r="D134" s="1260"/>
      <c r="E134" s="1260"/>
      <c r="F134" s="1260"/>
    </row>
    <row r="135" spans="2:6" ht="13.65" customHeight="1">
      <c r="D135" s="218"/>
      <c r="E135" s="35"/>
      <c r="F135" s="35"/>
    </row>
    <row r="136" spans="2:6" ht="13.65" customHeight="1">
      <c r="B136" s="469" t="s">
        <v>309</v>
      </c>
      <c r="D136" s="1260" t="s">
        <v>1321</v>
      </c>
      <c r="E136" s="1260"/>
      <c r="F136" s="1260"/>
    </row>
    <row r="137" spans="2:6" ht="13.65" customHeight="1">
      <c r="D137" s="1260"/>
      <c r="E137" s="1260"/>
      <c r="F137" s="1260"/>
    </row>
    <row r="138" spans="2:6" ht="13.65" customHeight="1">
      <c r="D138" s="1260"/>
      <c r="E138" s="1260"/>
      <c r="F138" s="1260"/>
    </row>
    <row r="139" spans="2:6" ht="13.65" customHeight="1">
      <c r="D139" s="1260"/>
      <c r="E139" s="1260"/>
      <c r="F139" s="1260"/>
    </row>
    <row r="140" spans="2:6" ht="13.65" customHeight="1">
      <c r="D140" s="1260"/>
      <c r="E140" s="1260"/>
      <c r="F140" s="1260"/>
    </row>
    <row r="141" spans="2:6" ht="13.65" customHeight="1">
      <c r="D141" s="1260"/>
      <c r="E141" s="1260"/>
      <c r="F141" s="1260"/>
    </row>
    <row r="142" spans="2:6" ht="13.65" customHeight="1">
      <c r="D142" s="1260"/>
      <c r="E142" s="1260"/>
      <c r="F142" s="1260"/>
    </row>
    <row r="143" spans="2:6" ht="13.65" customHeight="1">
      <c r="D143" s="1260"/>
      <c r="E143" s="1260"/>
      <c r="F143" s="1260"/>
    </row>
    <row r="144" spans="2:6" ht="13.65" customHeight="1">
      <c r="D144" s="1260"/>
      <c r="E144" s="1260"/>
      <c r="F144" s="1260"/>
    </row>
    <row r="145" spans="1:7" ht="13.65" customHeight="1">
      <c r="D145" s="1260"/>
      <c r="E145" s="1260"/>
      <c r="F145" s="1260"/>
    </row>
    <row r="146" spans="1:7" ht="13.65" customHeight="1">
      <c r="D146" s="1260"/>
      <c r="E146" s="1260"/>
      <c r="F146" s="1260"/>
    </row>
    <row r="147" spans="1:7" ht="13.65" customHeight="1">
      <c r="D147" s="1260"/>
      <c r="E147" s="1260"/>
      <c r="F147" s="1260"/>
    </row>
    <row r="148" spans="1:7" ht="13.65" customHeight="1">
      <c r="D148" s="1260"/>
      <c r="E148" s="1260"/>
      <c r="F148" s="1260"/>
    </row>
    <row r="149" spans="1:7" ht="13.65" customHeight="1">
      <c r="D149" s="1260"/>
      <c r="E149" s="1260"/>
      <c r="F149" s="1260"/>
    </row>
    <row r="150" spans="1:7" ht="13.65" customHeight="1">
      <c r="D150" s="1260"/>
      <c r="E150" s="1260"/>
      <c r="F150" s="1260"/>
    </row>
    <row r="151" spans="1:7" ht="13.65" customHeight="1">
      <c r="D151" s="1260"/>
      <c r="E151" s="1260"/>
      <c r="F151" s="1260"/>
    </row>
    <row r="152" spans="1:7" ht="13.65" customHeight="1">
      <c r="D152" s="1260"/>
      <c r="E152" s="1260"/>
      <c r="F152" s="1260"/>
    </row>
    <row r="153" spans="1:7" ht="13.65" customHeight="1">
      <c r="D153" s="1260"/>
      <c r="E153" s="1260"/>
      <c r="F153" s="1260"/>
    </row>
    <row r="154" spans="1:7" ht="13.65" customHeight="1">
      <c r="D154" s="1260"/>
      <c r="E154" s="1260"/>
      <c r="F154" s="1260"/>
    </row>
    <row r="155" spans="1:7" ht="13.65" customHeight="1">
      <c r="D155" s="218"/>
      <c r="E155" s="35"/>
      <c r="F155" s="35"/>
    </row>
    <row r="156" spans="1:7" ht="13.65" customHeight="1">
      <c r="A156" s="256"/>
      <c r="B156" s="469" t="s">
        <v>309</v>
      </c>
      <c r="C156" s="218"/>
      <c r="D156" s="1263" t="s">
        <v>1214</v>
      </c>
      <c r="E156" s="1263"/>
      <c r="F156" s="1263"/>
      <c r="G156" s="218"/>
    </row>
    <row r="157" spans="1:7" ht="13.65" customHeight="1">
      <c r="A157" s="256"/>
      <c r="B157" s="256"/>
      <c r="C157" s="218"/>
      <c r="D157" s="1263"/>
      <c r="E157" s="1263"/>
      <c r="F157" s="1263"/>
      <c r="G157" s="218"/>
    </row>
    <row r="158" spans="1:7" ht="13.65" customHeight="1">
      <c r="A158" s="256"/>
      <c r="B158" s="256"/>
      <c r="C158" s="218"/>
      <c r="D158" s="218"/>
      <c r="E158" s="218"/>
      <c r="F158" s="218"/>
      <c r="G158" s="218"/>
    </row>
    <row r="159" spans="1:7" ht="13.65" customHeight="1">
      <c r="A159" s="256"/>
      <c r="B159" s="469" t="s">
        <v>309</v>
      </c>
      <c r="C159" s="218"/>
      <c r="D159" s="1263" t="s">
        <v>1215</v>
      </c>
      <c r="E159" s="1263"/>
      <c r="F159" s="1263"/>
      <c r="G159" s="218"/>
    </row>
    <row r="160" spans="1:7" ht="13.65" customHeight="1">
      <c r="A160" s="256"/>
      <c r="B160" s="256"/>
      <c r="C160" s="218"/>
      <c r="D160" s="1263"/>
      <c r="E160" s="1263"/>
      <c r="F160" s="1263"/>
      <c r="G160" s="218"/>
    </row>
    <row r="161" spans="1:7" ht="13.65" customHeight="1">
      <c r="A161" s="256"/>
      <c r="B161" s="256"/>
      <c r="C161" s="218"/>
      <c r="D161" s="1263"/>
      <c r="E161" s="1263"/>
      <c r="F161" s="1263"/>
      <c r="G161" s="218"/>
    </row>
    <row r="162" spans="1:7" ht="13.65" customHeight="1">
      <c r="A162" s="256"/>
      <c r="B162" s="256"/>
      <c r="C162" s="218"/>
      <c r="D162" s="1263"/>
      <c r="E162" s="1263"/>
      <c r="F162" s="1263"/>
      <c r="G162" s="218"/>
    </row>
    <row r="163" spans="1:7" ht="13.65" customHeight="1">
      <c r="D163" s="35"/>
      <c r="E163" s="35"/>
      <c r="F163" s="35"/>
    </row>
    <row r="164" spans="1:7" ht="13.65" customHeight="1">
      <c r="B164" s="469" t="s">
        <v>309</v>
      </c>
      <c r="D164" s="1297" t="s">
        <v>1216</v>
      </c>
      <c r="E164" s="1297"/>
      <c r="F164" s="1297"/>
    </row>
    <row r="165" spans="1:7" ht="13.65" customHeight="1">
      <c r="D165" s="1297"/>
      <c r="E165" s="1297"/>
      <c r="F165" s="1297"/>
    </row>
    <row r="166" spans="1:7" ht="13.65" customHeight="1">
      <c r="D166" s="1297"/>
      <c r="E166" s="1297"/>
      <c r="F166" s="1297"/>
    </row>
    <row r="167" spans="1:7" ht="13.65"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4">
      <c r="A178" s="176"/>
      <c r="B178" s="469" t="s">
        <v>309</v>
      </c>
      <c r="D178" s="1275" t="s">
        <v>1218</v>
      </c>
      <c r="E178" s="1275"/>
      <c r="F178" s="1275"/>
    </row>
    <row r="179" spans="1:7" ht="14.4">
      <c r="A179" s="176"/>
      <c r="B179" s="176"/>
      <c r="D179" s="1275"/>
      <c r="E179" s="1275"/>
      <c r="F179" s="1275"/>
    </row>
    <row r="180" spans="1:7" ht="14.4">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4">
      <c r="A186" s="176"/>
      <c r="B186" s="469" t="s">
        <v>309</v>
      </c>
      <c r="C186" s="386"/>
      <c r="D186" s="1260" t="s">
        <v>1217</v>
      </c>
      <c r="E186" s="1260"/>
      <c r="F186" s="1260"/>
      <c r="G186" s="3"/>
    </row>
    <row r="187" spans="1:7" ht="14.4" customHeight="1">
      <c r="A187" s="176"/>
      <c r="B187"/>
      <c r="C187" s="386"/>
      <c r="D187" s="1260"/>
      <c r="E187" s="1260"/>
      <c r="F187" s="1260"/>
      <c r="G187" s="3"/>
    </row>
    <row r="188" spans="1:7" ht="14.4">
      <c r="A188" s="176"/>
      <c r="B188" s="386"/>
      <c r="C188" s="386"/>
      <c r="D188" s="1260"/>
      <c r="E188" s="1260"/>
      <c r="F188" s="1260"/>
      <c r="G188" s="3"/>
    </row>
    <row r="189" spans="1:7" ht="14.4">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 customHeight="1">
      <c r="A196" s="13"/>
      <c r="C196" s="13"/>
      <c r="D196" s="1279" t="s">
        <v>556</v>
      </c>
      <c r="E196" s="1279"/>
      <c r="F196" s="1279"/>
    </row>
    <row r="197" spans="1:6" ht="14.4">
      <c r="A197" s="176"/>
      <c r="B197" s="469" t="s">
        <v>309</v>
      </c>
      <c r="D197" s="1260" t="s">
        <v>1235</v>
      </c>
      <c r="E197" s="1260"/>
      <c r="F197" s="1260"/>
    </row>
    <row r="198" spans="1:6" ht="14.4">
      <c r="A198" s="176"/>
      <c r="B198" s="176"/>
      <c r="D198" s="1260"/>
      <c r="E198" s="1260"/>
      <c r="F198" s="1260"/>
    </row>
    <row r="199" spans="1:6"/>
    <row r="200" spans="1:6" ht="14.4">
      <c r="A200" s="176"/>
      <c r="B200" s="469" t="s">
        <v>309</v>
      </c>
      <c r="D200" s="1260" t="s">
        <v>1236</v>
      </c>
      <c r="E200" s="1260"/>
      <c r="F200" s="1260"/>
    </row>
    <row r="201" spans="1:6" ht="14.4">
      <c r="A201" s="176"/>
      <c r="B201" s="176"/>
      <c r="D201" s="1260"/>
      <c r="E201" s="1260"/>
      <c r="F201" s="1260"/>
    </row>
    <row r="202" spans="1:6" ht="14.4">
      <c r="A202" s="176"/>
      <c r="B202" s="176"/>
      <c r="D202" s="1260"/>
      <c r="E202" s="1260"/>
      <c r="F202" s="1260"/>
    </row>
    <row r="203" spans="1:6" ht="5.0999999999999996" customHeight="1">
      <c r="A203" s="176"/>
      <c r="B203" s="176"/>
      <c r="D203" s="35"/>
      <c r="E203" s="35"/>
      <c r="F203" s="35"/>
    </row>
    <row r="204" spans="1:6" ht="14.4">
      <c r="A204" s="176"/>
      <c r="B204" s="176"/>
      <c r="D204" s="1260" t="s">
        <v>1237</v>
      </c>
      <c r="E204" s="1260"/>
      <c r="F204" s="1260"/>
    </row>
    <row r="205" spans="1:6" ht="14.4">
      <c r="A205" s="176"/>
      <c r="B205" s="176"/>
      <c r="D205" s="1260"/>
      <c r="E205" s="1260"/>
      <c r="F205" s="1260"/>
    </row>
    <row r="206" spans="1:6" ht="14.4">
      <c r="A206" s="176"/>
      <c r="B206" s="176"/>
      <c r="D206" s="1260"/>
      <c r="E206" s="1260"/>
      <c r="F206" s="1260"/>
    </row>
    <row r="207" spans="1:6" ht="14.4">
      <c r="A207" s="176"/>
      <c r="B207" s="176"/>
      <c r="D207" s="1260"/>
      <c r="E207" s="1260"/>
      <c r="F207" s="1260"/>
    </row>
    <row r="208" spans="1:6" ht="14.4">
      <c r="A208" s="176"/>
      <c r="B208" s="176"/>
      <c r="D208" s="1260"/>
      <c r="E208" s="1260"/>
      <c r="F208" s="1260"/>
    </row>
    <row r="209" spans="1:7" ht="14.4">
      <c r="A209" s="176"/>
      <c r="B209" s="176"/>
      <c r="D209" s="35"/>
      <c r="E209" s="35"/>
      <c r="F209" s="35"/>
    </row>
    <row r="210" spans="1:7" ht="14.4">
      <c r="A210" s="176"/>
      <c r="B210" s="469" t="s">
        <v>309</v>
      </c>
      <c r="D210" s="1260" t="s">
        <v>1238</v>
      </c>
      <c r="E210" s="1260"/>
      <c r="F210" s="1260"/>
    </row>
    <row r="211" spans="1:7" ht="14.4">
      <c r="A211" s="176"/>
      <c r="B211" s="176"/>
      <c r="D211" s="1260"/>
      <c r="E211" s="1260"/>
      <c r="F211" s="1260"/>
    </row>
    <row r="212" spans="1:7" ht="14.4">
      <c r="A212" s="176"/>
      <c r="B212" s="176"/>
      <c r="D212" s="1278" t="s">
        <v>928</v>
      </c>
      <c r="E212" s="1278"/>
      <c r="F212" s="1278"/>
    </row>
    <row r="213" spans="1:7" ht="14.4">
      <c r="A213" s="176"/>
      <c r="B213" s="176"/>
      <c r="D213" s="35"/>
      <c r="E213" s="35"/>
      <c r="F213" s="35"/>
    </row>
    <row r="214" spans="1:7" ht="14.4" customHeight="1">
      <c r="A214" s="176"/>
      <c r="B214" s="469" t="s">
        <v>309</v>
      </c>
      <c r="D214" s="1260" t="s">
        <v>1240</v>
      </c>
      <c r="E214" s="1260"/>
      <c r="F214" s="1260"/>
    </row>
    <row r="215" spans="1:7" ht="14.4">
      <c r="A215" s="176"/>
      <c r="B215" s="176"/>
      <c r="D215" s="1260"/>
      <c r="E215" s="1260"/>
      <c r="F215" s="1260"/>
    </row>
    <row r="216" spans="1:7" ht="14.4">
      <c r="A216" s="176"/>
      <c r="B216" s="176"/>
      <c r="D216" s="1260"/>
      <c r="E216" s="1260"/>
      <c r="F216" s="1260"/>
    </row>
    <row r="217" spans="1:7" ht="14.4">
      <c r="A217" s="176"/>
      <c r="B217" s="176"/>
      <c r="D217" s="1260"/>
      <c r="E217" s="1260"/>
      <c r="F217" s="1260"/>
    </row>
    <row r="218" spans="1:7" ht="14.4">
      <c r="A218" s="176"/>
      <c r="B218" s="176"/>
      <c r="D218" s="1260"/>
      <c r="E218" s="1260"/>
      <c r="F218" s="1260"/>
    </row>
    <row r="219" spans="1:7">
      <c r="D219" s="35"/>
      <c r="E219" s="35"/>
      <c r="F219" s="35"/>
    </row>
    <row r="220" spans="1:7" ht="14.4">
      <c r="A220" s="176"/>
      <c r="B220" s="469" t="s">
        <v>309</v>
      </c>
      <c r="D220" s="1260" t="s">
        <v>1239</v>
      </c>
      <c r="E220" s="1260"/>
      <c r="F220" s="1260"/>
    </row>
    <row r="221" spans="1:7" ht="14.4">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309" t="s">
        <v>1243</v>
      </c>
      <c r="E228" s="1309"/>
      <c r="F228" s="1309"/>
    </row>
    <row r="229" spans="1:6" ht="14.4">
      <c r="A229" s="176"/>
      <c r="B229" s="176"/>
      <c r="D229" s="1309"/>
      <c r="E229" s="1309"/>
      <c r="F229" s="1309"/>
    </row>
    <row r="230" spans="1:6">
      <c r="D230" s="35"/>
      <c r="E230" s="35"/>
      <c r="F230" s="35"/>
    </row>
    <row r="231" spans="1:6" ht="14.4"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4">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4">
      <c r="A253" s="176"/>
      <c r="B253" s="469" t="s">
        <v>309</v>
      </c>
      <c r="D253" s="1260" t="s">
        <v>1249</v>
      </c>
      <c r="E253" s="1260"/>
      <c r="F253" s="1260"/>
    </row>
    <row r="254" spans="1:7" ht="14.4">
      <c r="A254" s="176"/>
      <c r="B254" s="176"/>
      <c r="D254" s="1260"/>
      <c r="E254" s="1260"/>
      <c r="F254" s="1260"/>
    </row>
    <row r="255" spans="1:7">
      <c r="D255" s="35"/>
      <c r="E255" s="35"/>
      <c r="F255" s="35"/>
    </row>
    <row r="256" spans="1:7" ht="14.4">
      <c r="A256" s="176"/>
      <c r="B256" s="469" t="s">
        <v>309</v>
      </c>
      <c r="D256" s="1260" t="s">
        <v>1250</v>
      </c>
      <c r="E256" s="1260"/>
      <c r="F256" s="1260"/>
    </row>
    <row r="257" spans="1:7" ht="14.4">
      <c r="A257" s="176"/>
      <c r="B257" s="176"/>
      <c r="D257" s="1260"/>
      <c r="E257" s="1260"/>
      <c r="F257" s="1260"/>
    </row>
    <row r="258" spans="1:7" ht="14.4">
      <c r="A258" s="176"/>
      <c r="B258" s="176"/>
      <c r="D258" s="1260"/>
      <c r="E258" s="1260"/>
      <c r="F258" s="1260"/>
    </row>
    <row r="259" spans="1:7">
      <c r="D259" s="35"/>
      <c r="E259" s="35"/>
      <c r="F259" s="35"/>
    </row>
    <row r="260" spans="1:7" ht="14.4">
      <c r="A260" s="176"/>
      <c r="B260" s="469" t="s">
        <v>309</v>
      </c>
      <c r="D260" s="1260" t="s">
        <v>1251</v>
      </c>
      <c r="E260" s="1260"/>
      <c r="F260" s="1260"/>
    </row>
    <row r="261" spans="1:7" ht="14.4">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4">
      <c r="A269" s="176"/>
      <c r="B269" s="176"/>
      <c r="D269" s="342"/>
      <c r="E269" s="343"/>
      <c r="F269" s="343"/>
    </row>
    <row r="270" spans="1:7" ht="13.2" customHeight="1">
      <c r="B270" s="469" t="s">
        <v>309</v>
      </c>
      <c r="D270" s="1310" t="s">
        <v>1254</v>
      </c>
      <c r="E270" s="1310"/>
      <c r="F270" s="1310"/>
    </row>
    <row r="271" spans="1:7" ht="14.4">
      <c r="A271" s="176"/>
      <c r="B271" s="176"/>
      <c r="D271" s="1310"/>
      <c r="E271" s="1310"/>
      <c r="F271" s="1310"/>
    </row>
    <row r="272" spans="1:7" ht="14.4">
      <c r="A272" s="176"/>
      <c r="B272" s="176"/>
      <c r="D272" s="1310"/>
      <c r="E272" s="1310"/>
      <c r="F272" s="1310"/>
    </row>
    <row r="273" spans="1:6" ht="14.4">
      <c r="A273" s="176"/>
      <c r="B273" s="176"/>
      <c r="D273" s="1310"/>
      <c r="E273" s="1310"/>
      <c r="F273" s="1310"/>
    </row>
    <row r="274" spans="1:6" ht="14.4">
      <c r="A274" s="176"/>
      <c r="B274" s="176"/>
      <c r="D274" s="1310"/>
      <c r="E274" s="1310"/>
      <c r="F274" s="1310"/>
    </row>
    <row r="275" spans="1:6" ht="14.4">
      <c r="A275" s="176"/>
      <c r="B275" s="176"/>
      <c r="D275" s="342"/>
      <c r="E275" s="343"/>
      <c r="F275" s="343"/>
    </row>
    <row r="276" spans="1:6" ht="13.2" customHeight="1">
      <c r="B276" s="469" t="s">
        <v>309</v>
      </c>
      <c r="D276" s="1310" t="s">
        <v>1255</v>
      </c>
      <c r="E276" s="1310"/>
      <c r="F276" s="1310"/>
    </row>
    <row r="277" spans="1:6">
      <c r="D277" s="1310"/>
      <c r="E277" s="1310"/>
      <c r="F277" s="1310"/>
    </row>
    <row r="278" spans="1:6" ht="14.4">
      <c r="A278" s="176"/>
      <c r="B278" s="176"/>
      <c r="D278" s="342"/>
      <c r="E278" s="343"/>
      <c r="F278" s="343"/>
    </row>
    <row r="279" spans="1:6">
      <c r="B279" s="469" t="s">
        <v>309</v>
      </c>
      <c r="D279" s="1280" t="s">
        <v>1256</v>
      </c>
      <c r="E279" s="1280"/>
      <c r="F279" s="1280"/>
    </row>
    <row r="280" spans="1:6">
      <c r="E280" s="35"/>
      <c r="F280" s="35"/>
    </row>
    <row r="281" spans="1:6" ht="14.4">
      <c r="A281" s="176"/>
      <c r="B281" s="469" t="s">
        <v>309</v>
      </c>
      <c r="D281" s="1260" t="s">
        <v>1257</v>
      </c>
      <c r="E281" s="1260"/>
      <c r="F281" s="1260"/>
    </row>
    <row r="282" spans="1:6" ht="14.4">
      <c r="A282" s="176"/>
      <c r="B282" s="176"/>
      <c r="D282" s="1260"/>
      <c r="E282" s="1260"/>
      <c r="F282" s="1260"/>
    </row>
    <row r="283" spans="1:6" ht="14.4">
      <c r="A283" s="176"/>
      <c r="B283" s="176"/>
      <c r="D283" s="1260"/>
      <c r="E283" s="1260"/>
      <c r="F283" s="1260"/>
    </row>
    <row r="284" spans="1:6" ht="14.4">
      <c r="A284" s="176"/>
      <c r="B284" s="176"/>
      <c r="D284" s="1260"/>
      <c r="E284" s="1260"/>
      <c r="F284" s="1260"/>
    </row>
    <row r="285" spans="1:6" ht="14.4">
      <c r="A285" s="176"/>
      <c r="B285" s="176"/>
      <c r="D285" s="1260"/>
      <c r="E285" s="1260"/>
      <c r="F285" s="1260"/>
    </row>
    <row r="286" spans="1:6" ht="14.4">
      <c r="A286" s="176"/>
      <c r="B286" s="176"/>
      <c r="D286" s="1260"/>
      <c r="E286" s="1260"/>
      <c r="F286" s="1260"/>
    </row>
    <row r="287" spans="1:6" ht="14.4">
      <c r="A287" s="176"/>
      <c r="B287" s="176"/>
      <c r="D287" s="1260"/>
      <c r="E287" s="1260"/>
      <c r="F287" s="1260"/>
    </row>
    <row r="288" spans="1:6" ht="14.4">
      <c r="A288" s="176"/>
      <c r="B288" s="176"/>
      <c r="D288" s="1260"/>
      <c r="E288" s="1260"/>
      <c r="F288" s="1260"/>
    </row>
    <row r="289" spans="1:6" ht="14.4">
      <c r="A289" s="176"/>
      <c r="B289" s="176"/>
      <c r="D289" s="1260"/>
      <c r="E289" s="1260"/>
      <c r="F289" s="1260"/>
    </row>
    <row r="290" spans="1:6" ht="14.4">
      <c r="A290" s="176"/>
      <c r="B290" s="176"/>
      <c r="D290" s="1260"/>
      <c r="E290" s="1260"/>
      <c r="F290" s="1260"/>
    </row>
    <row r="291" spans="1:6" ht="14.4">
      <c r="A291" s="176"/>
      <c r="B291" s="176"/>
      <c r="D291" s="1260"/>
      <c r="E291" s="1260"/>
      <c r="F291" s="1260"/>
    </row>
    <row r="292" spans="1:6" ht="14.4">
      <c r="A292" s="176"/>
      <c r="B292" s="176"/>
      <c r="D292" s="1260"/>
      <c r="E292" s="1260"/>
      <c r="F292" s="1260"/>
    </row>
    <row r="293" spans="1:6" ht="14.4">
      <c r="A293" s="176"/>
      <c r="B293" s="176"/>
      <c r="D293" s="1260"/>
      <c r="E293" s="1260"/>
      <c r="F293" s="1260"/>
    </row>
    <row r="294" spans="1:6" ht="14.4">
      <c r="A294" s="176"/>
      <c r="B294" s="176"/>
      <c r="D294" s="1260"/>
      <c r="E294" s="1260"/>
      <c r="F294" s="1260"/>
    </row>
    <row r="295" spans="1:6" ht="14.4">
      <c r="A295" s="176"/>
      <c r="B295" s="176"/>
      <c r="D295" s="1260"/>
      <c r="E295" s="1260"/>
      <c r="F295" s="1260"/>
    </row>
    <row r="296" spans="1:6">
      <c r="D296" s="35"/>
      <c r="E296" s="35"/>
      <c r="F296" s="35"/>
    </row>
    <row r="297" spans="1:6" ht="14.4">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4">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8" thickBot="1">
      <c r="D314" s="1306" t="s">
        <v>1020</v>
      </c>
      <c r="E314" s="1306"/>
      <c r="F314" s="1306"/>
      <c r="G314"/>
    </row>
    <row r="315" spans="1:7" ht="13.8" thickTop="1">
      <c r="D315" s="1307" t="s">
        <v>1260</v>
      </c>
      <c r="E315" s="1307"/>
      <c r="F315" s="1307"/>
      <c r="G315"/>
    </row>
    <row r="316" spans="1:7">
      <c r="A316" s="218"/>
      <c r="B316" s="218"/>
      <c r="C316" s="218"/>
      <c r="D316" s="220"/>
      <c r="E316" s="220"/>
      <c r="F316" s="35"/>
      <c r="G316"/>
    </row>
    <row r="317" spans="1:7" ht="14.4">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4">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4">
      <c r="A367" s="176"/>
      <c r="B367" s="469" t="s">
        <v>309</v>
      </c>
      <c r="C367" s="218"/>
      <c r="D367" s="1263" t="s">
        <v>1267</v>
      </c>
      <c r="E367" s="1263"/>
      <c r="F367" s="1263"/>
      <c r="G367"/>
    </row>
    <row r="368" spans="1:7" ht="14.4">
      <c r="A368" s="347"/>
      <c r="B368" s="347"/>
      <c r="C368" s="218"/>
      <c r="D368" s="1263"/>
      <c r="E368" s="1263"/>
      <c r="F368" s="1263"/>
      <c r="G368"/>
    </row>
    <row r="369" spans="1:7" ht="14.4">
      <c r="A369" s="347"/>
      <c r="B369" s="347"/>
      <c r="C369" s="218"/>
      <c r="D369" s="1263"/>
      <c r="E369" s="1263"/>
      <c r="F369" s="1263"/>
      <c r="G369"/>
    </row>
    <row r="370" spans="1:7" ht="14.4">
      <c r="A370" s="347"/>
      <c r="B370" s="347"/>
      <c r="C370" s="218"/>
      <c r="D370" s="1263"/>
      <c r="E370" s="1263"/>
      <c r="F370" s="1263"/>
      <c r="G370"/>
    </row>
    <row r="371" spans="1:7" ht="14.4">
      <c r="A371" s="347"/>
      <c r="B371" s="347"/>
      <c r="C371" s="218"/>
      <c r="D371" s="1263"/>
      <c r="E371" s="1263"/>
      <c r="F371" s="1263"/>
      <c r="G371"/>
    </row>
    <row r="372" spans="1:7">
      <c r="D372" s="35"/>
      <c r="E372" s="35"/>
      <c r="F372" s="35"/>
      <c r="G372"/>
    </row>
    <row r="373" spans="1:7" ht="14.4">
      <c r="A373" s="176"/>
      <c r="B373" s="469" t="s">
        <v>309</v>
      </c>
      <c r="C373" s="179"/>
      <c r="D373" s="1260" t="s">
        <v>1268</v>
      </c>
      <c r="E373" s="1260"/>
      <c r="F373" s="1260"/>
      <c r="G373"/>
    </row>
    <row r="374" spans="1:7" ht="14.4">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65" customHeight="1">
      <c r="D403" s="1260"/>
      <c r="E403" s="1260"/>
      <c r="F403" s="1260"/>
    </row>
    <row r="404" spans="1:7">
      <c r="D404" s="35"/>
      <c r="E404" s="35"/>
      <c r="F404" s="35"/>
    </row>
    <row r="405" spans="1:7" ht="14.4">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4">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4">
      <c r="B416" s="469" t="s">
        <v>309</v>
      </c>
      <c r="C416" s="176"/>
      <c r="D416" s="1260" t="s">
        <v>1272</v>
      </c>
      <c r="E416" s="1260"/>
      <c r="F416" s="1260"/>
      <c r="G416"/>
    </row>
    <row r="417" spans="1:7">
      <c r="D417" s="1260"/>
      <c r="E417" s="1260"/>
      <c r="F417" s="1260"/>
      <c r="G417"/>
    </row>
    <row r="418" spans="1:7">
      <c r="D418" s="35"/>
      <c r="E418" s="35"/>
      <c r="F418" s="35"/>
      <c r="G418"/>
    </row>
    <row r="419" spans="1:7" ht="14.4">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4">
      <c r="A445" s="176"/>
      <c r="B445" s="176"/>
      <c r="D445" s="1308" t="s">
        <v>1276</v>
      </c>
      <c r="E445" s="1308"/>
      <c r="F445" s="1308"/>
    </row>
    <row r="446" spans="1:7" ht="14.4">
      <c r="A446" s="176"/>
      <c r="B446" s="176"/>
      <c r="D446" s="482"/>
      <c r="E446" s="3"/>
      <c r="F446" s="3"/>
    </row>
    <row r="447" spans="1:7" ht="14.4">
      <c r="A447" s="176"/>
      <c r="B447" s="469" t="s">
        <v>309</v>
      </c>
      <c r="D447" s="1263" t="s">
        <v>1277</v>
      </c>
      <c r="E447" s="1263"/>
      <c r="F447" s="1263"/>
    </row>
    <row r="448" spans="1:7" ht="14.4">
      <c r="A448" s="176"/>
      <c r="B448" s="176"/>
      <c r="D448" s="1263"/>
      <c r="E448" s="1263"/>
      <c r="F448" s="1263"/>
    </row>
    <row r="449" spans="1:7" ht="14.4">
      <c r="A449" s="176"/>
      <c r="B449" s="176"/>
      <c r="D449" s="118"/>
      <c r="E449" s="3"/>
      <c r="F449" s="3"/>
    </row>
    <row r="450" spans="1:7">
      <c r="B450" s="469" t="s">
        <v>309</v>
      </c>
      <c r="D450" s="1297" t="s">
        <v>1278</v>
      </c>
      <c r="E450" s="1297"/>
      <c r="F450" s="1297"/>
    </row>
    <row r="451" spans="1:7" ht="14.4">
      <c r="A451" s="176"/>
      <c r="D451" s="1297"/>
      <c r="E451" s="1297"/>
      <c r="F451" s="1297"/>
    </row>
    <row r="452" spans="1:7" ht="14.4">
      <c r="A452" s="176"/>
      <c r="B452" s="176"/>
      <c r="D452" s="1297"/>
      <c r="E452" s="1297"/>
      <c r="F452" s="1297"/>
    </row>
    <row r="453" spans="1:7" ht="14.4">
      <c r="A453" s="176"/>
      <c r="B453" s="176"/>
      <c r="D453" s="1297"/>
      <c r="E453" s="1297"/>
      <c r="F453" s="1297"/>
    </row>
    <row r="454" spans="1:7">
      <c r="D454" s="3"/>
      <c r="E454" s="3"/>
      <c r="F454" s="3"/>
      <c r="G454"/>
    </row>
    <row r="455" spans="1:7" ht="14.4">
      <c r="A455" s="176"/>
      <c r="B455" s="469" t="s">
        <v>309</v>
      </c>
      <c r="D455" s="1260" t="s">
        <v>1279</v>
      </c>
      <c r="E455" s="1260"/>
      <c r="F455" s="1260"/>
      <c r="G455"/>
    </row>
    <row r="456" spans="1:7" ht="14.4">
      <c r="A456" s="176"/>
      <c r="B456" s="176"/>
      <c r="D456" s="1260"/>
      <c r="E456" s="1260"/>
      <c r="F456" s="1260"/>
      <c r="G456"/>
    </row>
    <row r="457" spans="1:7" ht="14.4">
      <c r="A457" s="176"/>
      <c r="D457" s="1260"/>
      <c r="E457" s="1260"/>
      <c r="F457" s="1260"/>
      <c r="G457"/>
    </row>
    <row r="458" spans="1:7" ht="14.4">
      <c r="A458" s="176"/>
      <c r="B458" s="176"/>
      <c r="D458" s="3"/>
      <c r="E458" s="3"/>
      <c r="F458" s="3"/>
      <c r="G458"/>
    </row>
    <row r="459" spans="1:7" ht="14.4">
      <c r="A459" s="176"/>
      <c r="B459" s="469" t="s">
        <v>309</v>
      </c>
      <c r="D459" s="1280" t="s">
        <v>1280</v>
      </c>
      <c r="E459" s="1280"/>
      <c r="F459" s="1280"/>
      <c r="G459"/>
    </row>
    <row r="460" spans="1:7" ht="14.4">
      <c r="A460" s="176"/>
      <c r="B460" s="176"/>
      <c r="D460" s="118"/>
      <c r="E460" s="3"/>
      <c r="F460" s="3"/>
      <c r="G460"/>
    </row>
    <row r="461" spans="1:7" ht="14.4">
      <c r="A461" s="176"/>
      <c r="B461" s="469" t="s">
        <v>309</v>
      </c>
      <c r="D461" s="1260" t="s">
        <v>1281</v>
      </c>
      <c r="E461" s="1260"/>
      <c r="F461" s="1260"/>
      <c r="G461"/>
    </row>
    <row r="462" spans="1:7" ht="14.4">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4">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 customHeight="1">
      <c r="A485" s="175"/>
      <c r="B485" s="175"/>
      <c r="C485" s="175"/>
      <c r="D485" s="220"/>
      <c r="F485" s="35"/>
    </row>
    <row r="486" spans="1:6" ht="14.4"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 customHeight="1">
      <c r="A519" s="176"/>
      <c r="B519" s="469" t="s">
        <v>309</v>
      </c>
      <c r="C519" s="179"/>
      <c r="D519" s="1280" t="s">
        <v>914</v>
      </c>
      <c r="E519" s="1280"/>
      <c r="F519" s="1280"/>
      <c r="G519"/>
    </row>
    <row r="520" spans="1:7" ht="13.2" customHeight="1">
      <c r="A520" s="179"/>
      <c r="B520" s="179"/>
      <c r="C520" s="179"/>
      <c r="D520" s="118"/>
      <c r="E520"/>
      <c r="F520"/>
      <c r="G520"/>
    </row>
    <row r="521" spans="1:7" ht="14.4">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4">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4">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4">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4">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4">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4">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4">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4">
      <c r="A546" s="176"/>
      <c r="B546" s="176"/>
      <c r="C546" s="179"/>
      <c r="E546" s="35"/>
      <c r="F546" s="35"/>
    </row>
    <row r="547" spans="1:7" ht="14.4">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4">
      <c r="A552" s="176"/>
      <c r="B552" s="469" t="s">
        <v>309</v>
      </c>
      <c r="C552" s="179"/>
      <c r="D552" s="1260" t="s">
        <v>1187</v>
      </c>
      <c r="E552" s="1260"/>
      <c r="F552" s="1260"/>
    </row>
    <row r="553" spans="1:7" ht="14.4">
      <c r="A553" s="176"/>
      <c r="B553" s="176"/>
      <c r="C553" s="179"/>
      <c r="D553" s="1260"/>
      <c r="E553" s="1260"/>
      <c r="F553" s="1260"/>
    </row>
    <row r="554" spans="1:7" ht="14.4">
      <c r="A554" s="176"/>
      <c r="B554" s="176"/>
      <c r="C554" s="179"/>
      <c r="D554" s="1260"/>
      <c r="E554" s="1260"/>
      <c r="F554" s="1260"/>
    </row>
    <row r="555" spans="1:7" ht="14.4">
      <c r="A555" s="176"/>
      <c r="B555" s="176"/>
      <c r="C555" s="179"/>
      <c r="D555" s="1260"/>
      <c r="E555" s="1260"/>
      <c r="F555" s="1260"/>
    </row>
    <row r="556" spans="1:7" ht="14.4">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4">
      <c r="A579" s="176"/>
      <c r="B579" s="469" t="s">
        <v>309</v>
      </c>
      <c r="D579" s="1297" t="s">
        <v>915</v>
      </c>
      <c r="E579" s="1297"/>
      <c r="F579" s="1297"/>
    </row>
    <row r="580" spans="1:7" ht="14.4">
      <c r="A580" s="176"/>
      <c r="B580" s="176"/>
      <c r="D580" s="255"/>
    </row>
    <row r="581" spans="1:7" ht="14.4">
      <c r="A581" s="176"/>
      <c r="B581" s="469" t="s">
        <v>309</v>
      </c>
      <c r="D581" s="1297" t="s">
        <v>1141</v>
      </c>
      <c r="E581" s="1297"/>
      <c r="F581" s="1297"/>
    </row>
    <row r="582" spans="1:7" ht="14.4">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4">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4">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4">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4">
      <c r="A628" s="176"/>
      <c r="B628" s="469" t="s">
        <v>309</v>
      </c>
      <c r="C628" s="179"/>
      <c r="D628" s="1275" t="s">
        <v>1232</v>
      </c>
      <c r="E628" s="1275"/>
      <c r="F628" s="1275"/>
    </row>
    <row r="629" spans="1:7" ht="14.4">
      <c r="A629" s="176"/>
      <c r="B629" s="176"/>
      <c r="C629" s="179"/>
      <c r="D629" s="1275"/>
      <c r="E629" s="1275"/>
      <c r="F629" s="1275"/>
    </row>
    <row r="630" spans="1:7" ht="14.4">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 customHeight="1">
      <c r="A640" s="176"/>
      <c r="B640" s="469" t="s">
        <v>309</v>
      </c>
      <c r="C640" s="179"/>
      <c r="D640" s="1260" t="s">
        <v>1285</v>
      </c>
      <c r="E640" s="1260"/>
      <c r="F640" s="1260"/>
    </row>
    <row r="641" spans="1:11" ht="14.4">
      <c r="A641" s="176"/>
      <c r="B641" s="176"/>
      <c r="C641" s="179"/>
      <c r="D641" s="1260"/>
      <c r="E641" s="1260"/>
      <c r="F641" s="1260"/>
    </row>
    <row r="642" spans="1:11" ht="14.4">
      <c r="A642" s="176"/>
      <c r="B642" s="176"/>
      <c r="C642" s="179"/>
      <c r="D642" s="1260"/>
      <c r="E642" s="1260"/>
      <c r="F642" s="1260"/>
    </row>
    <row r="643" spans="1:11" ht="14.4">
      <c r="A643" s="176"/>
      <c r="B643" s="176"/>
      <c r="C643" s="179"/>
      <c r="D643" s="1260"/>
      <c r="E643" s="1260"/>
      <c r="F643" s="1260"/>
    </row>
    <row r="644" spans="1:11" ht="14.4">
      <c r="A644" s="176"/>
      <c r="B644" s="176"/>
      <c r="C644" s="179"/>
      <c r="D644" s="1260"/>
      <c r="E644" s="1260"/>
      <c r="F644" s="1260"/>
    </row>
    <row r="645" spans="1:11" ht="14.4">
      <c r="A645" s="176"/>
      <c r="B645" s="176"/>
      <c r="C645" s="179"/>
      <c r="D645" s="475"/>
      <c r="E645" s="475"/>
      <c r="F645" s="475"/>
    </row>
    <row r="646" spans="1:11" ht="14.4">
      <c r="A646" s="176"/>
      <c r="B646" s="469" t="s">
        <v>309</v>
      </c>
      <c r="C646" s="179"/>
      <c r="D646" s="1294" t="s">
        <v>1135</v>
      </c>
      <c r="E646" s="1294"/>
      <c r="F646" s="1294"/>
    </row>
    <row r="647" spans="1:11" ht="14.4">
      <c r="A647" s="176"/>
      <c r="B647" s="176"/>
      <c r="C647" s="179"/>
      <c r="D647" s="1293" t="s">
        <v>1286</v>
      </c>
      <c r="E647" s="1293"/>
      <c r="F647" s="1293"/>
    </row>
    <row r="648" spans="1:11" ht="14.4">
      <c r="A648" s="176"/>
      <c r="B648" s="176"/>
      <c r="C648" s="179"/>
      <c r="D648" s="1293"/>
      <c r="E648" s="1293"/>
      <c r="F648" s="1293"/>
    </row>
    <row r="649" spans="1:11" ht="14.4">
      <c r="A649" s="176"/>
      <c r="B649" s="176"/>
      <c r="C649" s="179"/>
      <c r="D649" s="1293"/>
      <c r="E649" s="1293"/>
      <c r="F649" s="1293"/>
    </row>
    <row r="650" spans="1:11" ht="14.4">
      <c r="A650" s="176"/>
      <c r="B650" s="176"/>
      <c r="C650" s="179"/>
      <c r="D650" s="1293"/>
      <c r="E650" s="1293"/>
      <c r="F650" s="1293"/>
    </row>
    <row r="651" spans="1:11" ht="14.4">
      <c r="A651" s="176"/>
      <c r="B651" s="176"/>
      <c r="C651" s="179"/>
      <c r="D651" s="1293"/>
      <c r="E651" s="1293"/>
      <c r="F651" s="1293"/>
    </row>
    <row r="652" spans="1:11" ht="14.4">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4">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4">
      <c r="A669" s="176"/>
      <c r="B669" s="469" t="s">
        <v>309</v>
      </c>
      <c r="C669" s="175"/>
      <c r="D669" s="1280" t="s">
        <v>955</v>
      </c>
      <c r="E669" s="1280"/>
      <c r="F669" s="1280"/>
      <c r="H669" s="181"/>
      <c r="I669" s="181"/>
      <c r="J669" s="181"/>
      <c r="K669" s="181"/>
    </row>
    <row r="670" spans="1:11" ht="14.4">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4">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4">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4">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4">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4">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4">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4">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3.2"/>
    <row r="5" spans="1:10" ht="12.75" customHeight="1">
      <c r="A5" s="1315" t="s">
        <v>2448</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319" t="s">
        <v>2141</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2137</v>
      </c>
      <c r="B72" s="1316"/>
      <c r="C72" s="1316"/>
      <c r="D72" s="1316"/>
      <c r="E72" s="1316"/>
      <c r="F72" s="1316"/>
      <c r="G72" s="1316"/>
      <c r="H72" s="1316"/>
      <c r="I72" s="1316"/>
    </row>
    <row r="73" spans="1:9" ht="13.2">
      <c r="A73" s="1267" t="s">
        <v>2446</v>
      </c>
      <c r="B73" s="1267"/>
      <c r="C73" s="1267"/>
      <c r="D73" s="1267"/>
      <c r="E73" s="1267"/>
    </row>
    <row r="74" spans="1:9" ht="13.2">
      <c r="A74" s="1267" t="s">
        <v>2447</v>
      </c>
      <c r="B74" s="1267"/>
      <c r="C74" s="1267"/>
      <c r="D74" s="1267"/>
      <c r="E74" s="1267"/>
    </row>
    <row r="75" spans="1:9" ht="13.2">
      <c r="A75" s="1267" t="s">
        <v>2138</v>
      </c>
      <c r="B75" s="1267"/>
      <c r="C75" s="1267"/>
      <c r="D75" s="1267"/>
      <c r="E75" s="126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76" zoomScaleNormal="100" zoomScaleSheetLayoutView="100" workbookViewId="0">
      <selection activeCell="D32" sqref="D32"/>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65"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4">
      <c r="A15" s="519"/>
      <c r="B15" s="520" t="s">
        <v>2766</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4">
      <c r="A20" s="519"/>
      <c r="B20" s="520" t="s">
        <v>2766</v>
      </c>
      <c r="D20" s="1275" t="s">
        <v>2306</v>
      </c>
      <c r="E20" s="1275"/>
      <c r="F20" s="1275"/>
      <c r="I20" s="436" t="s">
        <v>2150</v>
      </c>
    </row>
    <row r="21" spans="1:9" ht="14.4">
      <c r="A21" s="519"/>
      <c r="D21" s="1275"/>
      <c r="E21" s="1275"/>
      <c r="F21" s="1275"/>
    </row>
    <row r="22" spans="1:9" ht="14.4">
      <c r="A22" s="519"/>
      <c r="D22" s="424"/>
      <c r="E22" s="96" t="s">
        <v>2302</v>
      </c>
      <c r="F22" s="424"/>
    </row>
    <row r="23" spans="1:9" ht="14.4">
      <c r="A23" s="519"/>
      <c r="B23" s="519"/>
      <c r="D23" s="481"/>
    </row>
    <row r="24" spans="1:9" ht="14.4">
      <c r="A24" s="519"/>
      <c r="B24" s="520" t="s">
        <v>2767</v>
      </c>
      <c r="D24" s="1275" t="s">
        <v>1191</v>
      </c>
      <c r="E24" s="1275"/>
      <c r="F24" s="1275"/>
      <c r="I24" s="436" t="s">
        <v>2150</v>
      </c>
    </row>
    <row r="25" spans="1:9" ht="14.4">
      <c r="A25" s="519"/>
      <c r="B25" s="519"/>
      <c r="D25" s="1275"/>
      <c r="E25" s="1275"/>
      <c r="F25" s="1275"/>
    </row>
    <row r="26" spans="1:9"/>
    <row r="27" spans="1:9" ht="14.4">
      <c r="A27" s="519"/>
      <c r="B27" s="520" t="s">
        <v>2766</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2766</v>
      </c>
      <c r="D33" s="1275" t="s">
        <v>2450</v>
      </c>
      <c r="E33" s="1275"/>
      <c r="F33" s="1275"/>
      <c r="I33" s="436" t="s">
        <v>2149</v>
      </c>
    </row>
    <row r="34" spans="1:9">
      <c r="D34" s="1275"/>
      <c r="E34" s="1275"/>
      <c r="F34" s="1275"/>
    </row>
    <row r="35" spans="1:9" ht="14.4">
      <c r="A35" s="519"/>
      <c r="B35" s="519"/>
      <c r="D35" s="482"/>
    </row>
    <row r="36" spans="1:9" ht="14.4" customHeight="1">
      <c r="A36" s="519"/>
      <c r="B36" s="520" t="s">
        <v>2767</v>
      </c>
      <c r="D36" s="1275" t="s">
        <v>1358</v>
      </c>
      <c r="E36" s="1275"/>
      <c r="F36" s="1275"/>
      <c r="I36" s="436" t="s">
        <v>2220</v>
      </c>
    </row>
    <row r="37" spans="1:9" ht="14.4">
      <c r="A37" s="519"/>
      <c r="B37" s="519"/>
      <c r="D37" s="1275"/>
      <c r="E37" s="1275"/>
      <c r="F37" s="1275"/>
    </row>
    <row r="38" spans="1:9" ht="14.4">
      <c r="A38" s="519"/>
      <c r="B38" s="519"/>
      <c r="D38" s="1275"/>
      <c r="E38" s="1275"/>
      <c r="F38" s="1275"/>
    </row>
    <row r="39" spans="1:9" ht="14.4">
      <c r="A39" s="519"/>
      <c r="B39" s="519"/>
      <c r="D39" s="1275"/>
      <c r="E39" s="1275"/>
      <c r="F39" s="1275"/>
    </row>
    <row r="40" spans="1:9" ht="14.4">
      <c r="A40" s="519"/>
      <c r="B40" s="519"/>
    </row>
    <row r="41" spans="1:9" ht="14.4">
      <c r="A41" s="519"/>
      <c r="B41" s="520" t="s">
        <v>2767</v>
      </c>
      <c r="D41" s="1275" t="s">
        <v>1195</v>
      </c>
      <c r="E41" s="1275"/>
      <c r="F41" s="1275"/>
    </row>
    <row r="42" spans="1:9" ht="14.4">
      <c r="A42" s="519"/>
      <c r="B42" s="519"/>
      <c r="D42" s="1275"/>
      <c r="E42" s="1275"/>
      <c r="F42" s="1275"/>
    </row>
    <row r="43" spans="1:9" ht="14.4">
      <c r="A43" s="519"/>
      <c r="B43" s="519"/>
      <c r="D43" s="1275"/>
      <c r="E43" s="1275"/>
      <c r="F43" s="1275"/>
    </row>
    <row r="44" spans="1:9" ht="14.4">
      <c r="A44" s="519"/>
      <c r="B44" s="519"/>
      <c r="D44" s="1275"/>
      <c r="E44" s="1275"/>
      <c r="F44" s="1275"/>
    </row>
    <row r="45" spans="1:9" ht="14.4">
      <c r="A45" s="519"/>
      <c r="B45" s="519"/>
      <c r="D45" s="1275"/>
      <c r="E45" s="1275"/>
      <c r="F45" s="1275"/>
    </row>
    <row r="46" spans="1:9" ht="14.4">
      <c r="A46" s="519"/>
      <c r="B46" s="519"/>
      <c r="D46" s="480"/>
      <c r="E46" s="480"/>
      <c r="F46" s="480"/>
    </row>
    <row r="47" spans="1:9" ht="14.4">
      <c r="A47" s="519"/>
      <c r="B47" s="520" t="s">
        <v>2767</v>
      </c>
      <c r="D47" s="1275" t="s">
        <v>1196</v>
      </c>
      <c r="E47" s="1275"/>
      <c r="F47" s="1275"/>
      <c r="I47" s="436" t="s">
        <v>2220</v>
      </c>
    </row>
    <row r="48" spans="1:9" ht="14.4">
      <c r="A48" s="519"/>
      <c r="B48" s="519"/>
      <c r="D48" s="1275"/>
      <c r="E48" s="1275"/>
      <c r="F48" s="1275"/>
    </row>
    <row r="49" spans="1:9" ht="14.4">
      <c r="A49" s="519"/>
      <c r="B49" s="519"/>
      <c r="D49" s="1275"/>
      <c r="E49" s="1275"/>
      <c r="F49" s="1275"/>
    </row>
    <row r="50" spans="1:9" ht="23.25" customHeight="1">
      <c r="A50" s="519"/>
      <c r="B50" s="519"/>
      <c r="D50" s="1275"/>
      <c r="E50" s="1275"/>
      <c r="F50" s="1275"/>
    </row>
    <row r="51" spans="1:9" ht="14.4">
      <c r="A51" s="519"/>
      <c r="B51" s="519"/>
      <c r="D51" s="481"/>
    </row>
    <row r="52" spans="1:9" ht="14.4" customHeight="1">
      <c r="A52" s="519"/>
      <c r="B52" s="520" t="s">
        <v>2767</v>
      </c>
      <c r="D52" s="1275" t="s">
        <v>1197</v>
      </c>
      <c r="E52" s="1275"/>
      <c r="F52" s="1275"/>
      <c r="I52" s="436" t="s">
        <v>2220</v>
      </c>
    </row>
    <row r="53" spans="1:9" ht="14.4">
      <c r="A53" s="519"/>
      <c r="B53" s="519"/>
      <c r="D53" s="1275"/>
      <c r="E53" s="1275"/>
      <c r="F53" s="1275"/>
    </row>
    <row r="54" spans="1:9" ht="14.4">
      <c r="A54" s="519"/>
      <c r="B54" s="519"/>
      <c r="D54" s="1275"/>
      <c r="E54" s="1275"/>
      <c r="F54" s="1275"/>
    </row>
    <row r="55" spans="1:9" ht="14.4">
      <c r="A55" s="519"/>
      <c r="B55" s="519"/>
    </row>
    <row r="56" spans="1:9" ht="14.4">
      <c r="A56" s="519"/>
      <c r="B56" s="520" t="s">
        <v>2767</v>
      </c>
      <c r="D56" s="1334" t="s">
        <v>1198</v>
      </c>
      <c r="E56" s="1334"/>
      <c r="F56" s="1334"/>
    </row>
    <row r="57" spans="1:9" ht="14.4">
      <c r="A57" s="519"/>
      <c r="B57" s="519"/>
      <c r="D57" s="1334"/>
      <c r="E57" s="1334"/>
      <c r="F57" s="1334"/>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2767</v>
      </c>
      <c r="D61" s="1275" t="s">
        <v>1199</v>
      </c>
      <c r="E61" s="1275"/>
      <c r="F61" s="1275"/>
      <c r="I61" s="436" t="s">
        <v>2151</v>
      </c>
    </row>
    <row r="62" spans="1:9">
      <c r="D62" s="1275"/>
      <c r="E62" s="1275"/>
      <c r="F62" s="1275"/>
    </row>
    <row r="63" spans="1:9">
      <c r="D63" s="1275"/>
      <c r="E63" s="1275"/>
      <c r="F63" s="1275"/>
    </row>
    <row r="64" spans="1:9"/>
    <row r="65" spans="1:9" ht="14.4">
      <c r="A65" s="519"/>
      <c r="B65" s="520" t="s">
        <v>2767</v>
      </c>
      <c r="D65" s="1275" t="s">
        <v>1200</v>
      </c>
      <c r="E65" s="1275"/>
      <c r="F65" s="1275"/>
      <c r="I65" s="436" t="s">
        <v>2152</v>
      </c>
    </row>
    <row r="66" spans="1:9">
      <c r="D66" s="1275"/>
      <c r="E66" s="1275"/>
      <c r="F66" s="1275"/>
    </row>
    <row r="67" spans="1:9"/>
    <row r="68" spans="1:9" ht="14.4">
      <c r="A68" s="519"/>
      <c r="B68" s="520" t="s">
        <v>2766</v>
      </c>
      <c r="D68" s="1275" t="s">
        <v>1201</v>
      </c>
      <c r="E68" s="1275"/>
      <c r="F68" s="1275"/>
    </row>
    <row r="69" spans="1:9">
      <c r="D69" s="1275"/>
      <c r="E69" s="1275"/>
      <c r="F69" s="1275"/>
      <c r="I69" s="436" t="s">
        <v>2153</v>
      </c>
    </row>
    <row r="70" spans="1:9">
      <c r="D70" s="1275"/>
      <c r="E70" s="1275"/>
      <c r="F70" s="1275"/>
    </row>
    <row r="71" spans="1:9"/>
    <row r="72" spans="1:9" ht="14.4">
      <c r="A72" s="519"/>
      <c r="B72" s="520" t="s">
        <v>2766</v>
      </c>
      <c r="D72" s="1275" t="s">
        <v>1202</v>
      </c>
      <c r="E72" s="1275"/>
      <c r="F72" s="1275"/>
      <c r="I72" s="436" t="s">
        <v>2153</v>
      </c>
    </row>
    <row r="73" spans="1:9">
      <c r="D73" s="1275"/>
      <c r="E73" s="1275"/>
      <c r="F73" s="1275"/>
    </row>
    <row r="74" spans="1:9" ht="14.4">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65" customHeight="1">
      <c r="A80" s="519"/>
      <c r="B80" s="520" t="s">
        <v>2766</v>
      </c>
      <c r="D80" s="1275" t="s">
        <v>1402</v>
      </c>
      <c r="E80" s="1275"/>
      <c r="F80" s="1275"/>
      <c r="I80" s="436" t="s">
        <v>2154</v>
      </c>
    </row>
    <row r="81" spans="1:9" ht="14.4">
      <c r="A81" s="519"/>
      <c r="B81" s="519"/>
      <c r="D81" s="1275"/>
      <c r="E81" s="1275"/>
      <c r="F81" s="1275"/>
    </row>
    <row r="82" spans="1:9" ht="14.4">
      <c r="A82" s="519"/>
      <c r="B82" s="519"/>
      <c r="D82" s="1275"/>
      <c r="E82" s="1275"/>
      <c r="F82" s="1275"/>
    </row>
    <row r="83" spans="1:9" ht="14.4">
      <c r="A83" s="519"/>
      <c r="B83" s="519"/>
      <c r="D83" s="1275"/>
      <c r="E83" s="1275"/>
      <c r="F83" s="1275"/>
    </row>
    <row r="84" spans="1:9" ht="14.4">
      <c r="A84" s="519"/>
      <c r="B84" s="519"/>
      <c r="D84" s="1275"/>
      <c r="E84" s="1275"/>
      <c r="F84" s="1275"/>
    </row>
    <row r="85" spans="1:9" ht="14.4">
      <c r="A85" s="519"/>
      <c r="B85" s="519"/>
      <c r="D85" s="1275"/>
      <c r="E85" s="1275"/>
      <c r="F85" s="1275"/>
    </row>
    <row r="86" spans="1:9" ht="14.4">
      <c r="A86" s="519"/>
      <c r="B86" s="519"/>
      <c r="D86" s="1275"/>
      <c r="E86" s="1275"/>
      <c r="F86" s="1275"/>
    </row>
    <row r="87" spans="1:9" ht="14.4">
      <c r="A87" s="519"/>
      <c r="B87" s="519"/>
      <c r="D87" s="1275"/>
      <c r="E87" s="1275"/>
      <c r="F87" s="1275"/>
    </row>
    <row r="88" spans="1:9" ht="14.4">
      <c r="A88" s="519"/>
      <c r="B88" s="519"/>
      <c r="D88" s="417"/>
      <c r="E88" s="417"/>
      <c r="F88" s="417"/>
    </row>
    <row r="89" spans="1:9" ht="15" customHeight="1">
      <c r="A89" s="519"/>
      <c r="B89" s="520" t="s">
        <v>2766</v>
      </c>
      <c r="D89" s="1275" t="s">
        <v>2005</v>
      </c>
      <c r="E89" s="1275"/>
      <c r="F89" s="1275"/>
      <c r="I89" s="436" t="s">
        <v>2155</v>
      </c>
    </row>
    <row r="90" spans="1:9" ht="14.4">
      <c r="A90" s="519"/>
      <c r="B90" s="519"/>
      <c r="D90" s="1275"/>
      <c r="E90" s="1275"/>
      <c r="F90" s="1275"/>
    </row>
    <row r="91" spans="1:9" ht="14.4">
      <c r="A91" s="519"/>
      <c r="B91" s="519"/>
      <c r="D91" s="480"/>
      <c r="E91" s="480"/>
      <c r="F91" s="480"/>
    </row>
    <row r="92" spans="1:9" ht="14.4">
      <c r="A92" s="519"/>
      <c r="B92" s="520" t="s">
        <v>2766</v>
      </c>
      <c r="D92" s="1275" t="s">
        <v>2008</v>
      </c>
      <c r="E92" s="1275"/>
      <c r="F92" s="1275"/>
      <c r="I92" s="436" t="s">
        <v>2156</v>
      </c>
    </row>
    <row r="93" spans="1:9" ht="14.4">
      <c r="A93" s="519"/>
      <c r="B93" s="519"/>
      <c r="D93" s="1275"/>
      <c r="E93" s="1275"/>
      <c r="F93" s="1275"/>
    </row>
    <row r="94" spans="1:9" ht="14.4">
      <c r="A94" s="519"/>
      <c r="B94" s="519"/>
      <c r="D94" s="1275"/>
      <c r="E94" s="1275"/>
      <c r="F94" s="1275"/>
    </row>
    <row r="95" spans="1:9" ht="14.4">
      <c r="A95" s="519"/>
      <c r="B95" s="519"/>
      <c r="D95" s="480"/>
      <c r="E95" s="480"/>
      <c r="F95" s="480"/>
    </row>
    <row r="96" spans="1:9" ht="14.4">
      <c r="A96" s="519"/>
      <c r="B96" s="520" t="s">
        <v>2766</v>
      </c>
      <c r="D96" s="1275" t="s">
        <v>2007</v>
      </c>
      <c r="E96" s="1275"/>
      <c r="F96" s="1275"/>
      <c r="I96" s="436" t="s">
        <v>2201</v>
      </c>
    </row>
    <row r="97" spans="1:9" s="1024" customFormat="1" ht="14.4">
      <c r="A97" s="1022"/>
      <c r="B97" s="1022"/>
      <c r="C97" s="1023"/>
      <c r="D97" s="1275"/>
      <c r="E97" s="1275"/>
      <c r="F97" s="1275"/>
      <c r="I97" s="1063"/>
    </row>
    <row r="98" spans="1:9" ht="14.4">
      <c r="A98" s="519"/>
      <c r="B98" s="519"/>
      <c r="D98" s="424"/>
      <c r="E98" s="336" t="s">
        <v>2307</v>
      </c>
      <c r="F98" s="480"/>
    </row>
    <row r="99" spans="1:9" ht="14.4">
      <c r="A99" s="519"/>
      <c r="B99" s="519"/>
      <c r="D99" s="417"/>
      <c r="E99" s="417"/>
      <c r="F99" s="417"/>
    </row>
    <row r="100" spans="1:9" ht="14.4">
      <c r="A100" s="519"/>
      <c r="B100" s="520" t="s">
        <v>2767</v>
      </c>
      <c r="D100" s="1275" t="s">
        <v>2006</v>
      </c>
      <c r="E100" s="1275"/>
      <c r="F100" s="1275"/>
      <c r="I100" s="436" t="s">
        <v>2157</v>
      </c>
    </row>
    <row r="101" spans="1:9" ht="14.4">
      <c r="A101" s="519"/>
      <c r="B101" s="519"/>
      <c r="D101" s="1275"/>
      <c r="E101" s="1275"/>
      <c r="F101" s="1275"/>
    </row>
    <row r="102" spans="1:9" ht="14.4">
      <c r="A102" s="519"/>
      <c r="B102" s="519"/>
      <c r="D102" s="480"/>
      <c r="E102" s="480"/>
      <c r="F102" s="480"/>
    </row>
    <row r="103" spans="1:9" ht="14.4" customHeight="1">
      <c r="A103" s="519"/>
      <c r="B103" s="520" t="s">
        <v>2767</v>
      </c>
      <c r="D103" s="1275" t="s">
        <v>1338</v>
      </c>
      <c r="E103" s="1275"/>
      <c r="F103" s="1275"/>
      <c r="I103" s="436" t="s">
        <v>2158</v>
      </c>
    </row>
    <row r="104" spans="1:9" ht="14.4">
      <c r="A104" s="519"/>
      <c r="B104" s="519"/>
      <c r="D104" s="1275"/>
      <c r="E104" s="1275"/>
      <c r="F104" s="1275"/>
    </row>
    <row r="105" spans="1:9" ht="14.4">
      <c r="A105" s="519"/>
      <c r="B105" s="519"/>
      <c r="D105" s="1275"/>
      <c r="E105" s="1275"/>
      <c r="F105" s="1275"/>
    </row>
    <row r="106" spans="1:9" ht="14.4">
      <c r="A106" s="519"/>
      <c r="B106" s="519"/>
      <c r="D106" s="1275"/>
      <c r="E106" s="1275"/>
      <c r="F106" s="1275"/>
    </row>
    <row r="107" spans="1:9" ht="14.4">
      <c r="A107" s="519"/>
      <c r="B107" s="519"/>
      <c r="D107" s="1275"/>
      <c r="E107" s="1275"/>
      <c r="F107" s="1275"/>
    </row>
    <row r="108" spans="1:9" ht="14.4">
      <c r="A108" s="519"/>
      <c r="B108" s="519"/>
      <c r="D108" s="1275"/>
      <c r="E108" s="1275"/>
      <c r="F108" s="1275"/>
    </row>
    <row r="109" spans="1:9" ht="14.4">
      <c r="A109" s="519"/>
      <c r="B109" s="519"/>
      <c r="D109" s="1275"/>
      <c r="E109" s="1275"/>
      <c r="F109" s="1275"/>
    </row>
    <row r="110" spans="1:9" ht="14.4">
      <c r="A110" s="519"/>
      <c r="B110" s="519"/>
      <c r="D110" s="1275"/>
      <c r="E110" s="1275"/>
      <c r="F110" s="1275"/>
    </row>
    <row r="111" spans="1:9" ht="14.4">
      <c r="A111" s="519"/>
      <c r="B111" s="519"/>
      <c r="D111" s="1275"/>
      <c r="E111" s="1275"/>
      <c r="F111" s="1275"/>
    </row>
    <row r="112" spans="1:9" ht="14.4">
      <c r="A112" s="519"/>
      <c r="B112" s="519"/>
      <c r="D112" s="1275"/>
      <c r="E112" s="1275"/>
      <c r="F112" s="1275"/>
    </row>
    <row r="113" spans="1:9" ht="14.4">
      <c r="A113" s="519"/>
      <c r="B113" s="519"/>
      <c r="D113" s="1275"/>
      <c r="E113" s="1275"/>
      <c r="F113" s="1275"/>
    </row>
    <row r="114" spans="1:9" ht="14.4">
      <c r="A114" s="519"/>
      <c r="B114" s="519"/>
      <c r="D114" s="1275"/>
      <c r="E114" s="1275"/>
      <c r="F114" s="1275"/>
    </row>
    <row r="115" spans="1:9" ht="14.4">
      <c r="A115" s="519"/>
      <c r="B115" s="519"/>
      <c r="D115" s="1275"/>
      <c r="E115" s="1275"/>
      <c r="F115" s="1275"/>
    </row>
    <row r="116" spans="1:9" ht="14.4">
      <c r="A116" s="519"/>
      <c r="B116" s="519"/>
      <c r="D116" s="1275"/>
      <c r="E116" s="1275"/>
      <c r="F116" s="1275"/>
    </row>
    <row r="117" spans="1:9" ht="14.4">
      <c r="A117" s="519"/>
      <c r="B117" s="519"/>
      <c r="D117" s="1275"/>
      <c r="E117" s="1275"/>
      <c r="F117" s="1275"/>
    </row>
    <row r="118" spans="1:9" ht="14.4">
      <c r="A118" s="519"/>
      <c r="B118" s="519"/>
      <c r="D118" s="559"/>
      <c r="E118" s="559"/>
      <c r="F118" s="559"/>
    </row>
    <row r="119" spans="1:9" ht="14.25" customHeight="1">
      <c r="A119" s="519"/>
      <c r="B119" s="520" t="s">
        <v>2767</v>
      </c>
      <c r="D119" s="1302" t="s">
        <v>1209</v>
      </c>
      <c r="E119" s="1302"/>
      <c r="F119" s="1302"/>
    </row>
    <row r="120" spans="1:9" ht="14.4">
      <c r="A120" s="519"/>
      <c r="B120" s="519"/>
      <c r="D120" s="1302"/>
      <c r="E120" s="1302"/>
      <c r="F120" s="1302"/>
    </row>
    <row r="121" spans="1:9" ht="14.4">
      <c r="A121" s="519"/>
      <c r="B121" s="519"/>
      <c r="D121" s="1302"/>
      <c r="E121" s="1302"/>
      <c r="F121" s="1302"/>
    </row>
    <row r="122" spans="1:9" ht="14.4">
      <c r="A122" s="519"/>
      <c r="B122" s="519"/>
      <c r="D122" s="1302"/>
      <c r="E122" s="1302"/>
      <c r="F122" s="1302"/>
    </row>
    <row r="123" spans="1:9" ht="14.4">
      <c r="A123" s="519"/>
      <c r="B123" s="519"/>
      <c r="D123" s="1302"/>
      <c r="E123" s="1302"/>
      <c r="F123" s="1302"/>
    </row>
    <row r="124" spans="1:9" ht="14.4">
      <c r="A124" s="519"/>
      <c r="B124" s="519"/>
      <c r="D124" s="1302"/>
      <c r="E124" s="1302"/>
      <c r="F124" s="1302"/>
    </row>
    <row r="125" spans="1:9" ht="14.4">
      <c r="A125" s="519"/>
      <c r="B125" s="519"/>
      <c r="D125" s="1302"/>
      <c r="E125" s="1302"/>
      <c r="F125" s="1302"/>
    </row>
    <row r="126" spans="1:9" ht="14.4">
      <c r="A126" s="519"/>
      <c r="B126" s="519"/>
      <c r="D126" s="1302"/>
      <c r="E126" s="1302"/>
      <c r="F126" s="1302"/>
    </row>
    <row r="127" spans="1:9">
      <c r="C127" s="434"/>
      <c r="D127" s="560"/>
      <c r="E127" s="560"/>
      <c r="F127" s="560"/>
    </row>
    <row r="128" spans="1:9" ht="14.4">
      <c r="A128" s="519"/>
      <c r="B128" s="520" t="s">
        <v>2766</v>
      </c>
      <c r="C128" s="434"/>
      <c r="D128" s="1302" t="s">
        <v>2451</v>
      </c>
      <c r="E128" s="1302"/>
      <c r="F128" s="1302"/>
      <c r="I128" s="436" t="s">
        <v>2159</v>
      </c>
    </row>
    <row r="129" spans="1:9" ht="14.4">
      <c r="A129" s="519"/>
      <c r="B129" s="519"/>
      <c r="C129" s="434"/>
      <c r="D129" s="1302"/>
      <c r="E129" s="1302"/>
      <c r="F129" s="1302"/>
    </row>
    <row r="130" spans="1:9"/>
    <row r="131" spans="1:9" ht="14.4">
      <c r="A131" s="519"/>
      <c r="B131" s="520" t="s">
        <v>2766</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4">
      <c r="A137" s="519"/>
      <c r="B137" s="520" t="s">
        <v>2766</v>
      </c>
      <c r="D137" s="1275" t="s">
        <v>1213</v>
      </c>
      <c r="E137" s="1275"/>
      <c r="F137" s="1275"/>
      <c r="I137" s="436" t="s">
        <v>2160</v>
      </c>
    </row>
    <row r="138" spans="1:9" s="449" customFormat="1" ht="13.65" customHeight="1">
      <c r="A138" s="523"/>
      <c r="B138" s="523"/>
      <c r="C138" s="523"/>
      <c r="D138" s="1275"/>
      <c r="E138" s="1275"/>
      <c r="F138" s="1275"/>
      <c r="I138" s="1064"/>
    </row>
    <row r="139" spans="1:9" ht="13.65" customHeight="1">
      <c r="D139" s="1275"/>
      <c r="E139" s="1275"/>
      <c r="F139" s="1275"/>
    </row>
    <row r="140" spans="1:9" ht="13.65" customHeight="1">
      <c r="D140" s="1275"/>
      <c r="E140" s="1275"/>
      <c r="F140" s="1275"/>
    </row>
    <row r="141" spans="1:9" ht="13.65" customHeight="1">
      <c r="D141" s="1275"/>
      <c r="E141" s="1275"/>
      <c r="F141" s="1275"/>
    </row>
    <row r="142" spans="1:9" ht="13.65" customHeight="1">
      <c r="A142" s="524"/>
      <c r="B142" s="524"/>
      <c r="D142" s="1275"/>
      <c r="E142" s="1275"/>
      <c r="F142" s="1275"/>
    </row>
    <row r="143" spans="1:9" ht="13.65" customHeight="1">
      <c r="D143" s="1275"/>
      <c r="E143" s="1275"/>
      <c r="F143" s="1275"/>
    </row>
    <row r="144" spans="1:9" ht="13.65" customHeight="1">
      <c r="D144" s="1275"/>
      <c r="E144" s="1275"/>
      <c r="F144" s="1275"/>
    </row>
    <row r="145" spans="2:9" ht="13.65" customHeight="1">
      <c r="D145" s="1275"/>
      <c r="E145" s="1275"/>
      <c r="F145" s="1275"/>
    </row>
    <row r="146" spans="2:9" ht="13.65" customHeight="1">
      <c r="D146" s="1275"/>
      <c r="E146" s="1275"/>
      <c r="F146" s="1275"/>
    </row>
    <row r="147" spans="2:9" ht="13.65" customHeight="1">
      <c r="D147" s="1275"/>
      <c r="E147" s="1275"/>
      <c r="F147" s="1275"/>
    </row>
    <row r="148" spans="2:9" ht="13.65" customHeight="1">
      <c r="D148" s="1275"/>
      <c r="E148" s="1275"/>
      <c r="F148" s="1275"/>
    </row>
    <row r="149" spans="2:9" ht="13.65" customHeight="1">
      <c r="D149" s="1275"/>
      <c r="E149" s="1275"/>
      <c r="F149" s="1275"/>
    </row>
    <row r="150" spans="2:9" ht="13.65" customHeight="1">
      <c r="D150" s="511"/>
      <c r="E150" s="481"/>
      <c r="F150" s="481"/>
    </row>
    <row r="151" spans="2:9" ht="13.65" customHeight="1">
      <c r="B151" s="520" t="s">
        <v>2767</v>
      </c>
      <c r="D151" s="1275" t="s">
        <v>1321</v>
      </c>
      <c r="E151" s="1275"/>
      <c r="F151" s="1275"/>
      <c r="I151" s="436" t="s">
        <v>2161</v>
      </c>
    </row>
    <row r="152" spans="2:9" ht="13.65" customHeight="1">
      <c r="D152" s="1275"/>
      <c r="E152" s="1275"/>
      <c r="F152" s="1275"/>
    </row>
    <row r="153" spans="2:9" ht="13.65" customHeight="1">
      <c r="D153" s="1275"/>
      <c r="E153" s="1275"/>
      <c r="F153" s="1275"/>
    </row>
    <row r="154" spans="2:9" ht="13.65" customHeight="1">
      <c r="D154" s="1275"/>
      <c r="E154" s="1275"/>
      <c r="F154" s="1275"/>
    </row>
    <row r="155" spans="2:9" ht="13.65" customHeight="1">
      <c r="D155" s="1275"/>
      <c r="E155" s="1275"/>
      <c r="F155" s="1275"/>
    </row>
    <row r="156" spans="2:9" ht="13.65" customHeight="1">
      <c r="D156" s="1275"/>
      <c r="E156" s="1275"/>
      <c r="F156" s="1275"/>
    </row>
    <row r="157" spans="2:9" ht="13.65" customHeight="1">
      <c r="D157" s="1275"/>
      <c r="E157" s="1275"/>
      <c r="F157" s="1275"/>
    </row>
    <row r="158" spans="2:9" ht="13.65" customHeight="1">
      <c r="D158" s="1275"/>
      <c r="E158" s="1275"/>
      <c r="F158" s="1275"/>
    </row>
    <row r="159" spans="2:9" ht="13.65" customHeight="1">
      <c r="D159" s="1275"/>
      <c r="E159" s="1275"/>
      <c r="F159" s="1275"/>
    </row>
    <row r="160" spans="2:9" ht="13.65" customHeight="1">
      <c r="D160" s="1275"/>
      <c r="E160" s="1275"/>
      <c r="F160" s="1275"/>
    </row>
    <row r="161" spans="1:9" ht="13.65" customHeight="1">
      <c r="D161" s="1275"/>
      <c r="E161" s="1275"/>
      <c r="F161" s="1275"/>
    </row>
    <row r="162" spans="1:9" ht="13.65" customHeight="1">
      <c r="D162" s="1275"/>
      <c r="E162" s="1275"/>
      <c r="F162" s="1275"/>
    </row>
    <row r="163" spans="1:9" ht="13.65" customHeight="1">
      <c r="D163" s="1275"/>
      <c r="E163" s="1275"/>
      <c r="F163" s="1275"/>
    </row>
    <row r="164" spans="1:9" ht="13.65" customHeight="1">
      <c r="D164" s="1275"/>
      <c r="E164" s="1275"/>
      <c r="F164" s="1275"/>
    </row>
    <row r="165" spans="1:9" ht="13.65" customHeight="1">
      <c r="D165" s="1275"/>
      <c r="E165" s="1275"/>
      <c r="F165" s="1275"/>
    </row>
    <row r="166" spans="1:9" ht="13.65" customHeight="1">
      <c r="D166" s="1275"/>
      <c r="E166" s="1275"/>
      <c r="F166" s="1275"/>
    </row>
    <row r="167" spans="1:9" ht="13.65" customHeight="1">
      <c r="D167" s="1275"/>
      <c r="E167" s="1275"/>
      <c r="F167" s="1275"/>
    </row>
    <row r="168" spans="1:9" ht="13.65" customHeight="1">
      <c r="D168" s="1275"/>
      <c r="E168" s="1275"/>
      <c r="F168" s="1275"/>
    </row>
    <row r="169" spans="1:9" ht="13.65" customHeight="1">
      <c r="D169" s="1335" t="s">
        <v>2476</v>
      </c>
      <c r="E169" s="1335"/>
      <c r="F169" s="1335"/>
      <c r="G169" s="542"/>
    </row>
    <row r="170" spans="1:9" ht="13.65" customHeight="1">
      <c r="D170" s="1308"/>
      <c r="E170" s="1308"/>
      <c r="F170" s="1308"/>
      <c r="G170" s="1308"/>
    </row>
    <row r="171" spans="1:9" ht="14.4" customHeight="1">
      <c r="A171" s="524"/>
      <c r="B171" s="520" t="s">
        <v>2766</v>
      </c>
      <c r="C171" s="511"/>
      <c r="D171" s="1263" t="s">
        <v>1368</v>
      </c>
      <c r="E171" s="1263"/>
      <c r="F171" s="1263"/>
      <c r="G171" s="511"/>
      <c r="I171" s="436" t="s">
        <v>2156</v>
      </c>
    </row>
    <row r="172" spans="1:9" ht="14.4" customHeight="1">
      <c r="A172" s="524"/>
      <c r="B172" s="524"/>
      <c r="C172" s="511"/>
      <c r="D172" s="1263"/>
      <c r="E172" s="1263"/>
      <c r="F172" s="1263"/>
      <c r="G172" s="511"/>
    </row>
    <row r="173" spans="1:9" ht="13.65" customHeight="1">
      <c r="A173" s="524"/>
      <c r="B173" s="524"/>
      <c r="C173" s="511"/>
      <c r="D173" s="1263"/>
      <c r="E173" s="1263"/>
      <c r="F173" s="1263"/>
      <c r="G173" s="511"/>
    </row>
    <row r="174" spans="1:9" ht="13.65" customHeight="1">
      <c r="A174" s="524"/>
      <c r="B174" s="524"/>
      <c r="C174" s="511"/>
      <c r="D174" s="511"/>
      <c r="E174" s="511"/>
      <c r="F174" s="511"/>
      <c r="G174" s="511"/>
    </row>
    <row r="175" spans="1:9" ht="13.65" customHeight="1">
      <c r="A175" s="524"/>
      <c r="B175" s="520" t="s">
        <v>2766</v>
      </c>
      <c r="C175" s="511"/>
      <c r="D175" s="1263" t="s">
        <v>1215</v>
      </c>
      <c r="E175" s="1263"/>
      <c r="F175" s="1263"/>
      <c r="G175" s="511"/>
      <c r="I175" s="436" t="s">
        <v>2162</v>
      </c>
    </row>
    <row r="176" spans="1:9" ht="13.65" customHeight="1">
      <c r="A176" s="524"/>
      <c r="B176" s="524"/>
      <c r="C176" s="511"/>
      <c r="D176" s="1263"/>
      <c r="E176" s="1263"/>
      <c r="F176" s="1263"/>
      <c r="G176" s="511"/>
    </row>
    <row r="177" spans="1:9" ht="13.65" customHeight="1">
      <c r="A177" s="524"/>
      <c r="B177" s="524"/>
      <c r="C177" s="511"/>
      <c r="D177" s="1263"/>
      <c r="E177" s="1263"/>
      <c r="F177" s="1263"/>
      <c r="G177" s="511"/>
    </row>
    <row r="178" spans="1:9" ht="13.65" customHeight="1">
      <c r="A178" s="524"/>
      <c r="B178" s="524"/>
      <c r="C178" s="511"/>
      <c r="D178" s="1263"/>
      <c r="E178" s="1263"/>
      <c r="F178" s="1263"/>
      <c r="G178" s="511"/>
    </row>
    <row r="179" spans="1:9" ht="13.65" customHeight="1">
      <c r="D179" s="481"/>
      <c r="E179" s="481"/>
      <c r="F179" s="481"/>
    </row>
    <row r="180" spans="1:9" ht="13.65" customHeight="1">
      <c r="B180" s="520" t="s">
        <v>2767</v>
      </c>
      <c r="D180" s="1297" t="s">
        <v>2452</v>
      </c>
      <c r="E180" s="1297"/>
      <c r="F180" s="1297"/>
      <c r="I180" s="436" t="s">
        <v>2163</v>
      </c>
    </row>
    <row r="181" spans="1:9" ht="13.65" customHeight="1">
      <c r="D181" s="1297"/>
      <c r="E181" s="1297"/>
      <c r="F181" s="1297"/>
    </row>
    <row r="182" spans="1:9" ht="13.65" customHeight="1">
      <c r="D182" s="1297"/>
      <c r="E182" s="1297"/>
      <c r="F182" s="1297"/>
    </row>
    <row r="183" spans="1:9" ht="13.65"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65"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2766</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2767</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2767</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2767</v>
      </c>
      <c r="D207" s="418" t="s">
        <v>2278</v>
      </c>
      <c r="E207" s="417"/>
      <c r="F207" s="417"/>
      <c r="I207" s="436" t="s">
        <v>2215</v>
      </c>
    </row>
    <row r="208" spans="1:9" ht="14.4">
      <c r="A208" s="519"/>
      <c r="B208" s="519"/>
      <c r="D208" s="1280" t="s">
        <v>2285</v>
      </c>
      <c r="E208" s="1280"/>
      <c r="F208" s="1280"/>
    </row>
    <row r="209" spans="1:9">
      <c r="D209" s="417"/>
      <c r="E209" s="1331" t="s">
        <v>2311</v>
      </c>
      <c r="F209" s="1331"/>
    </row>
    <row r="210" spans="1:9">
      <c r="D210" s="482"/>
    </row>
    <row r="211" spans="1:9">
      <c r="B211" s="520" t="s">
        <v>2767</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4">
      <c r="A215" s="519"/>
      <c r="B215" s="520" t="s">
        <v>2767</v>
      </c>
      <c r="D215" s="1275" t="s">
        <v>1360</v>
      </c>
      <c r="E215" s="1275"/>
      <c r="F215" s="1275"/>
    </row>
    <row r="216" spans="1:9" ht="14.4" customHeight="1">
      <c r="A216" s="519"/>
      <c r="B216" s="434"/>
      <c r="D216" s="1275"/>
      <c r="E216" s="1275"/>
      <c r="F216" s="1275"/>
    </row>
    <row r="217" spans="1:9" ht="14.4">
      <c r="A217" s="519"/>
      <c r="D217" s="1275"/>
      <c r="E217" s="1275"/>
      <c r="F217" s="1275"/>
    </row>
    <row r="218" spans="1:9" ht="14.4">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65" customHeight="1">
      <c r="A225" s="525"/>
      <c r="C225" s="525"/>
      <c r="D225" s="1273" t="s">
        <v>556</v>
      </c>
      <c r="E225" s="1273"/>
      <c r="F225" s="1273"/>
      <c r="I225" s="436" t="s">
        <v>2164</v>
      </c>
    </row>
    <row r="226" spans="1:9" ht="14.4">
      <c r="A226" s="519"/>
      <c r="B226" s="520" t="s">
        <v>2766</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4">
      <c r="A229" s="519"/>
      <c r="B229" s="519"/>
      <c r="D229" s="1275"/>
      <c r="E229" s="1275"/>
      <c r="F229" s="1275"/>
    </row>
    <row r="230" spans="1:9" ht="14.4">
      <c r="A230" s="519"/>
      <c r="B230" s="519"/>
      <c r="D230" s="480"/>
      <c r="E230" s="480"/>
      <c r="F230" s="480"/>
    </row>
    <row r="231" spans="1:9" ht="14.4">
      <c r="A231" s="519"/>
      <c r="B231" s="520" t="s">
        <v>2766</v>
      </c>
      <c r="D231" s="1275" t="s">
        <v>2017</v>
      </c>
      <c r="E231" s="1275"/>
      <c r="F231" s="1275"/>
      <c r="I231" s="436" t="s">
        <v>2165</v>
      </c>
    </row>
    <row r="232" spans="1:9" ht="14.4">
      <c r="A232" s="519"/>
      <c r="B232" s="519"/>
      <c r="D232" s="1275"/>
      <c r="E232" s="1275"/>
      <c r="F232" s="1275"/>
    </row>
    <row r="233" spans="1:9" ht="14.4">
      <c r="A233" s="519"/>
      <c r="B233" s="519"/>
      <c r="D233" s="1275"/>
      <c r="E233" s="1275"/>
      <c r="F233" s="1275"/>
    </row>
    <row r="234" spans="1:9" ht="14.4">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4">
      <c r="A237" s="519"/>
      <c r="B237" s="519"/>
      <c r="D237" s="1275" t="s">
        <v>1237</v>
      </c>
      <c r="E237" s="1275"/>
      <c r="F237" s="1275"/>
      <c r="I237" s="436" t="s">
        <v>2164</v>
      </c>
    </row>
    <row r="238" spans="1:9" ht="14.4">
      <c r="A238" s="519"/>
      <c r="B238" s="519"/>
      <c r="D238" s="1275"/>
      <c r="E238" s="1275"/>
      <c r="F238" s="1275"/>
    </row>
    <row r="239" spans="1:9" ht="14.4">
      <c r="A239" s="519"/>
      <c r="B239" s="519"/>
      <c r="D239" s="1275"/>
      <c r="E239" s="1275"/>
      <c r="F239" s="1275"/>
    </row>
    <row r="240" spans="1:9" ht="14.4">
      <c r="A240" s="519"/>
      <c r="B240" s="519"/>
      <c r="D240" s="1275"/>
      <c r="E240" s="1275"/>
      <c r="F240" s="1275"/>
    </row>
    <row r="241" spans="1:9" ht="14.4">
      <c r="A241" s="519"/>
      <c r="B241" s="519"/>
      <c r="D241" s="1275"/>
      <c r="E241" s="1275"/>
      <c r="F241" s="1275"/>
    </row>
    <row r="242" spans="1:9" ht="14.4">
      <c r="A242" s="519"/>
      <c r="B242" s="519"/>
      <c r="D242" s="481"/>
      <c r="E242" s="481"/>
      <c r="F242" s="481"/>
    </row>
    <row r="243" spans="1:9" ht="14.4">
      <c r="A243" s="519"/>
      <c r="B243" s="520" t="s">
        <v>2766</v>
      </c>
      <c r="D243" s="1275" t="s">
        <v>2454</v>
      </c>
      <c r="E243" s="1275"/>
      <c r="F243" s="1275"/>
      <c r="I243" s="436" t="s">
        <v>2203</v>
      </c>
    </row>
    <row r="244" spans="1:9" ht="14.4">
      <c r="A244" s="519"/>
      <c r="B244" s="519"/>
      <c r="D244" s="1275"/>
      <c r="E244" s="1275"/>
      <c r="F244" s="1275"/>
    </row>
    <row r="245" spans="1:9" ht="14.4">
      <c r="A245" s="519"/>
      <c r="B245" s="519"/>
      <c r="D245" s="1275"/>
      <c r="E245" s="1275"/>
      <c r="F245" s="1275"/>
    </row>
    <row r="246" spans="1:9" ht="14.4">
      <c r="A246" s="519"/>
      <c r="B246" s="519"/>
      <c r="E246" s="1080" t="s">
        <v>2279</v>
      </c>
    </row>
    <row r="247" spans="1:9" ht="14.4">
      <c r="A247" s="519"/>
      <c r="B247" s="519"/>
      <c r="D247" s="481"/>
      <c r="E247" s="481"/>
      <c r="F247" s="481"/>
    </row>
    <row r="248" spans="1:9" ht="14.4" customHeight="1">
      <c r="A248" s="519"/>
      <c r="B248" s="520" t="s">
        <v>2767</v>
      </c>
      <c r="D248" s="1275" t="s">
        <v>2455</v>
      </c>
      <c r="E248" s="1275"/>
      <c r="F248" s="1275"/>
      <c r="I248" s="436" t="s">
        <v>2221</v>
      </c>
    </row>
    <row r="249" spans="1:9" ht="14.4">
      <c r="A249" s="519"/>
      <c r="B249" s="519"/>
      <c r="D249" s="1275"/>
      <c r="E249" s="1275"/>
      <c r="F249" s="1275"/>
    </row>
    <row r="250" spans="1:9" ht="14.4">
      <c r="A250" s="519"/>
      <c r="B250" s="519"/>
      <c r="D250" s="1275"/>
      <c r="E250" s="1275"/>
      <c r="F250" s="1275"/>
    </row>
    <row r="251" spans="1:9" ht="14.4">
      <c r="A251" s="519"/>
      <c r="B251" s="519"/>
      <c r="D251" s="1275"/>
      <c r="E251" s="1275"/>
      <c r="F251" s="1275"/>
    </row>
    <row r="252" spans="1:9" ht="14.4">
      <c r="A252" s="519"/>
      <c r="B252" s="519"/>
      <c r="D252" s="1275"/>
      <c r="E252" s="1275"/>
      <c r="F252" s="1275"/>
    </row>
    <row r="253" spans="1:9" ht="14.4">
      <c r="A253" s="519"/>
      <c r="B253" s="519"/>
      <c r="D253" s="480"/>
      <c r="E253" s="480"/>
      <c r="F253" s="480"/>
    </row>
    <row r="254" spans="1:9" ht="14.4">
      <c r="A254" s="519"/>
      <c r="B254" s="520" t="s">
        <v>2766</v>
      </c>
      <c r="D254" s="424" t="s">
        <v>2456</v>
      </c>
      <c r="E254" s="480"/>
      <c r="F254" s="480"/>
      <c r="I254" s="436" t="s">
        <v>2202</v>
      </c>
    </row>
    <row r="255" spans="1:9" ht="14.4">
      <c r="A255" s="519"/>
      <c r="B255" s="519"/>
      <c r="E255" s="1080" t="s">
        <v>2280</v>
      </c>
    </row>
    <row r="256" spans="1:9">
      <c r="D256" s="481"/>
      <c r="E256" s="481"/>
      <c r="F256" s="481"/>
    </row>
    <row r="257" spans="1:9" ht="14.4">
      <c r="A257" s="519"/>
      <c r="B257" s="520" t="s">
        <v>2766</v>
      </c>
      <c r="D257" s="1275" t="s">
        <v>1239</v>
      </c>
      <c r="E257" s="1275"/>
      <c r="F257" s="1275"/>
    </row>
    <row r="258" spans="1:9" ht="14.4">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 customHeight="1">
      <c r="A265" s="519"/>
      <c r="B265" s="520" t="s">
        <v>2766</v>
      </c>
      <c r="D265" s="1275" t="s">
        <v>1340</v>
      </c>
      <c r="E265" s="1275"/>
      <c r="F265" s="1275"/>
    </row>
    <row r="266" spans="1:9">
      <c r="D266" s="1275"/>
      <c r="E266" s="1275"/>
      <c r="F266" s="1275"/>
    </row>
    <row r="267" spans="1:9">
      <c r="E267" s="1080" t="s">
        <v>2281</v>
      </c>
    </row>
    <row r="268" spans="1:9">
      <c r="D268" s="481"/>
      <c r="E268" s="481"/>
      <c r="F268" s="481"/>
    </row>
    <row r="269" spans="1:9" ht="14.4" customHeight="1">
      <c r="A269" s="519"/>
      <c r="B269" s="520" t="s">
        <v>2767</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4">
      <c r="A276" s="519"/>
      <c r="B276" s="520" t="s">
        <v>2767</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4">
      <c r="A288" s="519"/>
      <c r="B288" s="520" t="s">
        <v>2767</v>
      </c>
      <c r="D288" s="1275" t="s">
        <v>1249</v>
      </c>
      <c r="E288" s="1275"/>
      <c r="F288" s="1275"/>
      <c r="I288" s="436" t="s">
        <v>2166</v>
      </c>
    </row>
    <row r="289" spans="1:9" ht="14.4">
      <c r="A289" s="519"/>
      <c r="B289" s="519"/>
      <c r="D289" s="1275"/>
      <c r="E289" s="1275"/>
      <c r="F289" s="1275"/>
    </row>
    <row r="290" spans="1:9">
      <c r="D290" s="481"/>
      <c r="E290" s="481"/>
      <c r="F290" s="481"/>
    </row>
    <row r="291" spans="1:9" ht="14.4">
      <c r="A291" s="519"/>
      <c r="B291" s="520" t="s">
        <v>2767</v>
      </c>
      <c r="D291" s="1275" t="s">
        <v>1250</v>
      </c>
      <c r="E291" s="1275"/>
      <c r="F291" s="1275"/>
      <c r="I291" s="436" t="s">
        <v>2166</v>
      </c>
    </row>
    <row r="292" spans="1:9" ht="14.4">
      <c r="A292" s="519"/>
      <c r="B292" s="519"/>
      <c r="D292" s="1275"/>
      <c r="E292" s="1275"/>
      <c r="F292" s="1275"/>
    </row>
    <row r="293" spans="1:9" ht="14.4">
      <c r="A293" s="519"/>
      <c r="B293" s="519"/>
      <c r="D293" s="1275"/>
      <c r="E293" s="1275"/>
      <c r="F293" s="1275"/>
    </row>
    <row r="294" spans="1:9">
      <c r="D294" s="481"/>
      <c r="E294" s="481"/>
      <c r="F294" s="481"/>
    </row>
    <row r="295" spans="1:9" ht="14.4">
      <c r="A295" s="519"/>
      <c r="B295" s="520" t="s">
        <v>2767</v>
      </c>
      <c r="D295" s="1275" t="s">
        <v>1251</v>
      </c>
      <c r="E295" s="1275"/>
      <c r="F295" s="1275"/>
      <c r="I295" s="436" t="s">
        <v>2166</v>
      </c>
    </row>
    <row r="296" spans="1:9" ht="14.4">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2767</v>
      </c>
      <c r="D303" s="1304" t="s">
        <v>1253</v>
      </c>
      <c r="E303" s="1304"/>
      <c r="F303" s="1304"/>
      <c r="I303" s="436" t="s">
        <v>2167</v>
      </c>
    </row>
    <row r="304" spans="1:9" ht="14.4">
      <c r="A304" s="519"/>
      <c r="B304" s="519"/>
      <c r="D304" s="529"/>
      <c r="E304" s="530"/>
      <c r="F304" s="530"/>
    </row>
    <row r="305" spans="1:9" ht="13.65" customHeight="1">
      <c r="B305" s="520" t="s">
        <v>2767</v>
      </c>
      <c r="D305" s="1325" t="s">
        <v>1364</v>
      </c>
      <c r="E305" s="1325"/>
      <c r="F305" s="1325"/>
      <c r="I305" s="436" t="s">
        <v>2167</v>
      </c>
    </row>
    <row r="306" spans="1:9" ht="14.4">
      <c r="A306" s="519"/>
      <c r="B306" s="519"/>
      <c r="D306" s="1325"/>
      <c r="E306" s="1325"/>
      <c r="F306" s="1325"/>
    </row>
    <row r="307" spans="1:9" ht="14.4">
      <c r="A307" s="519"/>
      <c r="B307" s="519"/>
      <c r="D307" s="1325"/>
      <c r="E307" s="1325"/>
      <c r="F307" s="1325"/>
    </row>
    <row r="308" spans="1:9" ht="14.4">
      <c r="A308" s="519"/>
      <c r="B308" s="519"/>
      <c r="D308" s="1325"/>
      <c r="E308" s="1325"/>
      <c r="F308" s="1325"/>
    </row>
    <row r="309" spans="1:9" ht="14.4">
      <c r="A309" s="519"/>
      <c r="B309" s="519"/>
      <c r="D309" s="1325"/>
      <c r="E309" s="1325"/>
      <c r="F309" s="1325"/>
    </row>
    <row r="310" spans="1:9" ht="14.4">
      <c r="A310" s="519"/>
      <c r="B310" s="519"/>
      <c r="D310" s="529"/>
      <c r="E310" s="530"/>
      <c r="F310" s="530"/>
    </row>
    <row r="311" spans="1:9" ht="13.65" customHeight="1">
      <c r="B311" s="520" t="s">
        <v>2767</v>
      </c>
      <c r="D311" s="1325" t="s">
        <v>1255</v>
      </c>
      <c r="E311" s="1325"/>
      <c r="F311" s="1325"/>
      <c r="I311" s="436" t="s">
        <v>2167</v>
      </c>
    </row>
    <row r="312" spans="1:9">
      <c r="D312" s="1325"/>
      <c r="E312" s="1325"/>
      <c r="F312" s="1325"/>
    </row>
    <row r="313" spans="1:9" ht="14.4">
      <c r="A313" s="519"/>
      <c r="B313" s="519"/>
      <c r="D313" s="529"/>
      <c r="E313" s="530"/>
      <c r="F313" s="530"/>
    </row>
    <row r="314" spans="1:9">
      <c r="B314" s="520" t="s">
        <v>2767</v>
      </c>
      <c r="D314" s="1304" t="s">
        <v>1256</v>
      </c>
      <c r="E314" s="1304"/>
      <c r="F314" s="1304"/>
      <c r="I314" s="436" t="s">
        <v>2153</v>
      </c>
    </row>
    <row r="315" spans="1:9">
      <c r="E315" s="481"/>
      <c r="F315" s="481"/>
    </row>
    <row r="316" spans="1:9" ht="14.4">
      <c r="A316" s="519"/>
      <c r="B316" s="520" t="s">
        <v>2767</v>
      </c>
      <c r="D316" s="1275" t="s">
        <v>2477</v>
      </c>
      <c r="E316" s="1275"/>
      <c r="F316" s="1275"/>
      <c r="I316" s="436" t="s">
        <v>2168</v>
      </c>
    </row>
    <row r="317" spans="1:9" ht="14.4">
      <c r="A317" s="519"/>
      <c r="B317" s="519"/>
      <c r="D317" s="1275"/>
      <c r="E317" s="1275"/>
      <c r="F317" s="1275"/>
    </row>
    <row r="318" spans="1:9" ht="14.4">
      <c r="A318" s="519"/>
      <c r="B318" s="519"/>
      <c r="D318" s="1275"/>
      <c r="E318" s="1275"/>
      <c r="F318" s="1275"/>
    </row>
    <row r="319" spans="1:9" ht="14.4">
      <c r="A319" s="519"/>
      <c r="B319" s="519"/>
      <c r="D319" s="1275"/>
      <c r="E319" s="1275"/>
      <c r="F319" s="1275"/>
    </row>
    <row r="320" spans="1:9" ht="14.4">
      <c r="A320" s="519"/>
      <c r="B320" s="519"/>
      <c r="D320" s="1275"/>
      <c r="E320" s="1275"/>
      <c r="F320" s="1275"/>
    </row>
    <row r="321" spans="1:9" ht="14.4">
      <c r="A321" s="519"/>
      <c r="B321" s="519"/>
      <c r="D321" s="1275"/>
      <c r="E321" s="1275"/>
      <c r="F321" s="1275"/>
    </row>
    <row r="322" spans="1:9" ht="14.4">
      <c r="A322" s="519"/>
      <c r="B322" s="519"/>
      <c r="D322" s="1275"/>
      <c r="E322" s="1275"/>
      <c r="F322" s="1275"/>
    </row>
    <row r="323" spans="1:9" ht="14.4">
      <c r="A323" s="519"/>
      <c r="B323" s="519"/>
      <c r="D323" s="1275"/>
      <c r="E323" s="1275"/>
      <c r="F323" s="1275"/>
    </row>
    <row r="324" spans="1:9" ht="14.4">
      <c r="A324" s="519"/>
      <c r="B324" s="519"/>
      <c r="D324" s="1275"/>
      <c r="E324" s="1275"/>
      <c r="F324" s="1275"/>
    </row>
    <row r="325" spans="1:9" ht="14.4">
      <c r="A325" s="519"/>
      <c r="B325" s="519"/>
      <c r="D325" s="1275"/>
      <c r="E325" s="1275"/>
      <c r="F325" s="1275"/>
    </row>
    <row r="326" spans="1:9" ht="14.4">
      <c r="A326" s="519"/>
      <c r="B326" s="519"/>
      <c r="D326" s="1275"/>
      <c r="E326" s="1275"/>
      <c r="F326" s="1275"/>
    </row>
    <row r="327" spans="1:9" ht="14.4">
      <c r="A327" s="519"/>
      <c r="B327" s="519"/>
      <c r="D327" s="1275"/>
      <c r="E327" s="1275"/>
      <c r="F327" s="1275"/>
    </row>
    <row r="328" spans="1:9" ht="14.4">
      <c r="A328" s="519"/>
      <c r="B328" s="519"/>
      <c r="D328" s="1275"/>
      <c r="E328" s="1275"/>
      <c r="F328" s="1275"/>
    </row>
    <row r="329" spans="1:9" ht="14.4">
      <c r="A329" s="519"/>
      <c r="B329" s="519"/>
      <c r="D329" s="1275"/>
      <c r="E329" s="1275"/>
      <c r="F329" s="1275"/>
    </row>
    <row r="330" spans="1:9" ht="14.4">
      <c r="A330" s="519"/>
      <c r="B330" s="519"/>
      <c r="D330" s="1275"/>
      <c r="E330" s="1275"/>
      <c r="F330" s="1275"/>
    </row>
    <row r="331" spans="1:9">
      <c r="D331" s="481"/>
      <c r="E331" s="481"/>
      <c r="F331" s="481"/>
    </row>
    <row r="332" spans="1:9" ht="14.4">
      <c r="A332" s="519"/>
      <c r="B332" s="520" t="s">
        <v>2767</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2767</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336" t="s">
        <v>1020</v>
      </c>
      <c r="E349" s="1336"/>
      <c r="F349" s="1336"/>
      <c r="G349" s="1069"/>
      <c r="H349" s="1069"/>
      <c r="I349" s="1070"/>
    </row>
    <row r="350" spans="1:9" ht="13.8" thickTop="1">
      <c r="D350" s="1326" t="s">
        <v>1260</v>
      </c>
      <c r="E350" s="1326"/>
      <c r="F350" s="1326"/>
    </row>
    <row r="351" spans="1:9">
      <c r="D351" s="481"/>
      <c r="E351" s="481"/>
      <c r="F351" s="481"/>
    </row>
    <row r="352" spans="1:9">
      <c r="A352" s="511"/>
      <c r="B352" s="511"/>
      <c r="C352" s="511"/>
      <c r="D352" s="482"/>
      <c r="E352" s="482"/>
      <c r="F352" s="481"/>
      <c r="I352" s="436" t="s">
        <v>2169</v>
      </c>
    </row>
    <row r="353" spans="1:9" ht="14.4">
      <c r="A353" s="519"/>
      <c r="B353" s="520" t="s">
        <v>2767</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4">
      <c r="A358" s="519"/>
      <c r="B358" s="520" t="s">
        <v>2767</v>
      </c>
      <c r="C358" s="511"/>
      <c r="D358" s="1308" t="s">
        <v>2458</v>
      </c>
      <c r="E358" s="1308"/>
      <c r="F358" s="1308"/>
      <c r="I358" s="434"/>
    </row>
    <row r="359" spans="1:9">
      <c r="A359" s="511"/>
      <c r="B359" s="511"/>
      <c r="C359" s="511"/>
      <c r="D359" s="482"/>
      <c r="E359" s="482"/>
      <c r="F359" s="481"/>
    </row>
    <row r="360" spans="1:9">
      <c r="A360" s="511"/>
      <c r="B360" s="520" t="s">
        <v>2767</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5" customHeight="1">
      <c r="A373" s="511"/>
      <c r="B373" s="520" t="s">
        <v>2767</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2767</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2767</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65"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2767</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 customHeight="1">
      <c r="A421" s="519"/>
      <c r="B421" s="520" t="s">
        <v>2767</v>
      </c>
      <c r="D421" s="1263" t="s">
        <v>2206</v>
      </c>
      <c r="E421" s="1263"/>
      <c r="F421" s="1263"/>
    </row>
    <row r="422" spans="1:6" ht="14.4" customHeight="1">
      <c r="A422" s="519"/>
      <c r="D422" s="1263"/>
      <c r="E422" s="1263"/>
      <c r="F422" s="1263"/>
    </row>
    <row r="423" spans="1:6" ht="14.4" customHeight="1">
      <c r="A423" s="519"/>
      <c r="D423" s="1263"/>
      <c r="E423" s="1263"/>
      <c r="F423" s="1263"/>
    </row>
    <row r="424" spans="1:6" ht="14.4" customHeight="1">
      <c r="A424" s="519"/>
      <c r="D424" s="1263"/>
      <c r="E424" s="1263"/>
      <c r="F424" s="1263"/>
    </row>
    <row r="425" spans="1:6" ht="14.4" customHeight="1">
      <c r="A425" s="519"/>
      <c r="D425" s="1263"/>
      <c r="E425" s="1263"/>
      <c r="F425" s="1263"/>
    </row>
    <row r="426" spans="1:6" ht="14.4" customHeight="1">
      <c r="A426" s="519"/>
      <c r="D426" s="417"/>
      <c r="E426" s="417"/>
      <c r="F426" s="417"/>
    </row>
    <row r="427" spans="1:6" ht="13.65" customHeight="1">
      <c r="A427" s="519"/>
      <c r="B427" s="520" t="s">
        <v>2767</v>
      </c>
      <c r="C427" s="511"/>
      <c r="D427" s="1263" t="s">
        <v>1389</v>
      </c>
      <c r="E427" s="1263"/>
      <c r="F427" s="1263"/>
    </row>
    <row r="428" spans="1:6" ht="14.4">
      <c r="A428" s="532"/>
      <c r="B428" s="532"/>
      <c r="C428" s="511"/>
      <c r="D428" s="1263"/>
      <c r="E428" s="1263"/>
      <c r="F428" s="1263"/>
    </row>
    <row r="429" spans="1:6" ht="14.4">
      <c r="A429" s="532"/>
      <c r="B429" s="532"/>
      <c r="C429" s="511"/>
      <c r="D429" s="1263"/>
      <c r="E429" s="1263"/>
      <c r="F429" s="1263"/>
    </row>
    <row r="430" spans="1:6" ht="14.4">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ht="14.4">
      <c r="A433" s="519"/>
      <c r="B433" s="520" t="s">
        <v>2767</v>
      </c>
      <c r="C433" s="522"/>
      <c r="D433" s="1275" t="s">
        <v>2460</v>
      </c>
      <c r="E433" s="1275"/>
      <c r="F433" s="1275"/>
    </row>
    <row r="434" spans="1:6" ht="14.4">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65" customHeight="1">
      <c r="D463" s="1275"/>
      <c r="E463" s="1275"/>
      <c r="F463" s="1275"/>
    </row>
    <row r="464" spans="1:6">
      <c r="D464" s="481"/>
      <c r="E464" s="481"/>
      <c r="F464" s="481"/>
    </row>
    <row r="465" spans="1:6" ht="14.4">
      <c r="A465" s="519"/>
      <c r="B465" s="520" t="s">
        <v>2767</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4">
      <c r="B469" s="520" t="s">
        <v>2767</v>
      </c>
      <c r="C469" s="519"/>
      <c r="D469" s="1275" t="s">
        <v>1341</v>
      </c>
      <c r="E469" s="1275"/>
      <c r="F469" s="1275"/>
    </row>
    <row r="470" spans="1:6">
      <c r="D470" s="1275"/>
      <c r="E470" s="1275"/>
      <c r="F470" s="1275"/>
    </row>
    <row r="471" spans="1:6">
      <c r="D471" s="481"/>
      <c r="E471" s="481"/>
      <c r="F471" s="481"/>
    </row>
    <row r="472" spans="1:6" ht="14.4">
      <c r="B472" s="520" t="s">
        <v>2767</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2767</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2767</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2767</v>
      </c>
      <c r="C484" s="434"/>
      <c r="D484" s="1275"/>
      <c r="E484" s="1275"/>
      <c r="F484" s="1275"/>
    </row>
    <row r="485" spans="1:9">
      <c r="A485" s="434"/>
      <c r="C485" s="434"/>
      <c r="D485" s="1275"/>
      <c r="E485" s="1275"/>
      <c r="F485" s="1275"/>
    </row>
    <row r="486" spans="1:9">
      <c r="A486" s="434"/>
      <c r="B486" s="520" t="s">
        <v>2767</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2767</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4">
      <c r="A497" s="519"/>
      <c r="B497" s="519"/>
      <c r="D497" s="1308" t="s">
        <v>1276</v>
      </c>
      <c r="E497" s="1308"/>
      <c r="F497" s="1308"/>
    </row>
    <row r="498" spans="1:9" ht="14.4">
      <c r="A498" s="519"/>
      <c r="B498" s="519"/>
      <c r="D498" s="482"/>
    </row>
    <row r="499" spans="1:9" ht="14.4">
      <c r="A499" s="519"/>
      <c r="B499" s="520" t="s">
        <v>2766</v>
      </c>
      <c r="D499" s="1263" t="s">
        <v>1277</v>
      </c>
      <c r="E499" s="1263"/>
      <c r="F499" s="1263"/>
      <c r="I499" s="436" t="s">
        <v>2170</v>
      </c>
    </row>
    <row r="500" spans="1:9" ht="14.4">
      <c r="A500" s="519"/>
      <c r="B500" s="519"/>
      <c r="D500" s="1263"/>
      <c r="E500" s="1263"/>
      <c r="F500" s="1263"/>
    </row>
    <row r="501" spans="1:9" ht="14.4">
      <c r="A501" s="519"/>
      <c r="B501" s="519"/>
      <c r="D501" s="481"/>
    </row>
    <row r="502" spans="1:9" ht="12.75" customHeight="1">
      <c r="B502" s="520" t="s">
        <v>2767</v>
      </c>
      <c r="D502" s="1297" t="s">
        <v>1433</v>
      </c>
      <c r="E502" s="1297"/>
      <c r="F502" s="1297"/>
      <c r="I502" s="436" t="s">
        <v>2171</v>
      </c>
    </row>
    <row r="503" spans="1:9" ht="14.4">
      <c r="A503" s="519"/>
      <c r="D503" s="1297"/>
      <c r="E503" s="1297"/>
      <c r="F503" s="1297"/>
    </row>
    <row r="504" spans="1:9" ht="14.4">
      <c r="A504" s="519"/>
      <c r="B504" s="519"/>
      <c r="D504" s="1297"/>
      <c r="E504" s="1297"/>
      <c r="F504" s="1297"/>
    </row>
    <row r="505" spans="1:9" ht="14.4">
      <c r="A505" s="519"/>
      <c r="B505" s="519"/>
      <c r="D505" s="1297"/>
      <c r="E505" s="1297"/>
      <c r="F505" s="1297"/>
    </row>
    <row r="506" spans="1:9" ht="14.4">
      <c r="A506" s="519"/>
      <c r="D506" s="555"/>
      <c r="E506" s="555"/>
      <c r="F506" s="555"/>
    </row>
    <row r="507" spans="1:9" ht="14.4">
      <c r="A507" s="519"/>
      <c r="B507" s="520" t="s">
        <v>2767</v>
      </c>
      <c r="D507" s="1304" t="s">
        <v>1280</v>
      </c>
      <c r="E507" s="1304"/>
      <c r="F507" s="1304"/>
      <c r="I507" s="436" t="s">
        <v>2172</v>
      </c>
    </row>
    <row r="508" spans="1:9" ht="14.4">
      <c r="A508" s="519"/>
      <c r="B508" s="519"/>
      <c r="D508" s="481"/>
    </row>
    <row r="509" spans="1:9" ht="14.4">
      <c r="A509" s="519"/>
      <c r="B509" s="520" t="s">
        <v>2767</v>
      </c>
      <c r="D509" s="1275" t="s">
        <v>1281</v>
      </c>
      <c r="E509" s="1275"/>
      <c r="F509" s="1275"/>
      <c r="I509" s="436" t="s">
        <v>2172</v>
      </c>
    </row>
    <row r="510" spans="1:9" ht="14.4">
      <c r="A510" s="519"/>
      <c r="D510" s="1275"/>
      <c r="E510" s="1275"/>
      <c r="F510" s="1275"/>
    </row>
    <row r="511" spans="1:9">
      <c r="A511" s="525"/>
      <c r="B511" s="525"/>
      <c r="D511" s="482"/>
    </row>
    <row r="512" spans="1:9">
      <c r="A512" s="525"/>
      <c r="B512" s="520" t="s">
        <v>2767</v>
      </c>
      <c r="D512" s="1304" t="s">
        <v>1282</v>
      </c>
      <c r="E512" s="1304"/>
      <c r="F512" s="1304"/>
      <c r="I512" s="436" t="s">
        <v>2225</v>
      </c>
    </row>
    <row r="513" spans="1:9" ht="14.4">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2766</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2766</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2767</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65" customHeight="1">
      <c r="A541" s="519"/>
      <c r="B541" s="520" t="s">
        <v>2766</v>
      </c>
      <c r="C541" s="522"/>
      <c r="D541" s="1304" t="s">
        <v>914</v>
      </c>
      <c r="E541" s="1304"/>
      <c r="F541" s="1304"/>
      <c r="I541" s="436" t="s">
        <v>2223</v>
      </c>
    </row>
    <row r="542" spans="1:9" ht="13.65" customHeight="1">
      <c r="A542" s="522"/>
      <c r="B542" s="522"/>
      <c r="C542" s="522"/>
      <c r="D542" s="481"/>
    </row>
    <row r="543" spans="1:9" ht="14.4">
      <c r="A543" s="519"/>
      <c r="B543" s="520" t="s">
        <v>2766</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4">
      <c r="A546" s="519"/>
      <c r="B546" s="520" t="s">
        <v>2766</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4">
      <c r="A549" s="519"/>
      <c r="B549" s="520" t="s">
        <v>2766</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4">
      <c r="A552" s="519"/>
      <c r="B552" s="520" t="s">
        <v>2766</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4">
      <c r="A556" s="519"/>
      <c r="B556" s="520" t="s">
        <v>2767</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4">
      <c r="A559" s="519"/>
      <c r="B559" s="520" t="s">
        <v>2767</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4">
      <c r="A562" s="519"/>
      <c r="B562" s="520" t="s">
        <v>2766</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4">
      <c r="A565" s="519"/>
      <c r="B565" s="519"/>
      <c r="C565" s="522"/>
      <c r="E565" s="481"/>
      <c r="F565" s="481"/>
    </row>
    <row r="566" spans="1:9" ht="14.4">
      <c r="A566" s="519"/>
      <c r="B566" s="520" t="s">
        <v>2766</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4">
      <c r="A571" s="519"/>
      <c r="B571" s="520" t="s">
        <v>2766</v>
      </c>
      <c r="C571" s="522"/>
      <c r="D571" s="1275" t="s">
        <v>2464</v>
      </c>
      <c r="E571" s="1275"/>
      <c r="F571" s="1275"/>
      <c r="I571" s="436" t="s">
        <v>2177</v>
      </c>
    </row>
    <row r="572" spans="1:9" ht="14.4">
      <c r="A572" s="519"/>
      <c r="B572" s="519"/>
      <c r="C572" s="522"/>
      <c r="D572" s="1275"/>
      <c r="E572" s="1275"/>
      <c r="F572" s="1275"/>
    </row>
    <row r="573" spans="1:9" ht="14.4">
      <c r="A573" s="519"/>
      <c r="B573" s="519"/>
      <c r="C573" s="522"/>
      <c r="D573" s="1275"/>
      <c r="E573" s="1275"/>
      <c r="F573" s="1275"/>
    </row>
    <row r="574" spans="1:9" ht="14.4">
      <c r="A574" s="519"/>
      <c r="B574" s="519"/>
      <c r="C574" s="522"/>
      <c r="D574" s="1275"/>
      <c r="E574" s="1275"/>
      <c r="F574" s="1275"/>
    </row>
    <row r="575" spans="1:9" ht="14.4">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2766</v>
      </c>
      <c r="D581" s="1297" t="s">
        <v>920</v>
      </c>
      <c r="E581" s="1297"/>
      <c r="F581" s="1297"/>
    </row>
    <row r="582" spans="1:9">
      <c r="A582" s="525"/>
      <c r="B582" s="525"/>
      <c r="D582" s="511"/>
    </row>
    <row r="583" spans="1:9">
      <c r="A583" s="525"/>
      <c r="B583" s="520" t="s">
        <v>2766</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2767</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2766</v>
      </c>
      <c r="D592" s="1297" t="s">
        <v>2466</v>
      </c>
      <c r="E592" s="1297"/>
      <c r="F592" s="1297"/>
    </row>
    <row r="593" spans="1:9">
      <c r="A593" s="525"/>
      <c r="B593" s="525"/>
      <c r="D593" s="1297"/>
      <c r="E593" s="1297"/>
      <c r="F593" s="1297"/>
    </row>
    <row r="594" spans="1:9">
      <c r="A594" s="525"/>
      <c r="B594" s="525"/>
      <c r="D594" s="534"/>
    </row>
    <row r="595" spans="1:9">
      <c r="A595" s="525"/>
      <c r="B595" s="520" t="s">
        <v>2767</v>
      </c>
      <c r="D595" s="1297" t="s">
        <v>1140</v>
      </c>
      <c r="E595" s="1297"/>
      <c r="F595" s="1297"/>
      <c r="I595" s="436" t="s">
        <v>2227</v>
      </c>
    </row>
    <row r="596" spans="1:9">
      <c r="A596" s="525"/>
      <c r="B596" s="525"/>
      <c r="D596" s="1297"/>
      <c r="E596" s="1297"/>
      <c r="F596" s="1297"/>
    </row>
    <row r="597" spans="1:9" ht="14.4">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2766</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2766</v>
      </c>
      <c r="D613" s="1277" t="s">
        <v>1226</v>
      </c>
      <c r="E613" s="1277"/>
      <c r="F613" s="1277"/>
      <c r="I613" s="436" t="s">
        <v>2228</v>
      </c>
    </row>
    <row r="614" spans="1:9">
      <c r="D614" s="1277"/>
      <c r="E614" s="1277"/>
      <c r="F614" s="1277"/>
    </row>
    <row r="615" spans="1:9"/>
    <row r="616" spans="1:9">
      <c r="B616" s="520" t="s">
        <v>2766</v>
      </c>
      <c r="D616" s="1277" t="s">
        <v>1227</v>
      </c>
      <c r="E616" s="1277"/>
      <c r="F616" s="1277"/>
      <c r="I616" s="436" t="s">
        <v>2181</v>
      </c>
    </row>
    <row r="617" spans="1:9">
      <c r="C617" s="535"/>
      <c r="D617" s="1277"/>
      <c r="E617" s="1277"/>
      <c r="F617" s="1277"/>
    </row>
    <row r="618" spans="1:9">
      <c r="C618" s="535"/>
    </row>
    <row r="619" spans="1:9">
      <c r="B619" s="520" t="s">
        <v>2767</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2767</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4">
      <c r="A633" s="519"/>
      <c r="B633" s="520" t="s">
        <v>2767</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4">
      <c r="A636" s="519"/>
      <c r="B636" s="520" t="s">
        <v>2767</v>
      </c>
      <c r="C636" s="522"/>
      <c r="D636" s="1275" t="s">
        <v>1373</v>
      </c>
      <c r="E636" s="1275"/>
      <c r="F636" s="1275"/>
      <c r="I636" s="436" t="s">
        <v>2182</v>
      </c>
    </row>
    <row r="637" spans="1:9" ht="14.4">
      <c r="A637" s="519"/>
      <c r="B637" s="519"/>
      <c r="C637" s="522"/>
      <c r="D637" s="1275"/>
      <c r="E637" s="1275"/>
      <c r="F637" s="1275"/>
    </row>
    <row r="638" spans="1:9" ht="14.4">
      <c r="A638" s="519"/>
      <c r="B638" s="519"/>
      <c r="C638" s="522"/>
      <c r="D638" s="1275"/>
      <c r="E638" s="1275"/>
      <c r="F638" s="1275"/>
    </row>
    <row r="639" spans="1:9">
      <c r="A639" s="522"/>
      <c r="B639" s="520" t="s">
        <v>2767</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2766</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 customHeight="1">
      <c r="A650" s="519"/>
      <c r="B650" s="519"/>
      <c r="C650" s="522"/>
      <c r="D650" s="417"/>
      <c r="E650" s="417"/>
      <c r="F650" s="417"/>
    </row>
    <row r="651" spans="1:9" ht="12.75" customHeight="1">
      <c r="A651" s="518"/>
      <c r="B651" s="520" t="s">
        <v>2766</v>
      </c>
      <c r="C651" s="522"/>
      <c r="D651" s="1275" t="s">
        <v>1449</v>
      </c>
      <c r="E651" s="1275"/>
      <c r="F651" s="1275"/>
      <c r="I651" s="436" t="s">
        <v>2234</v>
      </c>
    </row>
    <row r="652" spans="1:9" ht="14.4">
      <c r="A652" s="518"/>
      <c r="B652" s="519"/>
      <c r="C652" s="522"/>
      <c r="D652" s="1275"/>
      <c r="E652" s="1275"/>
      <c r="F652" s="1275"/>
    </row>
    <row r="653" spans="1:9" ht="14.4">
      <c r="A653" s="518"/>
      <c r="B653" s="519"/>
      <c r="C653" s="522"/>
      <c r="D653" s="1275"/>
      <c r="E653" s="1275"/>
      <c r="F653" s="1275"/>
    </row>
    <row r="654" spans="1:9" ht="14.4">
      <c r="A654" s="518"/>
      <c r="B654" s="519"/>
      <c r="C654" s="522"/>
      <c r="D654" s="1275"/>
      <c r="E654" s="1275"/>
      <c r="F654" s="1275"/>
    </row>
    <row r="655" spans="1:9" ht="14.4">
      <c r="A655" s="518"/>
      <c r="B655" s="519"/>
      <c r="C655" s="522"/>
      <c r="D655" s="1275"/>
      <c r="E655" s="1275"/>
      <c r="F655" s="1275"/>
    </row>
    <row r="656" spans="1:9" ht="14.25" customHeight="1">
      <c r="A656" s="518"/>
      <c r="B656" s="519"/>
      <c r="C656" s="522"/>
      <c r="F656" s="418"/>
    </row>
    <row r="657" spans="1:11" ht="12.75" customHeight="1">
      <c r="A657" s="518"/>
      <c r="B657" s="520" t="s">
        <v>2766</v>
      </c>
      <c r="C657" s="522"/>
      <c r="D657" s="1275" t="s">
        <v>1448</v>
      </c>
      <c r="E657" s="1275"/>
      <c r="F657" s="1275"/>
      <c r="I657" s="436" t="s">
        <v>2234</v>
      </c>
    </row>
    <row r="658" spans="1:11" ht="14.4">
      <c r="A658" s="518"/>
      <c r="B658" s="519"/>
      <c r="C658" s="522"/>
      <c r="D658" s="1275"/>
      <c r="E658" s="1275"/>
      <c r="F658" s="1275"/>
    </row>
    <row r="659" spans="1:11" ht="14.4">
      <c r="A659" s="519"/>
      <c r="B659" s="519"/>
      <c r="C659" s="522"/>
      <c r="D659" s="1275"/>
      <c r="E659" s="1275"/>
      <c r="F659" s="1275"/>
    </row>
    <row r="660" spans="1:11" ht="14.4">
      <c r="A660" s="519"/>
      <c r="B660" s="519"/>
      <c r="C660" s="522"/>
      <c r="D660" s="1275"/>
      <c r="E660" s="1275"/>
      <c r="F660" s="1275"/>
    </row>
    <row r="661" spans="1:11" ht="14.4">
      <c r="A661" s="519"/>
      <c r="B661" s="519"/>
      <c r="C661" s="522"/>
      <c r="D661" s="480"/>
      <c r="E661" s="480"/>
      <c r="F661" s="480"/>
    </row>
    <row r="662" spans="1:11" ht="12.75" customHeight="1">
      <c r="A662" s="518"/>
      <c r="B662" s="520" t="s">
        <v>2767</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4">
      <c r="A678" s="519"/>
      <c r="B678" s="520" t="s">
        <v>2766</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2767</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4">
      <c r="A687" s="519"/>
      <c r="B687" s="520" t="s">
        <v>2766</v>
      </c>
      <c r="C687" s="518"/>
      <c r="D687" s="1304" t="s">
        <v>955</v>
      </c>
      <c r="E687" s="1304"/>
      <c r="F687" s="1304"/>
      <c r="H687" s="536"/>
      <c r="I687" s="1065"/>
      <c r="J687" s="536"/>
      <c r="K687" s="536"/>
    </row>
    <row r="688" spans="1:11" ht="14.4">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2766</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2766</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4">
      <c r="A701" s="519"/>
      <c r="B701" s="520" t="s">
        <v>2766</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2767</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2767</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2767</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4">
      <c r="A725" s="519"/>
      <c r="B725" s="520" t="s">
        <v>2767</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4">
      <c r="A730" s="519"/>
      <c r="B730" s="520" t="s">
        <v>2766</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65"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4">
      <c r="A744" s="519"/>
      <c r="B744" s="520" t="s">
        <v>2766</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4">
      <c r="A751" s="538"/>
      <c r="B751" s="520" t="s">
        <v>2766</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4">
      <c r="A756" s="519"/>
      <c r="B756" s="520" t="s">
        <v>2766</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4">
      <c r="A760" s="519"/>
      <c r="B760" s="520" t="s">
        <v>2767</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2767</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2766</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2767</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4">
      <c r="A780" s="176"/>
      <c r="B780" s="520" t="s">
        <v>2767</v>
      </c>
      <c r="C780" s="1026"/>
      <c r="D780" s="1293" t="s">
        <v>2021</v>
      </c>
      <c r="E780" s="1293"/>
      <c r="F780" s="1293"/>
      <c r="G780" s="1025"/>
      <c r="I780" s="1065" t="s">
        <v>2235</v>
      </c>
    </row>
    <row r="781" spans="1:9" ht="14.4">
      <c r="A781" s="176"/>
      <c r="B781" s="176"/>
      <c r="C781" s="1026"/>
      <c r="D781" s="1293"/>
      <c r="E781" s="1293"/>
      <c r="F781" s="1293"/>
      <c r="G781" s="1025"/>
    </row>
    <row r="782" spans="1:9" ht="14.4">
      <c r="A782" s="176"/>
      <c r="B782" s="176"/>
      <c r="C782" s="1026"/>
      <c r="D782" s="1293"/>
      <c r="E782" s="1293"/>
      <c r="F782" s="1293"/>
      <c r="G782" s="1025"/>
    </row>
    <row r="783" spans="1:9" ht="14.4">
      <c r="A783" s="176"/>
      <c r="B783" s="176"/>
      <c r="C783" s="1026"/>
      <c r="D783" s="118"/>
      <c r="E783" s="3"/>
      <c r="F783" s="3"/>
      <c r="G783" s="1025"/>
    </row>
    <row r="784" spans="1:9" ht="14.4">
      <c r="A784" s="176"/>
      <c r="B784" s="520" t="s">
        <v>2767</v>
      </c>
      <c r="C784" s="1026"/>
      <c r="D784" s="1293" t="s">
        <v>2022</v>
      </c>
      <c r="E784" s="1293"/>
      <c r="F784" s="1293"/>
      <c r="G784" s="1025"/>
      <c r="I784" s="1065" t="s">
        <v>2235</v>
      </c>
    </row>
    <row r="785" spans="1:9" ht="14.4">
      <c r="A785" s="176"/>
      <c r="B785" s="176"/>
      <c r="C785" s="1026"/>
      <c r="D785" s="1293"/>
      <c r="E785" s="1293"/>
      <c r="F785" s="1293"/>
      <c r="G785" s="1025"/>
    </row>
    <row r="786" spans="1:9" ht="14.4">
      <c r="A786" s="176"/>
      <c r="B786" s="176"/>
      <c r="C786" s="1026"/>
      <c r="D786" s="1293"/>
      <c r="E786" s="1293"/>
      <c r="F786" s="1293"/>
      <c r="G786" s="1025"/>
    </row>
    <row r="787" spans="1:9" ht="14.4">
      <c r="A787" s="176"/>
      <c r="B787" s="176"/>
      <c r="C787" s="1026"/>
      <c r="D787" s="1293"/>
      <c r="E787" s="1293"/>
      <c r="F787" s="1293"/>
      <c r="G787" s="1025"/>
    </row>
    <row r="788" spans="1:9" ht="14.4">
      <c r="A788" s="176"/>
      <c r="B788" s="176"/>
      <c r="C788" s="1026"/>
      <c r="D788" s="1293"/>
      <c r="E788" s="1293"/>
      <c r="F788" s="1293"/>
      <c r="G788" s="1025"/>
    </row>
    <row r="789" spans="1:9" ht="14.4">
      <c r="A789" s="176"/>
      <c r="B789" s="176"/>
      <c r="C789" s="1026"/>
      <c r="D789" s="1293"/>
      <c r="E789" s="1293"/>
      <c r="F789" s="1293"/>
      <c r="G789" s="1025"/>
    </row>
    <row r="790" spans="1:9" ht="14.4">
      <c r="A790" s="176"/>
      <c r="B790" s="176"/>
      <c r="C790" s="1026"/>
      <c r="D790" s="1293" t="s">
        <v>2066</v>
      </c>
      <c r="E790" s="1293"/>
      <c r="F790" s="1293"/>
      <c r="G790" s="1025"/>
    </row>
    <row r="791" spans="1:9" ht="14.4">
      <c r="A791" s="176"/>
      <c r="B791" s="176"/>
      <c r="C791" s="1026"/>
      <c r="D791" s="1293"/>
      <c r="E791" s="1293"/>
      <c r="F791" s="1293"/>
      <c r="G791" s="1025"/>
    </row>
    <row r="792" spans="1:9" ht="14.4">
      <c r="A792" s="176"/>
      <c r="B792" s="176"/>
      <c r="C792" s="1026"/>
      <c r="D792" s="1293"/>
      <c r="E792" s="1293"/>
      <c r="F792" s="1293"/>
      <c r="G792" s="1025"/>
    </row>
    <row r="793" spans="1:9" ht="14.4">
      <c r="A793" s="176"/>
      <c r="B793" s="386"/>
      <c r="C793" s="1026"/>
      <c r="D793" s="1027"/>
      <c r="E793" s="1027"/>
      <c r="F793" s="1027"/>
      <c r="G793" s="1025"/>
    </row>
    <row r="794" spans="1:9" ht="14.4">
      <c r="A794" s="176"/>
      <c r="B794" s="520" t="s">
        <v>2767</v>
      </c>
      <c r="C794" s="1026"/>
      <c r="D794" s="1293" t="s">
        <v>2023</v>
      </c>
      <c r="E794" s="1293"/>
      <c r="F794" s="1293"/>
      <c r="G794" s="1025"/>
      <c r="I794" s="1065" t="s">
        <v>2235</v>
      </c>
    </row>
    <row r="795" spans="1:9" ht="14.4">
      <c r="A795" s="176"/>
      <c r="B795" s="176"/>
      <c r="C795" s="1026"/>
      <c r="D795" s="1293"/>
      <c r="E795" s="1293"/>
      <c r="F795" s="1293"/>
      <c r="G795" s="1025"/>
    </row>
    <row r="796" spans="1:9" ht="14.4">
      <c r="A796" s="176"/>
      <c r="B796" s="176"/>
      <c r="C796" s="1026"/>
      <c r="D796" s="1293"/>
      <c r="E796" s="1293"/>
      <c r="F796" s="1293"/>
      <c r="G796" s="1025"/>
    </row>
    <row r="797" spans="1:9" ht="14.4">
      <c r="A797" s="176"/>
      <c r="B797" s="176"/>
      <c r="C797" s="1026"/>
      <c r="D797" s="1293"/>
      <c r="E797" s="1293"/>
      <c r="F797" s="1293"/>
      <c r="G797" s="1025"/>
    </row>
    <row r="798" spans="1:9" ht="14.4">
      <c r="A798" s="176"/>
      <c r="B798" s="176"/>
      <c r="C798" s="1026"/>
      <c r="D798" s="1293"/>
      <c r="E798" s="1293"/>
      <c r="F798" s="1293"/>
      <c r="G798" s="1025"/>
    </row>
    <row r="799" spans="1:9" ht="14.4">
      <c r="A799" s="176"/>
      <c r="B799" s="176"/>
      <c r="C799" s="1026"/>
      <c r="D799" s="1293"/>
      <c r="E799" s="1293"/>
      <c r="F799" s="1293"/>
      <c r="G799" s="1025"/>
    </row>
    <row r="800" spans="1:9" ht="14.4">
      <c r="A800" s="176"/>
      <c r="B800" s="176"/>
      <c r="C800" s="1026"/>
      <c r="D800" s="1019"/>
      <c r="E800" s="1019"/>
      <c r="F800" s="1019"/>
      <c r="G800" s="1025"/>
    </row>
    <row r="801" spans="1:9" ht="14.4">
      <c r="A801" s="176"/>
      <c r="B801" s="520" t="s">
        <v>2766</v>
      </c>
      <c r="C801" s="1026"/>
      <c r="D801" s="1293" t="s">
        <v>2024</v>
      </c>
      <c r="E801" s="1293"/>
      <c r="F801" s="1293"/>
      <c r="G801" s="1025"/>
      <c r="I801" s="1065" t="s">
        <v>2235</v>
      </c>
    </row>
    <row r="802" spans="1:9" ht="14.4">
      <c r="A802" s="176"/>
      <c r="B802" s="176"/>
      <c r="C802" s="1026"/>
      <c r="D802" s="1293"/>
      <c r="E802" s="1293"/>
      <c r="F802" s="1293"/>
      <c r="G802" s="1025"/>
    </row>
    <row r="803" spans="1:9" ht="14.4">
      <c r="A803" s="176"/>
      <c r="B803" s="176"/>
      <c r="C803" s="1026"/>
      <c r="D803" s="1293"/>
      <c r="E803" s="1293"/>
      <c r="F803" s="1293"/>
      <c r="G803" s="1025"/>
    </row>
    <row r="804" spans="1:9" ht="14.4">
      <c r="A804" s="176"/>
      <c r="B804" s="176"/>
      <c r="C804" s="1026"/>
      <c r="D804" s="1293"/>
      <c r="E804" s="1293"/>
      <c r="F804" s="1293"/>
      <c r="G804" s="1025"/>
    </row>
    <row r="805" spans="1:9" ht="14.4">
      <c r="A805" s="176"/>
      <c r="B805" s="176"/>
      <c r="C805" s="1026"/>
      <c r="D805" s="1293"/>
      <c r="E805" s="1293"/>
      <c r="F805" s="1293"/>
      <c r="G805" s="1025"/>
    </row>
    <row r="806" spans="1:9" ht="14.4">
      <c r="A806" s="176"/>
      <c r="B806" s="176"/>
      <c r="C806" s="1026"/>
      <c r="D806" s="1293"/>
      <c r="E806" s="1293"/>
      <c r="F806" s="1293"/>
      <c r="G806" s="1025"/>
    </row>
    <row r="807" spans="1:9" ht="14.4">
      <c r="A807" s="176"/>
      <c r="B807" s="176"/>
      <c r="C807" s="1026"/>
      <c r="D807" s="1019"/>
      <c r="E807" s="1019"/>
      <c r="F807" s="1019"/>
      <c r="G807" s="1025"/>
    </row>
    <row r="808" spans="1:9" ht="14.4">
      <c r="A808" s="176"/>
      <c r="B808" s="520" t="s">
        <v>2767</v>
      </c>
      <c r="C808" s="1026"/>
      <c r="D808" s="1301" t="s">
        <v>2025</v>
      </c>
      <c r="E808" s="1301"/>
      <c r="F808" s="1301"/>
      <c r="G808" s="1025"/>
      <c r="I808" s="1065" t="s">
        <v>2235</v>
      </c>
    </row>
    <row r="809" spans="1:9" ht="14.4">
      <c r="A809" s="176"/>
      <c r="B809" s="176"/>
      <c r="C809" s="1026"/>
      <c r="D809" s="1301"/>
      <c r="E809" s="1301"/>
      <c r="F809" s="1301"/>
      <c r="G809" s="1025"/>
    </row>
    <row r="810" spans="1:9">
      <c r="A810" s="13"/>
      <c r="B810" s="13"/>
      <c r="C810" s="1026"/>
      <c r="D810" s="1301"/>
      <c r="E810" s="1301"/>
      <c r="F810" s="1301"/>
      <c r="G810" s="1025"/>
    </row>
    <row r="811" spans="1:9" ht="14.4">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2766</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2766</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2767</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2767</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2767</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2766</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2766</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2767</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2767</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2767</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2766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2766</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2766</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2767</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2767</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2767</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2767</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2766</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2766</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2766</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2767</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2767</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2767</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2766</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2766</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2767</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2767</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2766</v>
      </c>
      <c r="C996" s="386"/>
      <c r="D996" s="1280" t="s">
        <v>2053</v>
      </c>
      <c r="E996" s="1280"/>
      <c r="F996" s="1280"/>
      <c r="G996"/>
    </row>
    <row r="997" spans="1:7" ht="12.75" customHeight="1">
      <c r="A997" s="386"/>
      <c r="B997" s="386"/>
      <c r="C997" s="386"/>
      <c r="D997" s="3"/>
      <c r="E997" s="3"/>
      <c r="F997" s="3"/>
      <c r="G997"/>
    </row>
    <row r="998" spans="1:7" ht="12.75" customHeight="1">
      <c r="A998" s="176"/>
      <c r="B998" s="520" t="s">
        <v>2767</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2766</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2767</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2767</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2766</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2767</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2767</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2766</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2766</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2767</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2767</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2766</v>
      </c>
      <c r="C1048" s="434"/>
      <c r="D1048" s="434" t="s">
        <v>2076</v>
      </c>
      <c r="I1048" s="436" t="s">
        <v>2191</v>
      </c>
    </row>
    <row r="1049" spans="1:9">
      <c r="A1049" s="434"/>
      <c r="B1049" s="434"/>
      <c r="C1049" s="434"/>
    </row>
    <row r="1050" spans="1:9">
      <c r="A1050" s="434"/>
      <c r="B1050" s="520" t="s">
        <v>2766</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2766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2767</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2767</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2767</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2767</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2767</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2767</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2767</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2766</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2766</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9.6">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48" zoomScaleNormal="100" zoomScaleSheetLayoutView="80" workbookViewId="0">
      <selection activeCell="W472" sqref="W472:Y472"/>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35"/>
      <c r="AN8" s="935"/>
      <c r="AO8" s="935"/>
      <c r="AP8" s="935"/>
      <c r="AQ8" s="935"/>
      <c r="AR8" s="935"/>
      <c r="AS8" s="935"/>
      <c r="AT8" s="935"/>
      <c r="AU8" s="935"/>
      <c r="AV8" s="935"/>
      <c r="AW8" s="935"/>
      <c r="AX8" s="935"/>
      <c r="AY8" s="935"/>
    </row>
    <row r="9" spans="1:51" ht="12.9"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 customHeight="1">
      <c r="A12" s="1550" t="s">
        <v>2623</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2483</v>
      </c>
      <c r="C16" s="4"/>
      <c r="D16" s="4"/>
      <c r="E16" s="4"/>
      <c r="F16" s="4"/>
      <c r="G16" s="4"/>
      <c r="H16" s="1537" t="s">
        <v>2626</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 customHeight="1"/>
    <row r="18" spans="1:52" ht="12.9" customHeight="1">
      <c r="A18" s="57" t="s">
        <v>102</v>
      </c>
      <c r="C18" s="4"/>
      <c r="D18" s="4"/>
      <c r="E18" s="4"/>
      <c r="F18" s="4"/>
      <c r="G18" s="4"/>
      <c r="H18" s="1514" t="s">
        <v>2627</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 customHeight="1"/>
    <row r="20" spans="1:52" ht="12.9" customHeight="1">
      <c r="A20" s="1546" t="s">
        <v>902</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552">
        <f>'Basis &amp; Credits'!AB56</f>
        <v>5707459</v>
      </c>
      <c r="N26" s="1552"/>
      <c r="O26" s="1552"/>
      <c r="P26" s="1552"/>
      <c r="Q26" s="1552"/>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491">
        <f>'Basis &amp; Credits'!AB77</f>
        <v>32921993</v>
      </c>
      <c r="N27" s="1491"/>
      <c r="O27" s="1491"/>
      <c r="P27" s="1491"/>
      <c r="Q27" s="1491"/>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1438</v>
      </c>
      <c r="C33" s="554"/>
      <c r="D33" s="554"/>
      <c r="E33" s="554"/>
      <c r="F33" s="554"/>
      <c r="G33" s="554"/>
      <c r="H33" s="554"/>
      <c r="I33" s="554"/>
      <c r="J33" s="554"/>
      <c r="K33" s="554"/>
      <c r="L33" s="554"/>
      <c r="M33" s="554"/>
      <c r="N33" s="554"/>
      <c r="O33" s="1374" t="s">
        <v>555</v>
      </c>
      <c r="P33" s="137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1443</v>
      </c>
      <c r="AZ37" s="20"/>
    </row>
    <row r="38" spans="1:52" ht="12.9" customHeight="1">
      <c r="A38" s="3" t="s">
        <v>1444</v>
      </c>
      <c r="AZ38" s="20"/>
    </row>
    <row r="39" spans="1:52" ht="12.9" customHeight="1">
      <c r="AZ39" s="20"/>
    </row>
    <row r="40" spans="1:52" ht="12.9"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543"/>
      <c r="H122" s="1543"/>
      <c r="I122" s="3" t="s">
        <v>183</v>
      </c>
      <c r="L122" s="1543"/>
      <c r="M122" s="1543"/>
      <c r="N122" s="1543"/>
      <c r="O122" s="1558" t="s">
        <v>1427</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64"/>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543"/>
      <c r="Z126" s="1543"/>
      <c r="AA126" s="1543"/>
      <c r="AB126" s="1543"/>
      <c r="AC126" s="1543"/>
      <c r="AD126" s="1543"/>
      <c r="AE126" s="1543"/>
      <c r="AF126" s="1543"/>
      <c r="AG126" s="1543"/>
      <c r="AH126" s="1543"/>
      <c r="AI126" s="1543"/>
      <c r="AJ126" s="1543"/>
      <c r="AK126" s="1543"/>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543"/>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543"/>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534" t="s">
        <v>2628</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 customHeight="1">
      <c r="D154" s="325" t="s">
        <v>443</v>
      </c>
      <c r="O154" s="1463" t="s">
        <v>2629</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 customHeight="1">
      <c r="D156" t="s">
        <v>315</v>
      </c>
      <c r="O156" s="1395" t="s">
        <v>2630</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 customHeight="1">
      <c r="D157" t="s">
        <v>316</v>
      </c>
      <c r="O157" s="1534" t="s">
        <v>2631</v>
      </c>
      <c r="P157" s="1534"/>
      <c r="Q157" s="1534"/>
      <c r="R157" s="1534"/>
      <c r="S157" s="1534"/>
      <c r="T157" s="1534"/>
      <c r="U157" s="1534"/>
      <c r="V157" s="1534"/>
      <c r="W157" s="1534"/>
      <c r="X157" s="1534"/>
      <c r="Y157" s="8"/>
      <c r="Z157" s="8"/>
      <c r="AA157" s="8"/>
      <c r="AB157" s="8"/>
      <c r="AC157" s="8"/>
      <c r="AD157" s="8"/>
      <c r="AE157" s="8"/>
      <c r="AF157" s="8"/>
      <c r="BN157" s="23" t="s">
        <v>646</v>
      </c>
      <c r="BT157" t="s">
        <v>486</v>
      </c>
    </row>
    <row r="158" spans="1:72" ht="12.9" customHeight="1">
      <c r="D158" t="s">
        <v>317</v>
      </c>
      <c r="O158" s="1556">
        <v>94002</v>
      </c>
      <c r="P158" s="1556"/>
      <c r="Q158" s="1556"/>
      <c r="R158" s="1556"/>
      <c r="S158" s="9"/>
      <c r="T158" s="9"/>
      <c r="U158" s="9"/>
      <c r="V158" s="9"/>
      <c r="W158" s="9"/>
      <c r="X158" s="9"/>
      <c r="Y158" s="9"/>
      <c r="Z158" s="9"/>
      <c r="AA158" s="9"/>
      <c r="AB158" s="9"/>
      <c r="AC158" s="9"/>
      <c r="AD158" s="9"/>
      <c r="AE158" s="9"/>
      <c r="AF158" s="9"/>
      <c r="BN158" s="23" t="s">
        <v>647</v>
      </c>
      <c r="BT158" t="s">
        <v>487</v>
      </c>
    </row>
    <row r="159" spans="1:72" ht="12.9" customHeight="1">
      <c r="D159" t="s">
        <v>318</v>
      </c>
      <c r="O159" s="1465" t="s">
        <v>2632</v>
      </c>
      <c r="P159" s="1465"/>
      <c r="Q159" s="1465"/>
      <c r="R159" s="1465"/>
      <c r="S159" s="1465"/>
      <c r="T159" s="1465"/>
      <c r="V159" s="97" t="s">
        <v>273</v>
      </c>
      <c r="W159" s="1557"/>
      <c r="X159" s="1557"/>
      <c r="Y159" s="10"/>
      <c r="Z159" s="10"/>
      <c r="AA159" s="10"/>
      <c r="AB159" s="10"/>
      <c r="AC159" s="10"/>
      <c r="AD159" s="10"/>
      <c r="AE159" s="10"/>
      <c r="AF159" s="10"/>
      <c r="BN159" s="23" t="s">
        <v>341</v>
      </c>
      <c r="BT159" t="s">
        <v>488</v>
      </c>
    </row>
    <row r="160" spans="1:72" ht="12.9" customHeight="1">
      <c r="D160" t="s">
        <v>319</v>
      </c>
      <c r="O160" s="1465"/>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 customHeight="1">
      <c r="D161" t="s">
        <v>320</v>
      </c>
      <c r="O161" s="1466" t="s">
        <v>2633</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 customHeight="1">
      <c r="C174" s="24"/>
      <c r="D174" s="3" t="s">
        <v>1346</v>
      </c>
      <c r="J174" s="1395" t="s">
        <v>2531</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 customHeight="1">
      <c r="C175" s="8"/>
      <c r="D175" s="3" t="s">
        <v>324</v>
      </c>
      <c r="O175" s="27"/>
      <c r="U175" s="1374" t="s">
        <v>679</v>
      </c>
      <c r="V175" s="1374"/>
      <c r="BN175" s="23" t="s">
        <v>219</v>
      </c>
      <c r="BT175" t="s">
        <v>504</v>
      </c>
    </row>
    <row r="176" spans="1:72" ht="12.9" customHeight="1">
      <c r="C176" s="8"/>
      <c r="D176" s="26"/>
      <c r="E176" t="s">
        <v>306</v>
      </c>
      <c r="O176" s="27"/>
      <c r="P176" t="s">
        <v>2503</v>
      </c>
      <c r="T176" s="27" t="s">
        <v>307</v>
      </c>
      <c r="U176" s="1547"/>
      <c r="V176" s="1547"/>
      <c r="W176" s="1" t="s">
        <v>308</v>
      </c>
      <c r="X176" s="1559"/>
      <c r="Y176" s="1559"/>
      <c r="BN176" s="23" t="s">
        <v>221</v>
      </c>
      <c r="BT176" t="s">
        <v>505</v>
      </c>
    </row>
    <row r="177" spans="1:72" ht="12.9" customHeight="1">
      <c r="C177" s="24"/>
      <c r="D177" t="s">
        <v>251</v>
      </c>
      <c r="R177" s="1374" t="s">
        <v>679</v>
      </c>
      <c r="S177" s="1374"/>
      <c r="BN177" s="23" t="s">
        <v>222</v>
      </c>
      <c r="BT177" t="s">
        <v>506</v>
      </c>
    </row>
    <row r="178" spans="1:72" ht="12.9" customHeight="1">
      <c r="C178" s="24"/>
      <c r="D178" s="3" t="s">
        <v>1347</v>
      </c>
      <c r="AA178" t="s">
        <v>2503</v>
      </c>
      <c r="AE178" s="27" t="s">
        <v>307</v>
      </c>
      <c r="AF178" s="1727"/>
      <c r="AG178" s="1727"/>
      <c r="AH178" s="1" t="s">
        <v>308</v>
      </c>
      <c r="AI178" s="1468"/>
      <c r="AJ178" s="1468"/>
      <c r="AK178" s="1468"/>
      <c r="BN178" s="23" t="s">
        <v>223</v>
      </c>
      <c r="BT178" t="s">
        <v>53</v>
      </c>
    </row>
    <row r="179" spans="1:72" ht="12.9" customHeight="1">
      <c r="C179" s="24"/>
      <c r="BN179" s="23" t="s">
        <v>224</v>
      </c>
      <c r="BT179" t="s">
        <v>54</v>
      </c>
    </row>
    <row r="180" spans="1:72" ht="12.9" customHeight="1">
      <c r="C180" s="24"/>
      <c r="D180" t="s">
        <v>2504</v>
      </c>
      <c r="X180" s="1374" t="s">
        <v>679</v>
      </c>
      <c r="Y180" s="1374"/>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510" t="str">
        <f>H18</f>
        <v>Belmont Family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597</v>
      </c>
      <c r="BN184" s="23" t="s">
        <v>232</v>
      </c>
      <c r="BT184" t="s">
        <v>62</v>
      </c>
    </row>
    <row r="185" spans="1:72" ht="12.9" customHeight="1">
      <c r="C185" s="21"/>
      <c r="D185" t="s">
        <v>589</v>
      </c>
      <c r="I185" s="1367" t="s">
        <v>2634</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598</v>
      </c>
      <c r="BN185" s="23" t="s">
        <v>233</v>
      </c>
      <c r="BT185" t="s">
        <v>63</v>
      </c>
    </row>
    <row r="186" spans="1:72" ht="12.9" customHeight="1">
      <c r="C186" s="21"/>
      <c r="E186" t="s">
        <v>169</v>
      </c>
      <c r="BN186" s="23" t="s">
        <v>234</v>
      </c>
      <c r="BT186" t="s">
        <v>64</v>
      </c>
    </row>
    <row r="187" spans="1:72" ht="12.9"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 customHeight="1">
      <c r="C189" s="21"/>
      <c r="D189" t="s">
        <v>590</v>
      </c>
      <c r="I189" s="1395" t="s">
        <v>2631</v>
      </c>
      <c r="J189" s="1395"/>
      <c r="K189" s="1395"/>
      <c r="L189" s="1395"/>
      <c r="M189" s="1395"/>
      <c r="N189" s="1395"/>
      <c r="O189" s="1395"/>
      <c r="P189" s="1395"/>
      <c r="Q189" t="s">
        <v>592</v>
      </c>
      <c r="T189" s="1395" t="s">
        <v>70</v>
      </c>
      <c r="U189" s="1395"/>
      <c r="V189" s="1395"/>
      <c r="W189" s="1395"/>
      <c r="X189" s="1395"/>
      <c r="Y189" s="1395"/>
      <c r="Z189" s="1395"/>
      <c r="AA189" s="1395"/>
      <c r="AB189" s="1395"/>
      <c r="AC189" s="1395"/>
      <c r="AD189" s="1395"/>
      <c r="AE189" s="1395"/>
      <c r="BC189" t="s">
        <v>309</v>
      </c>
      <c r="BH189" s="3" t="s">
        <v>601</v>
      </c>
      <c r="BN189" s="23" t="s">
        <v>238</v>
      </c>
      <c r="BT189" t="s">
        <v>67</v>
      </c>
    </row>
    <row r="190" spans="1:72" ht="12.9" customHeight="1">
      <c r="C190" s="21"/>
      <c r="D190" t="s">
        <v>593</v>
      </c>
      <c r="I190" s="1367">
        <v>94002</v>
      </c>
      <c r="J190" s="1367"/>
      <c r="K190" s="1367"/>
      <c r="L190" s="1367"/>
      <c r="M190" s="1367"/>
      <c r="N190" s="1367"/>
      <c r="O190" t="s">
        <v>595</v>
      </c>
      <c r="T190" s="1548">
        <v>6087</v>
      </c>
      <c r="U190" s="1548"/>
      <c r="V190" s="1548"/>
      <c r="W190" s="1548"/>
      <c r="X190" s="1548"/>
      <c r="Y190" s="1548"/>
      <c r="Z190" s="1548"/>
      <c r="AA190" s="1548"/>
      <c r="AB190" s="1548"/>
      <c r="AC190" s="1548"/>
      <c r="AD190" s="1548"/>
      <c r="AE190" s="1548"/>
      <c r="BC190" t="s">
        <v>1103</v>
      </c>
      <c r="BH190" t="s">
        <v>1103</v>
      </c>
      <c r="BN190" s="23" t="s">
        <v>645</v>
      </c>
      <c r="BT190" t="s">
        <v>68</v>
      </c>
    </row>
    <row r="191" spans="1:72" ht="12.9" customHeight="1">
      <c r="C191" s="21"/>
      <c r="D191" t="s">
        <v>472</v>
      </c>
      <c r="N191" s="1443" t="s">
        <v>2635</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 customHeight="1">
      <c r="C193" s="21"/>
      <c r="D193" t="s">
        <v>2505</v>
      </c>
      <c r="M193" s="40"/>
      <c r="N193" s="930"/>
      <c r="O193" s="930"/>
      <c r="P193" s="930"/>
      <c r="Q193" s="930"/>
      <c r="R193" s="930"/>
      <c r="S193" s="930"/>
      <c r="T193" s="1562" t="s">
        <v>2359</v>
      </c>
      <c r="U193" s="1562"/>
      <c r="V193" s="1562"/>
      <c r="W193" s="1562"/>
      <c r="X193" s="1562"/>
      <c r="Y193" s="1562"/>
      <c r="Z193" s="1562"/>
      <c r="AA193" s="1562"/>
      <c r="AB193" s="1562"/>
      <c r="AC193" s="1562"/>
      <c r="AD193" s="1562"/>
      <c r="AE193" s="1562"/>
      <c r="AF193" s="1562"/>
      <c r="AG193" s="1562"/>
      <c r="AH193" s="1562"/>
      <c r="AI193" s="1562"/>
      <c r="BC193" t="s">
        <v>1104</v>
      </c>
      <c r="BH193" s="3" t="s">
        <v>1810</v>
      </c>
      <c r="BN193" s="23" t="s">
        <v>701</v>
      </c>
      <c r="BT193" t="s">
        <v>742</v>
      </c>
    </row>
    <row r="194" spans="1:74" ht="12.9" customHeight="1">
      <c r="C194" s="21"/>
      <c r="D194" t="s">
        <v>333</v>
      </c>
      <c r="T194" s="1374" t="s">
        <v>555</v>
      </c>
      <c r="U194" s="1374"/>
      <c r="W194" t="s">
        <v>695</v>
      </c>
      <c r="AH194" s="1374">
        <v>15</v>
      </c>
      <c r="AI194" s="1374"/>
      <c r="BC194" t="s">
        <v>1538</v>
      </c>
      <c r="BN194" s="23" t="s">
        <v>702</v>
      </c>
      <c r="BT194" t="s">
        <v>743</v>
      </c>
    </row>
    <row r="195" spans="1:74" ht="12.9" customHeight="1">
      <c r="C195" s="21"/>
      <c r="D195" t="s">
        <v>388</v>
      </c>
      <c r="T195" s="1355" t="s">
        <v>679</v>
      </c>
      <c r="U195" s="1355"/>
      <c r="W195" t="s">
        <v>696</v>
      </c>
      <c r="AH195" s="1374">
        <v>13</v>
      </c>
      <c r="AI195" s="1374"/>
      <c r="BC195" t="s">
        <v>2121</v>
      </c>
      <c r="BN195" s="23" t="s">
        <v>244</v>
      </c>
      <c r="BT195" t="s">
        <v>744</v>
      </c>
    </row>
    <row r="196" spans="1:74" ht="12.9" customHeight="1">
      <c r="C196" s="21"/>
      <c r="D196" s="3" t="s">
        <v>170</v>
      </c>
      <c r="T196" s="1355" t="s">
        <v>679</v>
      </c>
      <c r="U196" s="1355"/>
      <c r="W196" t="s">
        <v>697</v>
      </c>
      <c r="AH196" s="1374">
        <v>21</v>
      </c>
      <c r="AI196" s="1374"/>
      <c r="BN196" s="23" t="s">
        <v>245</v>
      </c>
      <c r="BT196" t="s">
        <v>69</v>
      </c>
    </row>
    <row r="197" spans="1:74" ht="12.9" customHeight="1">
      <c r="C197" s="21"/>
      <c r="D197" s="3" t="s">
        <v>1834</v>
      </c>
      <c r="T197" s="1355"/>
      <c r="U197" s="1355"/>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2506</v>
      </c>
      <c r="Y198" s="1374" t="s">
        <v>679</v>
      </c>
      <c r="Z198" s="137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510" t="s">
        <v>387</v>
      </c>
      <c r="E203" s="1510"/>
      <c r="F203" s="1510"/>
      <c r="G203" s="1510"/>
      <c r="H203" s="1510"/>
      <c r="I203" s="1510"/>
      <c r="J203" s="1510"/>
      <c r="K203" s="1510"/>
      <c r="L203" s="1510"/>
      <c r="M203" s="1510"/>
      <c r="P203" s="1544">
        <f>M26</f>
        <v>5707459</v>
      </c>
      <c r="Q203" s="1545"/>
      <c r="R203" s="1545"/>
      <c r="S203" s="1545"/>
      <c r="T203" s="1545"/>
      <c r="U203" s="1545"/>
      <c r="Z203" s="1564" t="s">
        <v>2636</v>
      </c>
      <c r="AA203" s="1564"/>
      <c r="AB203" s="1564"/>
      <c r="AC203" s="1564"/>
      <c r="AD203" s="1564"/>
      <c r="AE203" s="1564"/>
      <c r="AF203" s="1564"/>
      <c r="BC203" t="s">
        <v>1130</v>
      </c>
      <c r="BN203" s="23" t="s">
        <v>713</v>
      </c>
      <c r="BO203" s="14"/>
      <c r="BP203" s="32"/>
      <c r="BQ203" s="32"/>
      <c r="BR203" s="32"/>
      <c r="BS203" s="32"/>
      <c r="BT203" s="32" t="s">
        <v>198</v>
      </c>
    </row>
    <row r="204" spans="1:74" ht="12.9" customHeight="1">
      <c r="C204" s="21"/>
      <c r="D204" s="1563" t="s">
        <v>1404</v>
      </c>
      <c r="E204" s="1510"/>
      <c r="F204" s="1510"/>
      <c r="G204" s="1510"/>
      <c r="H204" s="1510"/>
      <c r="I204" s="1510"/>
      <c r="J204" s="1510"/>
      <c r="K204" s="1510"/>
      <c r="L204" s="1510"/>
      <c r="M204" s="1510"/>
      <c r="P204" s="1545">
        <f>M27</f>
        <v>32921993</v>
      </c>
      <c r="Q204" s="1545"/>
      <c r="R204" s="1545"/>
      <c r="S204" s="1545"/>
      <c r="T204" s="1545"/>
      <c r="U204" s="1545"/>
      <c r="V204" s="28"/>
      <c r="W204" s="3" t="s">
        <v>1982</v>
      </c>
      <c r="Z204" s="1564"/>
      <c r="AA204" s="1564"/>
      <c r="AB204" s="1564"/>
      <c r="AC204" s="1564"/>
      <c r="AD204" s="1564"/>
      <c r="AE204" s="1564"/>
      <c r="AF204" s="1564"/>
      <c r="AG204" t="s">
        <v>1405</v>
      </c>
      <c r="AP204" s="1374" t="s">
        <v>679</v>
      </c>
      <c r="AQ204" s="1374"/>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534" t="s">
        <v>2775</v>
      </c>
      <c r="E207" s="1534"/>
      <c r="F207" s="1534"/>
      <c r="G207" s="1534"/>
      <c r="H207" s="1534"/>
      <c r="I207" s="1534"/>
      <c r="J207" s="1534"/>
      <c r="K207" s="1534"/>
      <c r="L207" s="1534"/>
      <c r="M207" s="1534"/>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534" t="s">
        <v>1103</v>
      </c>
      <c r="E210" s="1534"/>
      <c r="F210" s="1534"/>
      <c r="G210" s="1534"/>
      <c r="H210" s="1534"/>
      <c r="I210" s="1534"/>
      <c r="J210" s="1534"/>
      <c r="K210" s="1534"/>
      <c r="L210" s="1534"/>
      <c r="M210" s="1534"/>
      <c r="BN210" s="23" t="s">
        <v>48</v>
      </c>
      <c r="BT210" s="32" t="s">
        <v>204</v>
      </c>
    </row>
    <row r="211" spans="1:72" ht="12.9" customHeight="1">
      <c r="C211" s="21"/>
      <c r="D211" t="s">
        <v>1394</v>
      </c>
      <c r="Y211" s="1374"/>
      <c r="Z211" s="1374"/>
      <c r="AB211" s="1560">
        <f>IFERROR(Y211/AG439,"")</f>
        <v>0</v>
      </c>
      <c r="AC211" s="1561"/>
      <c r="BN211" s="23" t="s">
        <v>130</v>
      </c>
      <c r="BT211" s="32" t="s">
        <v>131</v>
      </c>
    </row>
    <row r="212" spans="1:72" ht="12.9" customHeight="1">
      <c r="D212" s="1198" t="s">
        <v>1808</v>
      </c>
      <c r="BC212" t="s">
        <v>309</v>
      </c>
      <c r="BN212" s="23" t="s">
        <v>49</v>
      </c>
      <c r="BT212" s="32" t="s">
        <v>205</v>
      </c>
    </row>
    <row r="213" spans="1:72" ht="12.9"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1833</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534" t="s">
        <v>1088</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379</v>
      </c>
    </row>
    <row r="220" spans="1:72" ht="12.9" customHeight="1">
      <c r="A220" s="2"/>
      <c r="B220" s="14"/>
      <c r="C220" s="2"/>
      <c r="BA220" s="3"/>
      <c r="BC220" t="s">
        <v>302</v>
      </c>
    </row>
    <row r="221" spans="1:72" ht="12.9"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601</v>
      </c>
      <c r="AJ225" s="1374"/>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555</v>
      </c>
      <c r="AJ226" s="137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555</v>
      </c>
      <c r="AJ227" s="137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601</v>
      </c>
      <c r="AJ228" s="137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 customHeight="1">
      <c r="D231" s="4" t="s">
        <v>480</v>
      </c>
      <c r="E231" s="4"/>
      <c r="F231" s="4"/>
      <c r="G231" s="4"/>
      <c r="H231" s="4"/>
      <c r="I231" s="4"/>
      <c r="J231" s="4"/>
      <c r="K231" s="4"/>
      <c r="M231" s="1549" t="str">
        <f>H16</f>
        <v>ROEM West, LLC</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 customHeight="1">
      <c r="D232" s="4" t="s">
        <v>86</v>
      </c>
      <c r="E232" s="4"/>
      <c r="F232" s="4"/>
      <c r="G232" s="4"/>
      <c r="H232" s="4"/>
      <c r="I232" s="4"/>
      <c r="J232" s="4"/>
      <c r="K232" s="4"/>
      <c r="M232" s="1514" t="s">
        <v>2637</v>
      </c>
      <c r="N232" s="1534"/>
      <c r="O232" s="1534"/>
      <c r="P232" s="1534"/>
      <c r="Q232" s="1534"/>
      <c r="R232" s="1534"/>
      <c r="S232" s="1534"/>
      <c r="T232" s="1534"/>
      <c r="U232" s="1534"/>
      <c r="V232" s="1534"/>
      <c r="W232" s="1534"/>
      <c r="X232" s="1534"/>
      <c r="Y232" s="1534"/>
      <c r="Z232" s="1534"/>
      <c r="AA232" s="1534"/>
      <c r="AB232" s="1534"/>
      <c r="AC232" s="1534"/>
      <c r="AD232" s="1534"/>
      <c r="AE232" s="1534"/>
      <c r="AZ232" s="4"/>
      <c r="BA232" s="3"/>
      <c r="BB232" s="219" t="s">
        <v>548</v>
      </c>
      <c r="BG232" s="259">
        <f>IF(AND(AND($M$248="nonprofit",$M$256="nonprofit",$M$264="for profit")),2,0)</f>
        <v>0</v>
      </c>
      <c r="BQ232" s="34"/>
    </row>
    <row r="233" spans="1:69" ht="12.9" customHeight="1">
      <c r="D233" s="4" t="s">
        <v>590</v>
      </c>
      <c r="E233" s="4"/>
      <c r="M233" s="1514" t="s">
        <v>194</v>
      </c>
      <c r="N233" s="1534"/>
      <c r="O233" s="1534"/>
      <c r="P233" s="1534"/>
      <c r="Q233" s="1534"/>
      <c r="R233" s="1534"/>
      <c r="S233" s="1534"/>
      <c r="T233" s="1534"/>
      <c r="V233" s="33" t="s">
        <v>87</v>
      </c>
      <c r="W233" s="1462" t="s">
        <v>2638</v>
      </c>
      <c r="X233" s="1463"/>
      <c r="Y233" s="4" t="s">
        <v>593</v>
      </c>
      <c r="AC233" s="1534">
        <v>95050</v>
      </c>
      <c r="AD233" s="1534"/>
      <c r="AE233" s="1534"/>
      <c r="BB233" s="219" t="s">
        <v>548</v>
      </c>
      <c r="BG233" s="259">
        <f>IF(AND(AND($M$248="nonprofit",$M$256="for profit",$M$264="nonprofit")),2,0)</f>
        <v>0</v>
      </c>
    </row>
    <row r="234" spans="1:69" ht="12.9" customHeight="1">
      <c r="D234" s="4" t="s">
        <v>88</v>
      </c>
      <c r="E234" s="4"/>
      <c r="F234" s="4"/>
      <c r="G234" s="4"/>
      <c r="H234" s="4"/>
      <c r="I234" s="4"/>
      <c r="J234" s="4"/>
      <c r="K234" s="19"/>
      <c r="M234" s="1514" t="s">
        <v>2639</v>
      </c>
      <c r="N234" s="1534"/>
      <c r="O234" s="1534"/>
      <c r="P234" s="1534"/>
      <c r="Q234" s="1534"/>
      <c r="R234" s="1534"/>
      <c r="S234" s="1534"/>
      <c r="T234" s="1534"/>
      <c r="U234" s="1534"/>
      <c r="V234" s="1534"/>
      <c r="W234" s="1534"/>
      <c r="X234" s="1534"/>
      <c r="Y234" s="1534"/>
      <c r="Z234" s="1534"/>
      <c r="AA234" s="1534"/>
      <c r="AB234" s="1534"/>
      <c r="AC234" s="1534"/>
      <c r="AD234" s="1534"/>
      <c r="AE234" s="1534"/>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471" t="s">
        <v>2640</v>
      </c>
      <c r="N235" s="1436"/>
      <c r="O235" s="1436"/>
      <c r="P235" s="1436"/>
      <c r="Q235" s="1436"/>
      <c r="R235" s="1436"/>
      <c r="S235" s="4" t="s">
        <v>208</v>
      </c>
      <c r="T235" s="4"/>
      <c r="U235" s="1463"/>
      <c r="V235" s="1463"/>
      <c r="W235" s="1463"/>
      <c r="X235" s="4" t="s">
        <v>90</v>
      </c>
      <c r="Z235" s="1436"/>
      <c r="AA235" s="1436"/>
      <c r="AB235" s="1436"/>
      <c r="AC235" s="1436"/>
      <c r="AD235" s="1436"/>
      <c r="AE235" s="1436"/>
      <c r="BB235" s="219"/>
      <c r="BG235" s="218"/>
    </row>
    <row r="236" spans="1:69" ht="12.9" customHeight="1">
      <c r="D236" s="4" t="s">
        <v>91</v>
      </c>
      <c r="E236" s="4"/>
      <c r="F236" s="4"/>
      <c r="M236" s="1466" t="s">
        <v>2641</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367" t="s">
        <v>302</v>
      </c>
      <c r="N237" s="1367"/>
      <c r="O237" s="1367"/>
      <c r="P237" s="1367"/>
      <c r="Q237" s="1367"/>
      <c r="R237" s="1367"/>
      <c r="S237" s="1367"/>
      <c r="T237" s="1367"/>
      <c r="U237" s="218" t="s">
        <v>940</v>
      </c>
      <c r="V237" s="218"/>
      <c r="W237" s="218"/>
      <c r="X237" s="218"/>
      <c r="Y237" s="218"/>
      <c r="Z237" s="218"/>
      <c r="AA237" s="1533"/>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395" t="s">
        <v>2642</v>
      </c>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537" t="s">
        <v>2643</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2644</v>
      </c>
      <c r="AG242" s="1538"/>
      <c r="AH242" s="1538"/>
      <c r="AI242" s="1538"/>
      <c r="AJ242" s="1538"/>
      <c r="AK242" s="1538"/>
      <c r="BO242" s="34"/>
      <c r="BP242" s="4"/>
      <c r="BQ242" s="4"/>
      <c r="BR242" s="4"/>
      <c r="BS242" s="4"/>
    </row>
    <row r="243" spans="1:71" ht="12.9" customHeight="1">
      <c r="A243" s="19"/>
      <c r="B243" s="4"/>
      <c r="C243" s="4"/>
      <c r="D243" s="4" t="s">
        <v>86</v>
      </c>
      <c r="E243" s="4"/>
      <c r="F243" s="4"/>
      <c r="G243" s="4"/>
      <c r="H243" s="4"/>
      <c r="I243" s="4"/>
      <c r="J243" s="4"/>
      <c r="K243" s="4"/>
      <c r="L243" s="4"/>
      <c r="M243" s="1514" t="s">
        <v>2645</v>
      </c>
      <c r="N243" s="1534"/>
      <c r="O243" s="1534"/>
      <c r="P243" s="1534"/>
      <c r="Q243" s="1534"/>
      <c r="R243" s="1534"/>
      <c r="S243" s="1534"/>
      <c r="T243" s="1534"/>
      <c r="U243" s="1534"/>
      <c r="V243" s="1534"/>
      <c r="W243" s="1534"/>
      <c r="X243" s="1534"/>
      <c r="Y243" s="1534"/>
      <c r="Z243" s="1534"/>
      <c r="AA243" s="1534"/>
      <c r="AB243" s="1534"/>
      <c r="AC243" s="1534"/>
      <c r="AD243" s="1534"/>
      <c r="AE243" s="1534"/>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514" t="s">
        <v>68</v>
      </c>
      <c r="N244" s="1534"/>
      <c r="O244" s="1534"/>
      <c r="P244" s="1534"/>
      <c r="Q244" s="1534"/>
      <c r="R244" s="1534"/>
      <c r="S244" s="1534"/>
      <c r="T244" s="1534"/>
      <c r="V244" s="33" t="s">
        <v>87</v>
      </c>
      <c r="W244" s="1462" t="s">
        <v>2638</v>
      </c>
      <c r="X244" s="1463"/>
      <c r="Y244" s="4" t="s">
        <v>593</v>
      </c>
      <c r="AC244" s="1534">
        <v>95816</v>
      </c>
      <c r="AD244" s="1534"/>
      <c r="AE244" s="1534"/>
      <c r="AF244" s="3" t="s">
        <v>1324</v>
      </c>
      <c r="BB244" t="s">
        <v>309</v>
      </c>
      <c r="BG244">
        <v>1</v>
      </c>
      <c r="BH244" t="s">
        <v>544</v>
      </c>
    </row>
    <row r="245" spans="1:71" ht="12.9" customHeight="1">
      <c r="A245" s="19"/>
      <c r="B245" s="4"/>
      <c r="C245" s="4"/>
      <c r="D245" s="4" t="s">
        <v>88</v>
      </c>
      <c r="E245" s="4"/>
      <c r="F245" s="4"/>
      <c r="G245" s="4"/>
      <c r="H245" s="4"/>
      <c r="I245" s="4"/>
      <c r="J245" s="4"/>
      <c r="K245" s="4"/>
      <c r="L245" s="19"/>
      <c r="M245" s="1514" t="s">
        <v>2646</v>
      </c>
      <c r="N245" s="1534"/>
      <c r="O245" s="1534"/>
      <c r="P245" s="1534"/>
      <c r="Q245" s="1534"/>
      <c r="R245" s="1534"/>
      <c r="S245" s="1534"/>
      <c r="T245" s="1534"/>
      <c r="U245" s="1534"/>
      <c r="V245" s="1534"/>
      <c r="W245" s="1534"/>
      <c r="X245" s="1534"/>
      <c r="Y245" s="1534"/>
      <c r="Z245" s="1534"/>
      <c r="AA245" s="1534"/>
      <c r="AB245" s="1534"/>
      <c r="AC245" s="1534"/>
      <c r="AD245" s="1534"/>
      <c r="AE245" s="1534"/>
      <c r="AH245" s="1434">
        <v>1E-3</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471" t="s">
        <v>2647</v>
      </c>
      <c r="N246" s="1436"/>
      <c r="O246" s="1436"/>
      <c r="P246" s="1436"/>
      <c r="Q246" s="1436"/>
      <c r="R246" s="1436"/>
      <c r="S246" s="4" t="s">
        <v>208</v>
      </c>
      <c r="T246" s="4"/>
      <c r="U246" s="1463"/>
      <c r="V246" s="1463"/>
      <c r="W246" s="1463"/>
      <c r="X246" s="4" t="s">
        <v>90</v>
      </c>
      <c r="Z246" s="1471" t="s">
        <v>2648</v>
      </c>
      <c r="AA246" s="1436"/>
      <c r="AB246" s="1436"/>
      <c r="AC246" s="1436"/>
      <c r="AD246" s="1436"/>
      <c r="AE246" s="1436"/>
      <c r="BB246" s="4" t="s">
        <v>174</v>
      </c>
      <c r="BG246">
        <v>3</v>
      </c>
      <c r="BH246" t="s">
        <v>546</v>
      </c>
      <c r="BN246" s="34"/>
    </row>
    <row r="247" spans="1:71" ht="12.9" customHeight="1">
      <c r="A247" s="19"/>
      <c r="B247" s="4"/>
      <c r="C247" s="4"/>
      <c r="D247" s="4" t="s">
        <v>91</v>
      </c>
      <c r="E247" s="4"/>
      <c r="F247" s="4"/>
      <c r="M247" s="1466" t="s">
        <v>2649</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367" t="s">
        <v>544</v>
      </c>
      <c r="N248" s="1367"/>
      <c r="O248" s="1367"/>
      <c r="P248" s="1367"/>
      <c r="Q248" s="1367"/>
      <c r="R248" s="1367"/>
      <c r="S248" s="1367"/>
      <c r="T248" s="1367"/>
      <c r="U248" s="218" t="s">
        <v>940</v>
      </c>
      <c r="V248" s="218"/>
      <c r="W248" s="218"/>
      <c r="X248" s="218"/>
      <c r="Y248" s="218"/>
      <c r="Z248" s="218"/>
      <c r="AA248" s="1540" t="s">
        <v>2650</v>
      </c>
      <c r="AB248" s="1533"/>
      <c r="AC248" s="1533"/>
      <c r="AD248" s="1533"/>
      <c r="AE248" s="1533"/>
      <c r="AF248" s="1533"/>
      <c r="AG248" s="1533"/>
      <c r="AH248" s="1533"/>
      <c r="AI248" s="1533"/>
      <c r="AJ248" s="1533"/>
      <c r="AK248" s="1533"/>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537" t="s">
        <v>2651</v>
      </c>
      <c r="N250" s="1538"/>
      <c r="O250" s="1538"/>
      <c r="P250" s="1538"/>
      <c r="Q250" s="1538"/>
      <c r="R250" s="1538"/>
      <c r="S250" s="1538"/>
      <c r="T250" s="1538"/>
      <c r="U250" s="1538"/>
      <c r="V250" s="1538"/>
      <c r="W250" s="1538"/>
      <c r="X250" s="1538"/>
      <c r="Y250" s="1538"/>
      <c r="Z250" s="1538"/>
      <c r="AA250" s="1538"/>
      <c r="AB250" s="1538"/>
      <c r="AC250" s="1538"/>
      <c r="AD250" s="1538"/>
      <c r="AE250" s="1538"/>
      <c r="AF250" s="1538" t="s">
        <v>2652</v>
      </c>
      <c r="AG250" s="1538"/>
      <c r="AH250" s="1538"/>
      <c r="AI250" s="1538"/>
      <c r="AJ250" s="1538"/>
      <c r="AK250" s="1538"/>
      <c r="BN250" s="34"/>
    </row>
    <row r="251" spans="1:71" ht="12.9" customHeight="1">
      <c r="A251" s="19"/>
      <c r="B251" s="4"/>
      <c r="C251" s="4"/>
      <c r="D251" s="4" t="s">
        <v>86</v>
      </c>
      <c r="E251" s="4"/>
      <c r="F251" s="4"/>
      <c r="G251" s="4"/>
      <c r="H251" s="4"/>
      <c r="I251" s="4"/>
      <c r="J251" s="4"/>
      <c r="K251" s="4"/>
      <c r="L251" s="4"/>
      <c r="M251" s="1514" t="s">
        <v>2637</v>
      </c>
      <c r="N251" s="1534"/>
      <c r="O251" s="1534"/>
      <c r="P251" s="1534"/>
      <c r="Q251" s="1534"/>
      <c r="R251" s="1534"/>
      <c r="S251" s="1534"/>
      <c r="T251" s="1534"/>
      <c r="U251" s="1534"/>
      <c r="V251" s="1534"/>
      <c r="W251" s="1534"/>
      <c r="X251" s="1534"/>
      <c r="Y251" s="1534"/>
      <c r="Z251" s="1534"/>
      <c r="AA251" s="1534"/>
      <c r="AB251" s="1534"/>
      <c r="AC251" s="1534"/>
      <c r="AD251" s="1534"/>
      <c r="AE251" s="1534"/>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514" t="s">
        <v>194</v>
      </c>
      <c r="N252" s="1534"/>
      <c r="O252" s="1534"/>
      <c r="P252" s="1534"/>
      <c r="Q252" s="1534"/>
      <c r="R252" s="1534"/>
      <c r="S252" s="1534"/>
      <c r="T252" s="1534"/>
      <c r="V252" s="33" t="s">
        <v>87</v>
      </c>
      <c r="W252" s="1462" t="s">
        <v>2638</v>
      </c>
      <c r="X252" s="1463"/>
      <c r="Y252" s="4" t="s">
        <v>593</v>
      </c>
      <c r="AC252" s="1534">
        <v>95050</v>
      </c>
      <c r="AD252" s="1534"/>
      <c r="AE252" s="1534"/>
      <c r="AF252" s="3" t="s">
        <v>1324</v>
      </c>
      <c r="BN252" s="34"/>
    </row>
    <row r="253" spans="1:71" ht="12.9" customHeight="1">
      <c r="A253" s="19"/>
      <c r="B253" s="4"/>
      <c r="C253" s="4"/>
      <c r="D253" s="4" t="s">
        <v>88</v>
      </c>
      <c r="E253" s="4"/>
      <c r="F253" s="4"/>
      <c r="G253" s="4"/>
      <c r="H253" s="4"/>
      <c r="I253" s="4"/>
      <c r="J253" s="4"/>
      <c r="K253" s="4"/>
      <c r="L253" s="19"/>
      <c r="M253" s="1514" t="s">
        <v>2639</v>
      </c>
      <c r="N253" s="1534"/>
      <c r="O253" s="1534"/>
      <c r="P253" s="1534"/>
      <c r="Q253" s="1534"/>
      <c r="R253" s="1534"/>
      <c r="S253" s="1534"/>
      <c r="T253" s="1534"/>
      <c r="U253" s="1534"/>
      <c r="V253" s="1534"/>
      <c r="W253" s="1534"/>
      <c r="X253" s="1534"/>
      <c r="Y253" s="1534"/>
      <c r="Z253" s="1534"/>
      <c r="AA253" s="1534"/>
      <c r="AB253" s="1534"/>
      <c r="AC253" s="1534"/>
      <c r="AD253" s="1534"/>
      <c r="AE253" s="1534"/>
      <c r="AH253" s="1434">
        <v>8.9999999999999993E-3</v>
      </c>
      <c r="AI253" s="1434"/>
      <c r="AJ253" s="1434"/>
      <c r="AK253" s="1434"/>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471" t="s">
        <v>2640</v>
      </c>
      <c r="N254" s="1436"/>
      <c r="O254" s="1436"/>
      <c r="P254" s="1436"/>
      <c r="Q254" s="1436"/>
      <c r="R254" s="1436"/>
      <c r="S254" s="4" t="s">
        <v>208</v>
      </c>
      <c r="T254" s="4"/>
      <c r="U254" s="1463"/>
      <c r="V254" s="1463"/>
      <c r="W254" s="1463"/>
      <c r="X254" s="4" t="s">
        <v>90</v>
      </c>
      <c r="Z254" s="1436"/>
      <c r="AA254" s="1436"/>
      <c r="AB254" s="1436"/>
      <c r="AC254" s="1436"/>
      <c r="AD254" s="1436"/>
      <c r="AE254" s="1436"/>
    </row>
    <row r="255" spans="1:71" ht="12.9" customHeight="1">
      <c r="A255" s="19"/>
      <c r="B255" s="4"/>
      <c r="C255" s="4"/>
      <c r="D255" s="4" t="s">
        <v>91</v>
      </c>
      <c r="E255" s="4"/>
      <c r="F255" s="4"/>
      <c r="M255" s="1466" t="s">
        <v>2641</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367" t="s">
        <v>546</v>
      </c>
      <c r="N256" s="1367"/>
      <c r="O256" s="1367"/>
      <c r="P256" s="1367"/>
      <c r="Q256" s="1367"/>
      <c r="R256" s="1367"/>
      <c r="S256" s="1367"/>
      <c r="T256" s="1367"/>
      <c r="U256" s="218" t="s">
        <v>940</v>
      </c>
      <c r="V256" s="218"/>
      <c r="W256" s="218"/>
      <c r="X256" s="218"/>
      <c r="Y256" s="218"/>
      <c r="Z256" s="218"/>
      <c r="AA256" s="1533"/>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534"/>
      <c r="N260" s="1534"/>
      <c r="O260" s="1534"/>
      <c r="P260" s="1534"/>
      <c r="Q260" s="1534"/>
      <c r="R260" s="1534"/>
      <c r="S260" s="1534"/>
      <c r="T260" s="1534"/>
      <c r="V260" s="33" t="s">
        <v>87</v>
      </c>
      <c r="W260" s="1463"/>
      <c r="X260" s="1463"/>
      <c r="Y260" s="4" t="s">
        <v>593</v>
      </c>
      <c r="AC260" s="1534"/>
      <c r="AD260" s="1534"/>
      <c r="AE260" s="1534"/>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434"/>
      <c r="AI261" s="1434"/>
      <c r="AJ261" s="1434"/>
      <c r="AK261" s="1434"/>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436"/>
      <c r="N262" s="1436"/>
      <c r="O262" s="1436"/>
      <c r="P262" s="1436"/>
      <c r="Q262" s="1436"/>
      <c r="R262" s="1436"/>
      <c r="S262" s="4" t="s">
        <v>208</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367" t="s">
        <v>309</v>
      </c>
      <c r="N264" s="1367"/>
      <c r="O264" s="1367"/>
      <c r="P264" s="1367"/>
      <c r="Q264" s="1367"/>
      <c r="R264" s="1367"/>
      <c r="S264" s="1367"/>
      <c r="T264" s="1367"/>
      <c r="U264" s="218" t="s">
        <v>940</v>
      </c>
      <c r="V264" s="218"/>
      <c r="W264" s="218"/>
      <c r="X264" s="218"/>
      <c r="Y264" s="218"/>
      <c r="Z264" s="218"/>
      <c r="AA264" s="1566"/>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541" t="str">
        <f>BO245</f>
        <v>Joint Venture</v>
      </c>
      <c r="U266" s="1541"/>
      <c r="V266" s="1541"/>
      <c r="W266" s="1541"/>
      <c r="X266" s="1541"/>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534" t="s">
        <v>174</v>
      </c>
      <c r="E269" s="1534"/>
      <c r="F269" s="1534"/>
      <c r="G269" s="1534"/>
      <c r="H269" s="1534"/>
      <c r="J269" t="s">
        <v>281</v>
      </c>
      <c r="X269" s="1539">
        <v>45078</v>
      </c>
      <c r="Y269" s="1539"/>
      <c r="Z269" s="1539"/>
      <c r="AA269" s="1539"/>
      <c r="AB269" s="1539"/>
      <c r="AC269" s="1539"/>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537" t="s">
        <v>2626</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514" t="s">
        <v>2653</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4"/>
    </row>
    <row r="275" spans="1:66" ht="12.9" customHeight="1">
      <c r="D275" s="4" t="s">
        <v>590</v>
      </c>
      <c r="E275" s="4"/>
      <c r="L275" s="1514" t="s">
        <v>194</v>
      </c>
      <c r="M275" s="1534"/>
      <c r="N275" s="1534"/>
      <c r="O275" s="1534"/>
      <c r="P275" s="1534"/>
      <c r="Q275" s="1534"/>
      <c r="R275" s="1534"/>
      <c r="S275" s="1534"/>
      <c r="U275" s="33" t="s">
        <v>87</v>
      </c>
      <c r="V275" s="1462" t="s">
        <v>2638</v>
      </c>
      <c r="W275" s="1463"/>
      <c r="X275" s="4" t="s">
        <v>593</v>
      </c>
      <c r="AB275" s="1534">
        <v>95050</v>
      </c>
      <c r="AC275" s="1534"/>
      <c r="AD275" s="1534"/>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14" t="s">
        <v>2639</v>
      </c>
      <c r="M276" s="1534"/>
      <c r="N276" s="1534"/>
      <c r="O276" s="1534"/>
      <c r="P276" s="1534"/>
      <c r="Q276" s="1534"/>
      <c r="R276" s="1534"/>
      <c r="S276" s="1534"/>
      <c r="T276" s="1534"/>
      <c r="U276" s="1534"/>
      <c r="V276" s="1534"/>
      <c r="W276" s="1534"/>
      <c r="X276" s="1534"/>
      <c r="Y276" s="1534"/>
      <c r="Z276" s="1534"/>
      <c r="AA276" s="1534"/>
      <c r="AB276" s="1534"/>
      <c r="AC276" s="1534"/>
      <c r="AD276" s="1534"/>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471" t="s">
        <v>2640</v>
      </c>
      <c r="M277" s="1436"/>
      <c r="N277" s="1436"/>
      <c r="O277" s="1436"/>
      <c r="P277" s="1436"/>
      <c r="Q277" s="1436"/>
      <c r="R277" s="4" t="s">
        <v>208</v>
      </c>
      <c r="S277" s="4"/>
      <c r="T277" s="1463"/>
      <c r="U277" s="1463"/>
      <c r="V277" s="1463"/>
      <c r="W277" s="4" t="s">
        <v>90</v>
      </c>
      <c r="Y277" s="1436"/>
      <c r="Z277" s="1436"/>
      <c r="AA277" s="1436"/>
      <c r="AB277" s="1436"/>
      <c r="AC277" s="1436"/>
      <c r="AD277" s="1436"/>
      <c r="BN277" s="34"/>
    </row>
    <row r="278" spans="1:66" ht="12.9" customHeight="1">
      <c r="D278" s="4" t="s">
        <v>91</v>
      </c>
      <c r="E278" s="4"/>
      <c r="F278" s="4"/>
      <c r="L278" s="1466" t="s">
        <v>2654</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 customHeight="1">
      <c r="D279" s="3" t="s">
        <v>633</v>
      </c>
      <c r="E279" s="3"/>
      <c r="F279" s="3"/>
      <c r="G279" s="3"/>
      <c r="H279" s="3"/>
      <c r="I279" s="3"/>
      <c r="L279" s="1462" t="s">
        <v>2655</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514" t="s">
        <v>2778</v>
      </c>
      <c r="I286" s="1395"/>
      <c r="J286" s="1395"/>
      <c r="K286" s="1395"/>
      <c r="L286" s="1395"/>
      <c r="M286" s="1395"/>
      <c r="N286" s="1395"/>
      <c r="O286" s="1395"/>
      <c r="P286" s="1395"/>
      <c r="Q286" s="1395"/>
      <c r="R286" s="1395"/>
      <c r="T286" s="3" t="s">
        <v>577</v>
      </c>
      <c r="V286" s="3"/>
      <c r="W286" s="3"/>
      <c r="X286" s="3"/>
      <c r="Y286" s="3"/>
      <c r="AA286" s="1395" t="s">
        <v>2658</v>
      </c>
      <c r="AB286" s="1395"/>
      <c r="AC286" s="1395"/>
      <c r="AD286" s="1395"/>
      <c r="AE286" s="1395"/>
      <c r="AF286" s="1395"/>
      <c r="AG286" s="1395"/>
      <c r="AH286" s="1395"/>
      <c r="AI286" s="1395"/>
      <c r="AJ286" s="1395"/>
      <c r="AK286" s="1395"/>
      <c r="BN286" s="34"/>
    </row>
    <row r="287" spans="1:66" ht="12.9" customHeight="1">
      <c r="B287" s="3" t="s">
        <v>481</v>
      </c>
      <c r="C287" s="3"/>
      <c r="D287" s="3"/>
      <c r="E287" s="3"/>
      <c r="F287" s="3"/>
      <c r="H287" s="1367" t="s">
        <v>2653</v>
      </c>
      <c r="I287" s="1367"/>
      <c r="J287" s="1367"/>
      <c r="K287" s="1367"/>
      <c r="L287" s="1367"/>
      <c r="M287" s="1367"/>
      <c r="N287" s="1367"/>
      <c r="O287" s="1367"/>
      <c r="P287" s="1367"/>
      <c r="Q287" s="1367"/>
      <c r="R287" s="1367"/>
      <c r="T287" s="3" t="s">
        <v>481</v>
      </c>
      <c r="V287" s="3"/>
      <c r="W287" s="3"/>
      <c r="X287" s="3"/>
      <c r="Y287" s="3"/>
      <c r="AA287" s="1367" t="s">
        <v>2659</v>
      </c>
      <c r="AB287" s="1367"/>
      <c r="AC287" s="1367"/>
      <c r="AD287" s="1367"/>
      <c r="AE287" s="1367"/>
      <c r="AF287" s="1367"/>
      <c r="AG287" s="1367"/>
      <c r="AH287" s="1367"/>
      <c r="AI287" s="1367"/>
      <c r="AJ287" s="1367"/>
      <c r="AK287" s="1367"/>
      <c r="BN287" s="34"/>
    </row>
    <row r="288" spans="1:66" ht="12.9" customHeight="1">
      <c r="B288" s="3" t="s">
        <v>482</v>
      </c>
      <c r="C288" s="3"/>
      <c r="D288" s="3"/>
      <c r="E288" s="3"/>
      <c r="F288" s="3"/>
      <c r="H288" s="1367" t="s">
        <v>2656</v>
      </c>
      <c r="I288" s="1367"/>
      <c r="J288" s="1367"/>
      <c r="K288" s="1367"/>
      <c r="L288" s="1367"/>
      <c r="M288" s="1367"/>
      <c r="N288" s="1367"/>
      <c r="O288" s="1367"/>
      <c r="P288" s="1367"/>
      <c r="Q288" s="1367"/>
      <c r="R288" s="1367"/>
      <c r="T288" s="3" t="s">
        <v>76</v>
      </c>
      <c r="V288" s="3"/>
      <c r="W288" s="3"/>
      <c r="X288" s="3"/>
      <c r="Y288" s="3"/>
      <c r="AA288" s="1367" t="s">
        <v>2660</v>
      </c>
      <c r="AB288" s="1367"/>
      <c r="AC288" s="1367"/>
      <c r="AD288" s="1367"/>
      <c r="AE288" s="1367"/>
      <c r="AF288" s="1367"/>
      <c r="AG288" s="1367"/>
      <c r="AH288" s="1367"/>
      <c r="AI288" s="1367"/>
      <c r="AJ288" s="1367"/>
      <c r="AK288" s="1367"/>
      <c r="BN288" s="34"/>
    </row>
    <row r="289" spans="2:66" ht="12.9" customHeight="1">
      <c r="B289" s="3" t="s">
        <v>88</v>
      </c>
      <c r="C289" s="3"/>
      <c r="D289" s="3"/>
      <c r="E289" s="3"/>
      <c r="F289" s="3"/>
      <c r="H289" s="1367" t="s">
        <v>2639</v>
      </c>
      <c r="I289" s="1367"/>
      <c r="J289" s="1367"/>
      <c r="K289" s="1367"/>
      <c r="L289" s="1367"/>
      <c r="M289" s="1367"/>
      <c r="N289" s="1367"/>
      <c r="O289" s="1367"/>
      <c r="P289" s="1367"/>
      <c r="Q289" s="1367"/>
      <c r="R289" s="1367"/>
      <c r="T289" s="3" t="s">
        <v>88</v>
      </c>
      <c r="V289" s="3"/>
      <c r="W289" s="3"/>
      <c r="X289" s="3"/>
      <c r="Y289" s="3"/>
      <c r="AA289" s="1367" t="s">
        <v>2661</v>
      </c>
      <c r="AB289" s="1367"/>
      <c r="AC289" s="1367"/>
      <c r="AD289" s="1367"/>
      <c r="AE289" s="1367"/>
      <c r="AF289" s="1367"/>
      <c r="AG289" s="1367"/>
      <c r="AH289" s="1367"/>
      <c r="AI289" s="1367"/>
      <c r="AJ289" s="1367"/>
      <c r="AK289" s="1367"/>
      <c r="BN289" s="34"/>
    </row>
    <row r="290" spans="2:66" ht="12.9" customHeight="1">
      <c r="B290" s="3" t="s">
        <v>89</v>
      </c>
      <c r="C290" s="3"/>
      <c r="D290" s="3"/>
      <c r="E290" s="3"/>
      <c r="F290" s="3"/>
      <c r="G290" s="3"/>
      <c r="H290" s="1535" t="s">
        <v>2657</v>
      </c>
      <c r="I290" s="1536"/>
      <c r="J290" s="1536"/>
      <c r="K290" s="1536"/>
      <c r="L290" s="1536"/>
      <c r="M290" s="1536"/>
      <c r="N290" s="4" t="s">
        <v>208</v>
      </c>
      <c r="O290" s="4"/>
      <c r="P290" s="1534"/>
      <c r="Q290" s="1534"/>
      <c r="R290" s="1534"/>
      <c r="S290" s="3"/>
      <c r="T290" s="3" t="s">
        <v>89</v>
      </c>
      <c r="V290" s="3"/>
      <c r="W290" s="3"/>
      <c r="X290" s="3"/>
      <c r="Y290" s="3"/>
      <c r="AA290" s="1535" t="s">
        <v>2662</v>
      </c>
      <c r="AB290" s="1536"/>
      <c r="AC290" s="1536"/>
      <c r="AD290" s="1536"/>
      <c r="AE290" s="1536"/>
      <c r="AF290" s="1536"/>
      <c r="AG290" s="4" t="s">
        <v>208</v>
      </c>
      <c r="AH290" s="4"/>
      <c r="AI290" s="1534"/>
      <c r="AJ290" s="1534"/>
      <c r="AK290" s="1534"/>
      <c r="BN290" s="34"/>
    </row>
    <row r="291" spans="2:66" ht="12.9"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 customHeight="1">
      <c r="B292" s="3" t="s">
        <v>77</v>
      </c>
      <c r="C292" s="3"/>
      <c r="D292" s="3"/>
      <c r="E292" s="3"/>
      <c r="F292" s="3"/>
      <c r="G292" s="3"/>
      <c r="H292" s="1367" t="s">
        <v>2641</v>
      </c>
      <c r="I292" s="1367"/>
      <c r="J292" s="1367"/>
      <c r="K292" s="1367"/>
      <c r="L292" s="1367"/>
      <c r="M292" s="1367"/>
      <c r="N292" s="1395"/>
      <c r="O292" s="1395"/>
      <c r="P292" s="1395"/>
      <c r="Q292" s="1395"/>
      <c r="R292" s="1395"/>
      <c r="S292" s="3"/>
      <c r="T292" s="3" t="s">
        <v>77</v>
      </c>
      <c r="V292" s="3"/>
      <c r="W292" s="3"/>
      <c r="X292" s="3"/>
      <c r="Y292" s="3"/>
      <c r="AA292" s="1367" t="s">
        <v>2663</v>
      </c>
      <c r="AB292" s="1367"/>
      <c r="AC292" s="1367"/>
      <c r="AD292" s="1367"/>
      <c r="AE292" s="1367"/>
      <c r="AF292" s="1367"/>
      <c r="AG292" s="1395"/>
      <c r="AH292" s="1395"/>
      <c r="AI292" s="1395"/>
      <c r="AJ292" s="1395"/>
      <c r="AK292" s="1395"/>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95" t="s">
        <v>2664</v>
      </c>
      <c r="I294" s="1395"/>
      <c r="J294" s="1395"/>
      <c r="K294" s="1395"/>
      <c r="L294" s="1395"/>
      <c r="M294" s="1395"/>
      <c r="N294" s="1395"/>
      <c r="O294" s="1395"/>
      <c r="P294" s="1395"/>
      <c r="Q294" s="1395"/>
      <c r="R294" s="1395"/>
      <c r="T294" s="3" t="s">
        <v>366</v>
      </c>
      <c r="V294" s="3"/>
      <c r="W294" s="3"/>
      <c r="X294" s="3"/>
      <c r="Y294" s="3"/>
      <c r="AA294" s="1395" t="s">
        <v>2670</v>
      </c>
      <c r="AB294" s="1395"/>
      <c r="AC294" s="1395"/>
      <c r="AD294" s="1395"/>
      <c r="AE294" s="1395"/>
      <c r="AF294" s="1395"/>
      <c r="AG294" s="1395"/>
      <c r="AH294" s="1395"/>
      <c r="AI294" s="1395"/>
      <c r="AJ294" s="1395"/>
      <c r="AK294" s="1395"/>
      <c r="BN294" s="34"/>
    </row>
    <row r="295" spans="2:66" ht="12.9" customHeight="1">
      <c r="B295" s="3" t="s">
        <v>481</v>
      </c>
      <c r="C295" s="3"/>
      <c r="D295" s="3"/>
      <c r="E295" s="3"/>
      <c r="F295" s="3"/>
      <c r="H295" s="1367" t="s">
        <v>2665</v>
      </c>
      <c r="I295" s="1367"/>
      <c r="J295" s="1367"/>
      <c r="K295" s="1367"/>
      <c r="L295" s="1367"/>
      <c r="M295" s="1367"/>
      <c r="N295" s="1367"/>
      <c r="O295" s="1367"/>
      <c r="P295" s="1367"/>
      <c r="Q295" s="1367"/>
      <c r="R295" s="1367"/>
      <c r="T295" s="3" t="s">
        <v>481</v>
      </c>
      <c r="V295" s="3"/>
      <c r="W295" s="3"/>
      <c r="X295" s="3"/>
      <c r="Y295" s="3"/>
      <c r="AA295" s="1367" t="s">
        <v>2653</v>
      </c>
      <c r="AB295" s="1367"/>
      <c r="AC295" s="1367"/>
      <c r="AD295" s="1367"/>
      <c r="AE295" s="1367"/>
      <c r="AF295" s="1367"/>
      <c r="AG295" s="1367"/>
      <c r="AH295" s="1367"/>
      <c r="AI295" s="1367"/>
      <c r="AJ295" s="1367"/>
      <c r="AK295" s="1367"/>
      <c r="BN295" s="34"/>
    </row>
    <row r="296" spans="2:66" ht="12.9" customHeight="1">
      <c r="B296" s="3" t="s">
        <v>482</v>
      </c>
      <c r="C296" s="3"/>
      <c r="D296" s="3"/>
      <c r="E296" s="3"/>
      <c r="F296" s="3"/>
      <c r="H296" s="1367" t="s">
        <v>2666</v>
      </c>
      <c r="I296" s="1367"/>
      <c r="J296" s="1367"/>
      <c r="K296" s="1367"/>
      <c r="L296" s="1367"/>
      <c r="M296" s="1367"/>
      <c r="N296" s="1367"/>
      <c r="O296" s="1367"/>
      <c r="P296" s="1367"/>
      <c r="Q296" s="1367"/>
      <c r="R296" s="1367"/>
      <c r="T296" s="3" t="s">
        <v>76</v>
      </c>
      <c r="V296" s="3"/>
      <c r="W296" s="3"/>
      <c r="X296" s="3"/>
      <c r="Y296" s="3"/>
      <c r="AA296" s="1367" t="s">
        <v>2656</v>
      </c>
      <c r="AB296" s="1367"/>
      <c r="AC296" s="1367"/>
      <c r="AD296" s="1367"/>
      <c r="AE296" s="1367"/>
      <c r="AF296" s="1367"/>
      <c r="AG296" s="1367"/>
      <c r="AH296" s="1367"/>
      <c r="AI296" s="1367"/>
      <c r="AJ296" s="1367"/>
      <c r="AK296" s="1367"/>
      <c r="BN296" s="34"/>
    </row>
    <row r="297" spans="2:66" ht="12.9" customHeight="1">
      <c r="B297" s="3" t="s">
        <v>88</v>
      </c>
      <c r="C297" s="3"/>
      <c r="D297" s="3"/>
      <c r="E297" s="3"/>
      <c r="F297" s="3"/>
      <c r="H297" s="1367" t="s">
        <v>2667</v>
      </c>
      <c r="I297" s="1367"/>
      <c r="J297" s="1367"/>
      <c r="K297" s="1367"/>
      <c r="L297" s="1367"/>
      <c r="M297" s="1367"/>
      <c r="N297" s="1367"/>
      <c r="O297" s="1367"/>
      <c r="P297" s="1367"/>
      <c r="Q297" s="1367"/>
      <c r="R297" s="1367"/>
      <c r="T297" s="3" t="s">
        <v>88</v>
      </c>
      <c r="V297" s="3"/>
      <c r="W297" s="3"/>
      <c r="X297" s="3"/>
      <c r="Y297" s="3"/>
      <c r="AA297" s="1367" t="s">
        <v>2671</v>
      </c>
      <c r="AB297" s="1367"/>
      <c r="AC297" s="1367"/>
      <c r="AD297" s="1367"/>
      <c r="AE297" s="1367"/>
      <c r="AF297" s="1367"/>
      <c r="AG297" s="1367"/>
      <c r="AH297" s="1367"/>
      <c r="AI297" s="1367"/>
      <c r="AJ297" s="1367"/>
      <c r="AK297" s="1367"/>
      <c r="BN297" s="34"/>
    </row>
    <row r="298" spans="2:66" ht="12.9" customHeight="1">
      <c r="B298" s="3" t="s">
        <v>89</v>
      </c>
      <c r="C298" s="3"/>
      <c r="D298" s="3"/>
      <c r="E298" s="3"/>
      <c r="F298" s="3"/>
      <c r="G298" s="3"/>
      <c r="H298" s="1535" t="s">
        <v>2668</v>
      </c>
      <c r="I298" s="1536"/>
      <c r="J298" s="1536"/>
      <c r="K298" s="1536"/>
      <c r="L298" s="1536"/>
      <c r="M298" s="1536"/>
      <c r="N298" s="4" t="s">
        <v>208</v>
      </c>
      <c r="O298" s="4"/>
      <c r="P298" s="1534"/>
      <c r="Q298" s="1534"/>
      <c r="R298" s="1534"/>
      <c r="S298" s="3"/>
      <c r="T298" s="3" t="s">
        <v>89</v>
      </c>
      <c r="V298" s="3"/>
      <c r="W298" s="3"/>
      <c r="X298" s="3"/>
      <c r="Y298" s="3"/>
      <c r="AA298" s="1535" t="s">
        <v>2657</v>
      </c>
      <c r="AB298" s="1536"/>
      <c r="AC298" s="1536"/>
      <c r="AD298" s="1536"/>
      <c r="AE298" s="1536"/>
      <c r="AF298" s="1536"/>
      <c r="AG298" s="4" t="s">
        <v>208</v>
      </c>
      <c r="AH298" s="4"/>
      <c r="AI298" s="1534"/>
      <c r="AJ298" s="1534"/>
      <c r="AK298" s="1534"/>
      <c r="BN298" s="34"/>
    </row>
    <row r="299" spans="2:66" ht="12.9" customHeight="1">
      <c r="B299" s="3" t="s">
        <v>90</v>
      </c>
      <c r="C299" s="3"/>
      <c r="D299" s="3"/>
      <c r="E299" s="3"/>
      <c r="F299" s="3"/>
      <c r="G299" s="3"/>
      <c r="H299" s="1436"/>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 customHeight="1">
      <c r="B300" s="3" t="s">
        <v>77</v>
      </c>
      <c r="C300" s="3"/>
      <c r="D300" s="3"/>
      <c r="E300" s="3"/>
      <c r="F300" s="3"/>
      <c r="G300" s="3"/>
      <c r="H300" s="1367" t="s">
        <v>2669</v>
      </c>
      <c r="I300" s="1367"/>
      <c r="J300" s="1367"/>
      <c r="K300" s="1367"/>
      <c r="L300" s="1367"/>
      <c r="M300" s="1367"/>
      <c r="N300" s="1395"/>
      <c r="O300" s="1395"/>
      <c r="P300" s="1395"/>
      <c r="Q300" s="1395"/>
      <c r="R300" s="1395"/>
      <c r="S300" s="3"/>
      <c r="T300" s="3" t="s">
        <v>77</v>
      </c>
      <c r="V300" s="3"/>
      <c r="W300" s="3"/>
      <c r="X300" s="3"/>
      <c r="Y300" s="3"/>
      <c r="AA300" s="1367" t="s">
        <v>2779</v>
      </c>
      <c r="AB300" s="1367"/>
      <c r="AC300" s="1367"/>
      <c r="AD300" s="1367"/>
      <c r="AE300" s="1367"/>
      <c r="AF300" s="1367"/>
      <c r="AG300" s="1395"/>
      <c r="AH300" s="1395"/>
      <c r="AI300" s="1395"/>
      <c r="AJ300" s="1395"/>
      <c r="AK300" s="1395"/>
      <c r="BN300" s="34"/>
    </row>
    <row r="301" spans="2:66" ht="12.9" customHeight="1">
      <c r="BN301" s="34"/>
    </row>
    <row r="302" spans="2:66" ht="12.9" customHeight="1">
      <c r="B302" s="3" t="s">
        <v>78</v>
      </c>
      <c r="C302" s="3"/>
      <c r="D302" s="3"/>
      <c r="E302" s="3"/>
      <c r="F302" s="3"/>
      <c r="H302" s="1395" t="s">
        <v>2672</v>
      </c>
      <c r="I302" s="1395"/>
      <c r="J302" s="1395"/>
      <c r="K302" s="1395"/>
      <c r="L302" s="1395"/>
      <c r="M302" s="1395"/>
      <c r="N302" s="1395"/>
      <c r="O302" s="1395"/>
      <c r="P302" s="1395"/>
      <c r="Q302" s="1395"/>
      <c r="R302" s="1395"/>
      <c r="T302" s="4" t="s">
        <v>908</v>
      </c>
      <c r="V302" s="3"/>
      <c r="W302" s="3"/>
      <c r="X302" s="3"/>
      <c r="Y302" s="3"/>
      <c r="AA302" s="1395" t="s">
        <v>2676</v>
      </c>
      <c r="AB302" s="1395"/>
      <c r="AC302" s="1395"/>
      <c r="AD302" s="1395"/>
      <c r="AE302" s="1395"/>
      <c r="AF302" s="1395"/>
      <c r="AG302" s="1395"/>
      <c r="AH302" s="1395"/>
      <c r="AI302" s="1395"/>
      <c r="AJ302" s="1395"/>
      <c r="AK302" s="1395"/>
      <c r="BN302" s="34"/>
    </row>
    <row r="303" spans="2:66" ht="12.9" customHeight="1">
      <c r="B303" s="3" t="s">
        <v>481</v>
      </c>
      <c r="C303" s="3"/>
      <c r="D303" s="3"/>
      <c r="E303" s="3"/>
      <c r="F303" s="3"/>
      <c r="H303" s="1367" t="s">
        <v>2673</v>
      </c>
      <c r="I303" s="1367"/>
      <c r="J303" s="1367"/>
      <c r="K303" s="1367"/>
      <c r="L303" s="1367"/>
      <c r="M303" s="1367"/>
      <c r="N303" s="1367"/>
      <c r="O303" s="1367"/>
      <c r="P303" s="1367"/>
      <c r="Q303" s="1367"/>
      <c r="R303" s="1367"/>
      <c r="T303" s="3" t="s">
        <v>481</v>
      </c>
      <c r="V303" s="3"/>
      <c r="W303" s="3"/>
      <c r="X303" s="3"/>
      <c r="Y303" s="3"/>
      <c r="AA303" s="1367" t="s">
        <v>2677</v>
      </c>
      <c r="AB303" s="1367"/>
      <c r="AC303" s="1367"/>
      <c r="AD303" s="1367"/>
      <c r="AE303" s="1367"/>
      <c r="AF303" s="1367"/>
      <c r="AG303" s="1367"/>
      <c r="AH303" s="1367"/>
      <c r="AI303" s="1367"/>
      <c r="AJ303" s="1367"/>
      <c r="AK303" s="1367"/>
      <c r="BN303" s="34"/>
    </row>
    <row r="304" spans="2:66" ht="12.9" customHeight="1">
      <c r="B304" s="3" t="s">
        <v>482</v>
      </c>
      <c r="C304" s="3"/>
      <c r="D304" s="3"/>
      <c r="E304" s="3"/>
      <c r="F304" s="3"/>
      <c r="H304" s="1367" t="s">
        <v>2674</v>
      </c>
      <c r="I304" s="1367"/>
      <c r="J304" s="1367"/>
      <c r="K304" s="1367"/>
      <c r="L304" s="1367"/>
      <c r="M304" s="1367"/>
      <c r="N304" s="1367"/>
      <c r="O304" s="1367"/>
      <c r="P304" s="1367"/>
      <c r="Q304" s="1367"/>
      <c r="R304" s="1367"/>
      <c r="T304" s="3" t="s">
        <v>76</v>
      </c>
      <c r="V304" s="3"/>
      <c r="W304" s="3"/>
      <c r="X304" s="3"/>
      <c r="Y304" s="3"/>
      <c r="AA304" s="1367" t="s">
        <v>2678</v>
      </c>
      <c r="AB304" s="1367"/>
      <c r="AC304" s="1367"/>
      <c r="AD304" s="1367"/>
      <c r="AE304" s="1367"/>
      <c r="AF304" s="1367"/>
      <c r="AG304" s="1367"/>
      <c r="AH304" s="1367"/>
      <c r="AI304" s="1367"/>
      <c r="AJ304" s="1367"/>
      <c r="AK304" s="1367"/>
      <c r="BN304" s="34"/>
    </row>
    <row r="305" spans="2:66" ht="12.9" customHeight="1">
      <c r="B305" s="3" t="s">
        <v>88</v>
      </c>
      <c r="C305" s="3"/>
      <c r="D305" s="3"/>
      <c r="E305" s="3"/>
      <c r="F305" s="3"/>
      <c r="H305" s="1367" t="s">
        <v>2675</v>
      </c>
      <c r="I305" s="1367"/>
      <c r="J305" s="1367"/>
      <c r="K305" s="1367"/>
      <c r="L305" s="1367"/>
      <c r="M305" s="1367"/>
      <c r="N305" s="1367"/>
      <c r="O305" s="1367"/>
      <c r="P305" s="1367"/>
      <c r="Q305" s="1367"/>
      <c r="R305" s="1367"/>
      <c r="T305" s="3" t="s">
        <v>88</v>
      </c>
      <c r="V305" s="3"/>
      <c r="W305" s="3"/>
      <c r="X305" s="3"/>
      <c r="Y305" s="3"/>
      <c r="AA305" s="1367" t="s">
        <v>2679</v>
      </c>
      <c r="AB305" s="1367"/>
      <c r="AC305" s="1367"/>
      <c r="AD305" s="1367"/>
      <c r="AE305" s="1367"/>
      <c r="AF305" s="1367"/>
      <c r="AG305" s="1367"/>
      <c r="AH305" s="1367"/>
      <c r="AI305" s="1367"/>
      <c r="AJ305" s="1367"/>
      <c r="AK305" s="1367"/>
      <c r="BN305" s="34"/>
    </row>
    <row r="306" spans="2:66" ht="12.9" customHeight="1">
      <c r="B306" s="3" t="s">
        <v>89</v>
      </c>
      <c r="C306" s="3"/>
      <c r="D306" s="3"/>
      <c r="E306" s="3"/>
      <c r="F306" s="3"/>
      <c r="G306" s="3"/>
      <c r="H306" s="1535" t="s">
        <v>2688</v>
      </c>
      <c r="I306" s="1536"/>
      <c r="J306" s="1536"/>
      <c r="K306" s="1536"/>
      <c r="L306" s="1536"/>
      <c r="M306" s="1536"/>
      <c r="N306" s="4" t="s">
        <v>208</v>
      </c>
      <c r="O306" s="4"/>
      <c r="P306" s="1534"/>
      <c r="Q306" s="1534"/>
      <c r="R306" s="1534"/>
      <c r="S306" s="3"/>
      <c r="T306" s="3" t="s">
        <v>89</v>
      </c>
      <c r="V306" s="3"/>
      <c r="W306" s="3"/>
      <c r="X306" s="3"/>
      <c r="Y306" s="3"/>
      <c r="AA306" s="1535" t="s">
        <v>2691</v>
      </c>
      <c r="AB306" s="1536"/>
      <c r="AC306" s="1536"/>
      <c r="AD306" s="1536"/>
      <c r="AE306" s="1536"/>
      <c r="AF306" s="1536"/>
      <c r="AG306" s="4" t="s">
        <v>208</v>
      </c>
      <c r="AH306" s="4"/>
      <c r="AI306" s="1534"/>
      <c r="AJ306" s="1534"/>
      <c r="AK306" s="1534"/>
      <c r="BN306" s="34"/>
    </row>
    <row r="307" spans="2:66" ht="12.9" customHeight="1">
      <c r="B307" s="3" t="s">
        <v>90</v>
      </c>
      <c r="C307" s="3"/>
      <c r="D307" s="3"/>
      <c r="E307" s="3"/>
      <c r="F307" s="3"/>
      <c r="G307" s="3"/>
      <c r="H307" s="1471" t="s">
        <v>2689</v>
      </c>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 customHeight="1">
      <c r="B308" s="3" t="s">
        <v>77</v>
      </c>
      <c r="C308" s="3"/>
      <c r="D308" s="3"/>
      <c r="E308" s="3"/>
      <c r="F308" s="3"/>
      <c r="G308" s="3"/>
      <c r="H308" s="1367" t="s">
        <v>2690</v>
      </c>
      <c r="I308" s="1367"/>
      <c r="J308" s="1367"/>
      <c r="K308" s="1367"/>
      <c r="L308" s="1367"/>
      <c r="M308" s="1367"/>
      <c r="N308" s="1395"/>
      <c r="O308" s="1395"/>
      <c r="P308" s="1395"/>
      <c r="Q308" s="1395"/>
      <c r="R308" s="1395"/>
      <c r="S308" s="3"/>
      <c r="T308" s="3" t="s">
        <v>77</v>
      </c>
      <c r="V308" s="3"/>
      <c r="W308" s="3"/>
      <c r="X308" s="3"/>
      <c r="Y308" s="3"/>
      <c r="AA308" s="1367" t="s">
        <v>2692</v>
      </c>
      <c r="AB308" s="1367"/>
      <c r="AC308" s="1367"/>
      <c r="AD308" s="1367"/>
      <c r="AE308" s="1367"/>
      <c r="AF308" s="1367"/>
      <c r="AG308" s="1395"/>
      <c r="AH308" s="1395"/>
      <c r="AI308" s="1395"/>
      <c r="AJ308" s="1395"/>
      <c r="AK308" s="1395"/>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395" t="s">
        <v>2672</v>
      </c>
      <c r="I310" s="1395"/>
      <c r="J310" s="1395"/>
      <c r="K310" s="1395"/>
      <c r="L310" s="1395"/>
      <c r="M310" s="1395"/>
      <c r="N310" s="1395"/>
      <c r="O310" s="1395"/>
      <c r="P310" s="1395"/>
      <c r="Q310" s="1395"/>
      <c r="R310" s="1395"/>
      <c r="S310" s="3"/>
      <c r="T310" s="3" t="s">
        <v>367</v>
      </c>
      <c r="V310" s="3"/>
      <c r="W310" s="3"/>
      <c r="X310" s="3"/>
      <c r="Y310" s="3"/>
      <c r="AA310" s="1395" t="s">
        <v>2684</v>
      </c>
      <c r="AB310" s="1395"/>
      <c r="AC310" s="1395"/>
      <c r="AD310" s="1395"/>
      <c r="AE310" s="1395"/>
      <c r="AF310" s="1395"/>
      <c r="AG310" s="1395"/>
      <c r="AH310" s="1395"/>
      <c r="AI310" s="1395"/>
      <c r="AJ310" s="1395"/>
      <c r="AK310" s="1395"/>
      <c r="BN310" s="34"/>
    </row>
    <row r="311" spans="2:66" ht="12.9" customHeight="1">
      <c r="B311" s="3" t="s">
        <v>481</v>
      </c>
      <c r="C311" s="3"/>
      <c r="D311" s="3"/>
      <c r="E311" s="3"/>
      <c r="F311" s="3"/>
      <c r="H311" s="1367" t="s">
        <v>2673</v>
      </c>
      <c r="I311" s="1367"/>
      <c r="J311" s="1367"/>
      <c r="K311" s="1367"/>
      <c r="L311" s="1367"/>
      <c r="M311" s="1367"/>
      <c r="N311" s="1367"/>
      <c r="O311" s="1367"/>
      <c r="P311" s="1367"/>
      <c r="Q311" s="1367"/>
      <c r="R311" s="1367"/>
      <c r="S311" s="3"/>
      <c r="T311" s="3" t="s">
        <v>481</v>
      </c>
      <c r="V311" s="3"/>
      <c r="W311" s="3"/>
      <c r="X311" s="3"/>
      <c r="Y311" s="3"/>
      <c r="AA311" s="1367" t="s">
        <v>2685</v>
      </c>
      <c r="AB311" s="1367"/>
      <c r="AC311" s="1367"/>
      <c r="AD311" s="1367"/>
      <c r="AE311" s="1367"/>
      <c r="AF311" s="1367"/>
      <c r="AG311" s="1367"/>
      <c r="AH311" s="1367"/>
      <c r="AI311" s="1367"/>
      <c r="AJ311" s="1367"/>
      <c r="AK311" s="1367"/>
      <c r="BN311" s="34"/>
    </row>
    <row r="312" spans="2:66" ht="12.9" customHeight="1">
      <c r="B312" s="3" t="s">
        <v>482</v>
      </c>
      <c r="C312" s="3"/>
      <c r="D312" s="3"/>
      <c r="E312" s="3"/>
      <c r="F312" s="3"/>
      <c r="H312" s="1367" t="s">
        <v>2674</v>
      </c>
      <c r="I312" s="1367"/>
      <c r="J312" s="1367"/>
      <c r="K312" s="1367"/>
      <c r="L312" s="1367"/>
      <c r="M312" s="1367"/>
      <c r="N312" s="1367"/>
      <c r="O312" s="1367"/>
      <c r="P312" s="1367"/>
      <c r="Q312" s="1367"/>
      <c r="R312" s="1367"/>
      <c r="S312" s="3"/>
      <c r="T312" s="3" t="s">
        <v>76</v>
      </c>
      <c r="V312" s="3"/>
      <c r="W312" s="3"/>
      <c r="X312" s="3"/>
      <c r="Y312" s="3"/>
      <c r="AA312" s="1367" t="s">
        <v>2686</v>
      </c>
      <c r="AB312" s="1367"/>
      <c r="AC312" s="1367"/>
      <c r="AD312" s="1367"/>
      <c r="AE312" s="1367"/>
      <c r="AF312" s="1367"/>
      <c r="AG312" s="1367"/>
      <c r="AH312" s="1367"/>
      <c r="AI312" s="1367"/>
      <c r="AJ312" s="1367"/>
      <c r="AK312" s="1367"/>
      <c r="BN312" s="34"/>
    </row>
    <row r="313" spans="2:66" ht="12.9" customHeight="1">
      <c r="B313" s="3" t="s">
        <v>88</v>
      </c>
      <c r="C313" s="3"/>
      <c r="D313" s="3"/>
      <c r="E313" s="3"/>
      <c r="F313" s="3"/>
      <c r="H313" s="1367" t="s">
        <v>2675</v>
      </c>
      <c r="I313" s="1367"/>
      <c r="J313" s="1367"/>
      <c r="K313" s="1367"/>
      <c r="L313" s="1367"/>
      <c r="M313" s="1367"/>
      <c r="N313" s="1367"/>
      <c r="O313" s="1367"/>
      <c r="P313" s="1367"/>
      <c r="Q313" s="1367"/>
      <c r="R313" s="1367"/>
      <c r="S313" s="3"/>
      <c r="T313" s="3" t="s">
        <v>88</v>
      </c>
      <c r="V313" s="3"/>
      <c r="W313" s="3"/>
      <c r="X313" s="3"/>
      <c r="Y313" s="3"/>
      <c r="AA313" s="1367" t="s">
        <v>2687</v>
      </c>
      <c r="AB313" s="1367"/>
      <c r="AC313" s="1367"/>
      <c r="AD313" s="1367"/>
      <c r="AE313" s="1367"/>
      <c r="AF313" s="1367"/>
      <c r="AG313" s="1367"/>
      <c r="AH313" s="1367"/>
      <c r="AI313" s="1367"/>
      <c r="AJ313" s="1367"/>
      <c r="AK313" s="1367"/>
      <c r="BN313" s="34"/>
    </row>
    <row r="314" spans="2:66" ht="12.9" customHeight="1">
      <c r="B314" s="3" t="s">
        <v>89</v>
      </c>
      <c r="C314" s="3"/>
      <c r="D314" s="3"/>
      <c r="E314" s="3"/>
      <c r="F314" s="3"/>
      <c r="G314" s="3"/>
      <c r="H314" s="1535" t="s">
        <v>2688</v>
      </c>
      <c r="I314" s="1536"/>
      <c r="J314" s="1536"/>
      <c r="K314" s="1536"/>
      <c r="L314" s="1536"/>
      <c r="M314" s="1536"/>
      <c r="N314" s="4" t="s">
        <v>208</v>
      </c>
      <c r="O314" s="4"/>
      <c r="P314" s="1534"/>
      <c r="Q314" s="1534"/>
      <c r="R314" s="1534"/>
      <c r="S314" s="3"/>
      <c r="T314" s="3" t="s">
        <v>89</v>
      </c>
      <c r="V314" s="3"/>
      <c r="W314" s="3"/>
      <c r="X314" s="3"/>
      <c r="Y314" s="3"/>
      <c r="AA314" s="1535" t="s">
        <v>2693</v>
      </c>
      <c r="AB314" s="1536"/>
      <c r="AC314" s="1536"/>
      <c r="AD314" s="1536"/>
      <c r="AE314" s="1536"/>
      <c r="AF314" s="1536"/>
      <c r="AG314" s="4" t="s">
        <v>208</v>
      </c>
      <c r="AH314" s="4"/>
      <c r="AI314" s="1534"/>
      <c r="AJ314" s="1534"/>
      <c r="AK314" s="1534"/>
      <c r="BN314" s="34"/>
    </row>
    <row r="315" spans="2:66" ht="12.9" customHeight="1">
      <c r="B315" s="3" t="s">
        <v>90</v>
      </c>
      <c r="C315" s="3"/>
      <c r="D315" s="3"/>
      <c r="E315" s="3"/>
      <c r="F315" s="3"/>
      <c r="G315" s="3"/>
      <c r="H315" s="1471" t="s">
        <v>2689</v>
      </c>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 customHeight="1">
      <c r="B316" s="3" t="s">
        <v>77</v>
      </c>
      <c r="C316" s="3"/>
      <c r="D316" s="3"/>
      <c r="E316" s="3"/>
      <c r="F316" s="3"/>
      <c r="G316" s="3"/>
      <c r="H316" s="1367" t="s">
        <v>2690</v>
      </c>
      <c r="I316" s="1367"/>
      <c r="J316" s="1367"/>
      <c r="K316" s="1367"/>
      <c r="L316" s="1367"/>
      <c r="M316" s="1367"/>
      <c r="N316" s="1395"/>
      <c r="O316" s="1395"/>
      <c r="P316" s="1395"/>
      <c r="Q316" s="1395"/>
      <c r="R316" s="1395"/>
      <c r="S316" s="3"/>
      <c r="T316" s="3" t="s">
        <v>77</v>
      </c>
      <c r="V316" s="3"/>
      <c r="W316" s="3"/>
      <c r="X316" s="3"/>
      <c r="Y316" s="3"/>
      <c r="AA316" s="1367" t="s">
        <v>2694</v>
      </c>
      <c r="AB316" s="1367"/>
      <c r="AC316" s="1367"/>
      <c r="AD316" s="1367"/>
      <c r="AE316" s="1367"/>
      <c r="AF316" s="1367"/>
      <c r="AG316" s="1395"/>
      <c r="AH316" s="1395"/>
      <c r="AI316" s="1395"/>
      <c r="AJ316" s="1395"/>
      <c r="AK316" s="1395"/>
      <c r="BN316" s="34"/>
    </row>
    <row r="317" spans="2:66" ht="12.9" customHeight="1">
      <c r="BN317" s="34"/>
    </row>
    <row r="318" spans="2:66" ht="12.9" customHeight="1">
      <c r="B318" s="4" t="s">
        <v>942</v>
      </c>
      <c r="C318" s="3"/>
      <c r="D318" s="3"/>
      <c r="E318" s="3"/>
      <c r="F318" s="3"/>
      <c r="H318" s="1395"/>
      <c r="I318" s="1395"/>
      <c r="J318" s="1395"/>
      <c r="K318" s="1395"/>
      <c r="L318" s="1395"/>
      <c r="M318" s="1395"/>
      <c r="N318" s="1395"/>
      <c r="O318" s="1395"/>
      <c r="P318" s="1395"/>
      <c r="Q318" s="1395"/>
      <c r="R318" s="1395"/>
      <c r="T318" s="3" t="s">
        <v>368</v>
      </c>
      <c r="V318" s="3"/>
      <c r="W318" s="3"/>
      <c r="X318" s="3"/>
      <c r="Y318" s="3"/>
      <c r="AA318" s="1395" t="s">
        <v>2680</v>
      </c>
      <c r="AB318" s="1395"/>
      <c r="AC318" s="1395"/>
      <c r="AD318" s="1395"/>
      <c r="AE318" s="1395"/>
      <c r="AF318" s="1395"/>
      <c r="AG318" s="1395"/>
      <c r="AH318" s="1395"/>
      <c r="AI318" s="1395"/>
      <c r="AJ318" s="1395"/>
      <c r="AK318" s="1395"/>
      <c r="BN318" s="34"/>
    </row>
    <row r="319" spans="2:66" ht="12.9" customHeight="1">
      <c r="B319" s="3" t="s">
        <v>481</v>
      </c>
      <c r="C319" s="3"/>
      <c r="D319" s="3"/>
      <c r="E319" s="3"/>
      <c r="F319" s="3"/>
      <c r="H319" s="1367"/>
      <c r="I319" s="1367"/>
      <c r="J319" s="1367"/>
      <c r="K319" s="1367"/>
      <c r="L319" s="1367"/>
      <c r="M319" s="1367"/>
      <c r="N319" s="1367"/>
      <c r="O319" s="1367"/>
      <c r="P319" s="1367"/>
      <c r="Q319" s="1367"/>
      <c r="R319" s="1367"/>
      <c r="T319" s="3" t="s">
        <v>481</v>
      </c>
      <c r="V319" s="3"/>
      <c r="W319" s="3"/>
      <c r="X319" s="3"/>
      <c r="Y319" s="3"/>
      <c r="AA319" s="1367" t="s">
        <v>2681</v>
      </c>
      <c r="AB319" s="1367"/>
      <c r="AC319" s="1367"/>
      <c r="AD319" s="1367"/>
      <c r="AE319" s="1367"/>
      <c r="AF319" s="1367"/>
      <c r="AG319" s="1367"/>
      <c r="AH319" s="1367"/>
      <c r="AI319" s="1367"/>
      <c r="AJ319" s="1367"/>
      <c r="AK319" s="1367"/>
      <c r="BN319" s="34"/>
    </row>
    <row r="320" spans="2:66" ht="12.9" customHeight="1">
      <c r="B320" s="3" t="s">
        <v>482</v>
      </c>
      <c r="C320" s="3"/>
      <c r="D320" s="3"/>
      <c r="E320" s="3"/>
      <c r="F320" s="3"/>
      <c r="H320" s="1367"/>
      <c r="I320" s="1367"/>
      <c r="J320" s="1367"/>
      <c r="K320" s="1367"/>
      <c r="L320" s="1367"/>
      <c r="M320" s="1367"/>
      <c r="N320" s="1367"/>
      <c r="O320" s="1367"/>
      <c r="P320" s="1367"/>
      <c r="Q320" s="1367"/>
      <c r="R320" s="1367"/>
      <c r="T320" s="3" t="s">
        <v>76</v>
      </c>
      <c r="V320" s="3"/>
      <c r="W320" s="3"/>
      <c r="X320" s="3"/>
      <c r="Y320" s="3"/>
      <c r="AA320" s="1367" t="s">
        <v>2682</v>
      </c>
      <c r="AB320" s="1367"/>
      <c r="AC320" s="1367"/>
      <c r="AD320" s="1367"/>
      <c r="AE320" s="1367"/>
      <c r="AF320" s="1367"/>
      <c r="AG320" s="1367"/>
      <c r="AH320" s="1367"/>
      <c r="AI320" s="1367"/>
      <c r="AJ320" s="1367"/>
      <c r="AK320" s="1367"/>
      <c r="BN320" s="34"/>
    </row>
    <row r="321" spans="2:66" ht="12.9" customHeight="1">
      <c r="B321" s="3" t="s">
        <v>88</v>
      </c>
      <c r="C321" s="3"/>
      <c r="D321" s="3"/>
      <c r="E321" s="3"/>
      <c r="F321" s="3"/>
      <c r="H321" s="1367"/>
      <c r="I321" s="1367"/>
      <c r="J321" s="1367"/>
      <c r="K321" s="1367"/>
      <c r="L321" s="1367"/>
      <c r="M321" s="1367"/>
      <c r="N321" s="1367"/>
      <c r="O321" s="1367"/>
      <c r="P321" s="1367"/>
      <c r="Q321" s="1367"/>
      <c r="R321" s="1367"/>
      <c r="T321" s="3" t="s">
        <v>88</v>
      </c>
      <c r="V321" s="3"/>
      <c r="W321" s="3"/>
      <c r="X321" s="3"/>
      <c r="Y321" s="3"/>
      <c r="AA321" s="1367" t="s">
        <v>2683</v>
      </c>
      <c r="AB321" s="1367"/>
      <c r="AC321" s="1367"/>
      <c r="AD321" s="1367"/>
      <c r="AE321" s="1367"/>
      <c r="AF321" s="1367"/>
      <c r="AG321" s="1367"/>
      <c r="AH321" s="1367"/>
      <c r="AI321" s="1367"/>
      <c r="AJ321" s="1367"/>
      <c r="AK321" s="1367"/>
      <c r="BN321" s="34"/>
    </row>
    <row r="322" spans="2:66" ht="12.9" customHeight="1">
      <c r="B322" s="3" t="s">
        <v>89</v>
      </c>
      <c r="C322" s="3"/>
      <c r="D322" s="3"/>
      <c r="E322" s="3"/>
      <c r="F322" s="3"/>
      <c r="G322" s="3"/>
      <c r="H322" s="1536"/>
      <c r="I322" s="1536"/>
      <c r="J322" s="1536"/>
      <c r="K322" s="1536"/>
      <c r="L322" s="1536"/>
      <c r="M322" s="1536"/>
      <c r="N322" s="4" t="s">
        <v>208</v>
      </c>
      <c r="O322" s="4"/>
      <c r="P322" s="1534"/>
      <c r="Q322" s="1534"/>
      <c r="R322" s="1534"/>
      <c r="S322" s="3"/>
      <c r="T322" s="3" t="s">
        <v>89</v>
      </c>
      <c r="V322" s="3"/>
      <c r="W322" s="3"/>
      <c r="X322" s="3"/>
      <c r="Y322" s="3"/>
      <c r="AA322" s="1535" t="s">
        <v>2695</v>
      </c>
      <c r="AB322" s="1536"/>
      <c r="AC322" s="1536"/>
      <c r="AD322" s="1536"/>
      <c r="AE322" s="1536"/>
      <c r="AF322" s="1536"/>
      <c r="AG322" s="4" t="s">
        <v>208</v>
      </c>
      <c r="AH322" s="4"/>
      <c r="AI322" s="1534"/>
      <c r="AJ322" s="1534"/>
      <c r="AK322" s="1534"/>
      <c r="BN322" s="34"/>
    </row>
    <row r="323" spans="2:66" ht="12.9"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c r="AB323" s="1436"/>
      <c r="AC323" s="1436"/>
      <c r="AD323" s="1436"/>
      <c r="AE323" s="1436"/>
      <c r="AF323" s="1436"/>
      <c r="AG323" s="4"/>
      <c r="AH323" s="4"/>
      <c r="AI323" s="35"/>
      <c r="AJ323" s="35"/>
      <c r="AK323" s="35"/>
    </row>
    <row r="324" spans="2:66" ht="12.9" customHeight="1">
      <c r="B324" s="3" t="s">
        <v>77</v>
      </c>
      <c r="C324" s="3"/>
      <c r="D324" s="3"/>
      <c r="E324" s="3"/>
      <c r="F324" s="3"/>
      <c r="G324" s="3"/>
      <c r="H324" s="1367"/>
      <c r="I324" s="1367"/>
      <c r="J324" s="1367"/>
      <c r="K324" s="1367"/>
      <c r="L324" s="1367"/>
      <c r="M324" s="1367"/>
      <c r="N324" s="1395"/>
      <c r="O324" s="1395"/>
      <c r="P324" s="1395"/>
      <c r="Q324" s="1395"/>
      <c r="R324" s="1395"/>
      <c r="S324" s="3"/>
      <c r="T324" s="3" t="s">
        <v>77</v>
      </c>
      <c r="V324" s="3"/>
      <c r="W324" s="3"/>
      <c r="X324" s="3"/>
      <c r="Y324" s="3"/>
      <c r="AA324" s="1367" t="s">
        <v>2696</v>
      </c>
      <c r="AB324" s="1367"/>
      <c r="AC324" s="1367"/>
      <c r="AD324" s="1367"/>
      <c r="AE324" s="1367"/>
      <c r="AF324" s="1367"/>
      <c r="AG324" s="1395"/>
      <c r="AH324" s="1395"/>
      <c r="AI324" s="1395"/>
      <c r="AJ324" s="1395"/>
      <c r="AK324" s="1395"/>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95" t="s">
        <v>2680</v>
      </c>
      <c r="I326" s="1395"/>
      <c r="J326" s="1395"/>
      <c r="K326" s="1395"/>
      <c r="L326" s="1395"/>
      <c r="M326" s="1395"/>
      <c r="N326" s="1395"/>
      <c r="O326" s="1395"/>
      <c r="P326" s="1395"/>
      <c r="Q326" s="1395"/>
      <c r="R326" s="1395"/>
      <c r="T326" s="3" t="s">
        <v>370</v>
      </c>
      <c r="V326" s="3"/>
      <c r="W326" s="3"/>
      <c r="X326" s="3"/>
      <c r="Y326" s="3"/>
      <c r="AA326" s="1395"/>
      <c r="AB326" s="1395"/>
      <c r="AC326" s="1395"/>
      <c r="AD326" s="1395"/>
      <c r="AE326" s="1395"/>
      <c r="AF326" s="1395"/>
      <c r="AG326" s="1395"/>
      <c r="AH326" s="1395"/>
      <c r="AI326" s="1395"/>
      <c r="AJ326" s="1395"/>
      <c r="AK326" s="1395"/>
    </row>
    <row r="327" spans="2:66" ht="12.9" customHeight="1">
      <c r="B327" s="3" t="s">
        <v>481</v>
      </c>
      <c r="C327" s="3"/>
      <c r="D327" s="3"/>
      <c r="E327" s="3"/>
      <c r="F327" s="3"/>
      <c r="H327" s="1367" t="s">
        <v>2681</v>
      </c>
      <c r="I327" s="1367"/>
      <c r="J327" s="1367"/>
      <c r="K327" s="1367"/>
      <c r="L327" s="1367"/>
      <c r="M327" s="1367"/>
      <c r="N327" s="1367"/>
      <c r="O327" s="1367"/>
      <c r="P327" s="1367"/>
      <c r="Q327" s="1367"/>
      <c r="R327" s="1367"/>
      <c r="T327" s="3" t="s">
        <v>481</v>
      </c>
      <c r="V327" s="3"/>
      <c r="W327" s="3"/>
      <c r="X327" s="3"/>
      <c r="Y327" s="3"/>
      <c r="AA327" s="1367"/>
      <c r="AB327" s="1367"/>
      <c r="AC327" s="1367"/>
      <c r="AD327" s="1367"/>
      <c r="AE327" s="1367"/>
      <c r="AF327" s="1367"/>
      <c r="AG327" s="1367"/>
      <c r="AH327" s="1367"/>
      <c r="AI327" s="1367"/>
      <c r="AJ327" s="1367"/>
      <c r="AK327" s="1367"/>
    </row>
    <row r="328" spans="2:66" ht="12.9" customHeight="1">
      <c r="B328" s="3" t="s">
        <v>482</v>
      </c>
      <c r="C328" s="3"/>
      <c r="D328" s="3"/>
      <c r="E328" s="3"/>
      <c r="F328" s="3"/>
      <c r="H328" s="1367" t="s">
        <v>2682</v>
      </c>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2.9" customHeight="1">
      <c r="B329" s="3" t="s">
        <v>88</v>
      </c>
      <c r="C329" s="3"/>
      <c r="D329" s="3"/>
      <c r="E329" s="3"/>
      <c r="F329" s="3"/>
      <c r="H329" s="1367" t="s">
        <v>2683</v>
      </c>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2.9" customHeight="1">
      <c r="B330" s="3" t="s">
        <v>89</v>
      </c>
      <c r="C330" s="3"/>
      <c r="D330" s="3"/>
      <c r="E330" s="3"/>
      <c r="F330" s="3"/>
      <c r="G330" s="3"/>
      <c r="H330" s="1535" t="s">
        <v>2695</v>
      </c>
      <c r="I330" s="1536"/>
      <c r="J330" s="1536"/>
      <c r="K330" s="1536"/>
      <c r="L330" s="1536"/>
      <c r="M330" s="1536"/>
      <c r="N330" s="4" t="s">
        <v>208</v>
      </c>
      <c r="O330" s="4"/>
      <c r="P330" s="1534"/>
      <c r="Q330" s="1534"/>
      <c r="R330" s="1534"/>
      <c r="S330" s="3"/>
      <c r="T330" s="3" t="s">
        <v>89</v>
      </c>
      <c r="V330" s="3"/>
      <c r="W330" s="3"/>
      <c r="X330" s="3"/>
      <c r="Y330" s="3"/>
      <c r="AA330" s="1536"/>
      <c r="AB330" s="1536"/>
      <c r="AC330" s="1536"/>
      <c r="AD330" s="1536"/>
      <c r="AE330" s="1536"/>
      <c r="AF330" s="1536"/>
      <c r="AG330" s="4" t="s">
        <v>208</v>
      </c>
      <c r="AH330" s="4"/>
      <c r="AI330" s="1534"/>
      <c r="AJ330" s="1534"/>
      <c r="AK330" s="1534"/>
    </row>
    <row r="331" spans="2:66" ht="12.9"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 customHeight="1">
      <c r="B332" s="3" t="s">
        <v>77</v>
      </c>
      <c r="C332" s="3"/>
      <c r="D332" s="3"/>
      <c r="E332" s="3"/>
      <c r="F332" s="3"/>
      <c r="G332" s="3"/>
      <c r="H332" s="1367" t="s">
        <v>2696</v>
      </c>
      <c r="I332" s="1367"/>
      <c r="J332" s="1367"/>
      <c r="K332" s="1367"/>
      <c r="L332" s="1367"/>
      <c r="M332" s="1367"/>
      <c r="N332" s="1395"/>
      <c r="O332" s="1395"/>
      <c r="P332" s="1395"/>
      <c r="Q332" s="1395"/>
      <c r="R332" s="1395"/>
      <c r="S332" s="3"/>
      <c r="T332" s="3" t="s">
        <v>77</v>
      </c>
      <c r="V332" s="3"/>
      <c r="W332" s="3"/>
      <c r="X332" s="3"/>
      <c r="Y332" s="3"/>
      <c r="AA332" s="1367"/>
      <c r="AB332" s="1367"/>
      <c r="AC332" s="1367"/>
      <c r="AD332" s="1367"/>
      <c r="AE332" s="1367"/>
      <c r="AF332" s="1367"/>
      <c r="AG332" s="1395"/>
      <c r="AH332" s="1395"/>
      <c r="AI332" s="1395"/>
      <c r="AJ332" s="1395"/>
      <c r="AK332" s="1395"/>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395" t="s">
        <v>2697</v>
      </c>
      <c r="I334" s="1395"/>
      <c r="J334" s="1395"/>
      <c r="K334" s="1395"/>
      <c r="L334" s="1395"/>
      <c r="M334" s="1395"/>
      <c r="N334" s="1395"/>
      <c r="O334" s="1395"/>
      <c r="P334" s="1395"/>
      <c r="Q334" s="1395"/>
      <c r="R334" s="1395"/>
      <c r="T334" s="218" t="s">
        <v>917</v>
      </c>
      <c r="V334" s="3"/>
      <c r="W334" s="3"/>
      <c r="X334" s="3"/>
      <c r="Y334" s="3"/>
      <c r="AA334" s="1395" t="s">
        <v>2701</v>
      </c>
      <c r="AB334" s="1395"/>
      <c r="AC334" s="1395"/>
      <c r="AD334" s="1395"/>
      <c r="AE334" s="1395"/>
      <c r="AF334" s="1395"/>
      <c r="AG334" s="1395"/>
      <c r="AH334" s="1395"/>
      <c r="AI334" s="1395"/>
      <c r="AJ334" s="1395"/>
      <c r="AK334" s="1395"/>
    </row>
    <row r="335" spans="2:66" ht="12.9" customHeight="1">
      <c r="B335" s="3" t="s">
        <v>481</v>
      </c>
      <c r="C335" s="3"/>
      <c r="D335" s="3"/>
      <c r="E335" s="3"/>
      <c r="F335" s="3"/>
      <c r="H335" s="1367" t="s">
        <v>2698</v>
      </c>
      <c r="I335" s="1367"/>
      <c r="J335" s="1367"/>
      <c r="K335" s="1367"/>
      <c r="L335" s="1367"/>
      <c r="M335" s="1367"/>
      <c r="N335" s="1367"/>
      <c r="O335" s="1367"/>
      <c r="P335" s="1367"/>
      <c r="Q335" s="1367"/>
      <c r="R335" s="1367"/>
      <c r="T335" s="3" t="s">
        <v>481</v>
      </c>
      <c r="V335" s="3"/>
      <c r="W335" s="3"/>
      <c r="X335" s="3"/>
      <c r="Y335" s="3"/>
      <c r="AA335" s="1367" t="s">
        <v>2702</v>
      </c>
      <c r="AB335" s="1367"/>
      <c r="AC335" s="1367"/>
      <c r="AD335" s="1367"/>
      <c r="AE335" s="1367"/>
      <c r="AF335" s="1367"/>
      <c r="AG335" s="1367"/>
      <c r="AH335" s="1367"/>
      <c r="AI335" s="1367"/>
      <c r="AJ335" s="1367"/>
      <c r="AK335" s="1367"/>
    </row>
    <row r="336" spans="2:66" ht="12.9" customHeight="1">
      <c r="B336" s="3" t="s">
        <v>76</v>
      </c>
      <c r="C336" s="3"/>
      <c r="D336" s="3"/>
      <c r="E336" s="3"/>
      <c r="F336" s="3"/>
      <c r="H336" s="1367" t="s">
        <v>2699</v>
      </c>
      <c r="I336" s="1367"/>
      <c r="J336" s="1367"/>
      <c r="K336" s="1367"/>
      <c r="L336" s="1367"/>
      <c r="M336" s="1367"/>
      <c r="N336" s="1367"/>
      <c r="O336" s="1367"/>
      <c r="P336" s="1367"/>
      <c r="Q336" s="1367"/>
      <c r="R336" s="1367"/>
      <c r="T336" s="3" t="s">
        <v>76</v>
      </c>
      <c r="V336" s="3"/>
      <c r="W336" s="3"/>
      <c r="X336" s="3"/>
      <c r="Y336" s="3"/>
      <c r="AA336" s="1367" t="s">
        <v>2703</v>
      </c>
      <c r="AB336" s="1367"/>
      <c r="AC336" s="1367"/>
      <c r="AD336" s="1367"/>
      <c r="AE336" s="1367"/>
      <c r="AF336" s="1367"/>
      <c r="AG336" s="1367"/>
      <c r="AH336" s="1367"/>
      <c r="AI336" s="1367"/>
      <c r="AJ336" s="1367"/>
      <c r="AK336" s="1367"/>
    </row>
    <row r="337" spans="1:66" ht="12.9" customHeight="1">
      <c r="B337" s="3" t="s">
        <v>88</v>
      </c>
      <c r="C337" s="3"/>
      <c r="D337" s="3"/>
      <c r="E337" s="3"/>
      <c r="F337" s="3"/>
      <c r="G337" s="3"/>
      <c r="H337" s="1367" t="s">
        <v>2700</v>
      </c>
      <c r="I337" s="1367"/>
      <c r="J337" s="1367"/>
      <c r="K337" s="1367"/>
      <c r="L337" s="1367"/>
      <c r="M337" s="1367"/>
      <c r="N337" s="1367"/>
      <c r="O337" s="1367"/>
      <c r="P337" s="1367"/>
      <c r="Q337" s="1367"/>
      <c r="R337" s="1367"/>
      <c r="T337" s="3" t="s">
        <v>88</v>
      </c>
      <c r="V337" s="3"/>
      <c r="W337" s="3"/>
      <c r="X337" s="3"/>
      <c r="Y337" s="3"/>
      <c r="AA337" s="1367" t="s">
        <v>2704</v>
      </c>
      <c r="AB337" s="1367"/>
      <c r="AC337" s="1367"/>
      <c r="AD337" s="1367"/>
      <c r="AE337" s="1367"/>
      <c r="AF337" s="1367"/>
      <c r="AG337" s="1367"/>
      <c r="AH337" s="1367"/>
      <c r="AI337" s="1367"/>
      <c r="AJ337" s="1367"/>
      <c r="AK337" s="1367"/>
    </row>
    <row r="338" spans="1:66" ht="12.9" customHeight="1">
      <c r="B338" s="3" t="s">
        <v>89</v>
      </c>
      <c r="C338" s="3"/>
      <c r="D338" s="3"/>
      <c r="E338" s="3"/>
      <c r="F338" s="3"/>
      <c r="G338" s="3"/>
      <c r="H338" s="1535" t="s">
        <v>2705</v>
      </c>
      <c r="I338" s="1536"/>
      <c r="J338" s="1536"/>
      <c r="K338" s="1536"/>
      <c r="L338" s="1536"/>
      <c r="M338" s="1536"/>
      <c r="N338" s="4" t="s">
        <v>208</v>
      </c>
      <c r="O338" s="4"/>
      <c r="P338" s="1534"/>
      <c r="Q338" s="1534"/>
      <c r="R338" s="1534"/>
      <c r="S338" s="3"/>
      <c r="T338" s="3" t="s">
        <v>89</v>
      </c>
      <c r="V338" s="3"/>
      <c r="W338" s="3"/>
      <c r="X338" s="3"/>
      <c r="Y338" s="3"/>
      <c r="AA338" s="1535" t="s">
        <v>2707</v>
      </c>
      <c r="AB338" s="1536"/>
      <c r="AC338" s="1536"/>
      <c r="AD338" s="1536"/>
      <c r="AE338" s="1536"/>
      <c r="AF338" s="1536"/>
      <c r="AG338" s="4" t="s">
        <v>208</v>
      </c>
      <c r="AH338" s="4"/>
      <c r="AI338" s="1534"/>
      <c r="AJ338" s="1534"/>
      <c r="AK338" s="1534"/>
    </row>
    <row r="339" spans="1:66" ht="12.9"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2.9" customHeight="1">
      <c r="B340" s="3" t="s">
        <v>77</v>
      </c>
      <c r="C340" s="3"/>
      <c r="D340" s="3"/>
      <c r="E340" s="3"/>
      <c r="F340" s="3"/>
      <c r="G340" s="3"/>
      <c r="H340" s="1367" t="s">
        <v>2706</v>
      </c>
      <c r="I340" s="1367"/>
      <c r="J340" s="1367"/>
      <c r="K340" s="1367"/>
      <c r="L340" s="1367"/>
      <c r="M340" s="1367"/>
      <c r="N340" s="1395"/>
      <c r="O340" s="1395"/>
      <c r="P340" s="1395"/>
      <c r="Q340" s="1395"/>
      <c r="R340" s="1395"/>
      <c r="S340" s="3"/>
      <c r="T340" s="3" t="s">
        <v>77</v>
      </c>
      <c r="V340" s="3"/>
      <c r="W340" s="3"/>
      <c r="X340" s="3"/>
      <c r="Y340" s="3"/>
      <c r="AA340" s="1367" t="s">
        <v>2708</v>
      </c>
      <c r="AB340" s="1367"/>
      <c r="AC340" s="1367"/>
      <c r="AD340" s="1367"/>
      <c r="AE340" s="1367"/>
      <c r="AF340" s="1367"/>
      <c r="AG340" s="1395"/>
      <c r="AH340" s="1395"/>
      <c r="AI340" s="1395"/>
      <c r="AJ340" s="1395"/>
      <c r="AK340" s="1395"/>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395"/>
      <c r="Q342" s="1395"/>
      <c r="R342" s="1395"/>
      <c r="S342" s="1395"/>
      <c r="T342" s="1395"/>
      <c r="U342" s="1395"/>
      <c r="V342" s="1395"/>
      <c r="W342" s="1395"/>
      <c r="X342" s="1395"/>
      <c r="Y342" s="1395"/>
      <c r="Z342" s="1395"/>
      <c r="AA342" s="1395"/>
      <c r="AB342" s="1395"/>
      <c r="AC342" s="1395"/>
      <c r="AD342" s="1395"/>
      <c r="AE342" s="1395"/>
      <c r="BN342" t="s">
        <v>601</v>
      </c>
    </row>
    <row r="343" spans="1:66" ht="12.9" customHeight="1">
      <c r="B343" s="4"/>
      <c r="C343" s="4"/>
      <c r="D343" s="4"/>
      <c r="E343" s="4"/>
      <c r="F343" s="4"/>
      <c r="I343" s="4" t="s">
        <v>481</v>
      </c>
      <c r="P343" s="1367"/>
      <c r="Q343" s="1367"/>
      <c r="R343" s="1367"/>
      <c r="S343" s="1367"/>
      <c r="T343" s="1367"/>
      <c r="U343" s="1367"/>
      <c r="V343" s="1367"/>
      <c r="W343" s="1367"/>
      <c r="X343" s="1367"/>
      <c r="Y343" s="1367"/>
      <c r="Z343" s="1367"/>
      <c r="AA343" s="1367"/>
      <c r="AB343" s="1367"/>
      <c r="AC343" s="1367"/>
      <c r="AD343" s="1367"/>
      <c r="AE343" s="1367"/>
      <c r="BN343" t="s">
        <v>679</v>
      </c>
    </row>
    <row r="344" spans="1:66" ht="12.9"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555</v>
      </c>
    </row>
    <row r="345" spans="1:66" ht="12.9"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2.9"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2.9"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 customHeight="1">
      <c r="T349" s="8"/>
      <c r="U349" s="8"/>
      <c r="V349" s="8"/>
      <c r="W349" s="8"/>
      <c r="X349" s="8"/>
      <c r="Y349" s="8"/>
      <c r="Z349" s="8"/>
    </row>
    <row r="350" spans="1:66" ht="12.9"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2527</v>
      </c>
      <c r="M354" s="1374" t="s">
        <v>555</v>
      </c>
      <c r="N354" s="1374"/>
      <c r="P354" t="s">
        <v>1832</v>
      </c>
      <c r="AJ354" s="1374" t="s">
        <v>555</v>
      </c>
      <c r="AK354" s="1374"/>
    </row>
    <row r="355" spans="1:37" ht="12.9" customHeight="1">
      <c r="D355" s="3" t="s">
        <v>1821</v>
      </c>
      <c r="M355" s="1374" t="s">
        <v>601</v>
      </c>
      <c r="N355" s="1374"/>
      <c r="P355" s="3" t="s">
        <v>1981</v>
      </c>
      <c r="AJ355" s="1430">
        <v>0</v>
      </c>
      <c r="AK355" s="1430"/>
    </row>
    <row r="356" spans="1:37" ht="12.9" customHeight="1">
      <c r="D356" s="3" t="s">
        <v>717</v>
      </c>
      <c r="M356" s="1374" t="s">
        <v>601</v>
      </c>
      <c r="N356" s="1374"/>
      <c r="P356" t="s">
        <v>1831</v>
      </c>
      <c r="AJ356" s="1374" t="s">
        <v>679</v>
      </c>
      <c r="AK356" s="1374"/>
    </row>
    <row r="357" spans="1:37" ht="12.9" customHeight="1">
      <c r="D357" s="3" t="s">
        <v>718</v>
      </c>
      <c r="M357" s="1374" t="s">
        <v>601</v>
      </c>
      <c r="N357" s="1374"/>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74" t="s">
        <v>601</v>
      </c>
      <c r="O362" s="1374"/>
      <c r="P362" s="40"/>
      <c r="Q362" s="40"/>
      <c r="R362" s="40"/>
      <c r="S362" s="40"/>
      <c r="T362" s="40"/>
      <c r="U362" s="40"/>
      <c r="V362" s="40"/>
      <c r="W362" s="40"/>
      <c r="X362" s="40"/>
      <c r="Y362" s="40"/>
      <c r="Z362" s="40"/>
      <c r="AC362" s="40"/>
      <c r="AD362" s="40"/>
      <c r="AE362" s="40"/>
    </row>
    <row r="363" spans="1:37" ht="12.9" customHeight="1">
      <c r="E363" t="s">
        <v>372</v>
      </c>
      <c r="Y363" s="1374" t="s">
        <v>601</v>
      </c>
      <c r="Z363" s="1374"/>
    </row>
    <row r="364" spans="1:37" ht="12.9" customHeight="1">
      <c r="D364" s="4" t="s">
        <v>1019</v>
      </c>
      <c r="Q364" s="1395"/>
      <c r="R364" s="1395"/>
      <c r="S364" s="1395"/>
      <c r="T364" s="1395"/>
      <c r="U364" s="1395"/>
      <c r="V364" s="1395"/>
      <c r="W364" s="1395"/>
      <c r="X364" s="1395"/>
      <c r="Y364" s="1395"/>
      <c r="Z364" s="1395"/>
      <c r="AA364" s="1395"/>
      <c r="AB364" s="1395"/>
      <c r="AC364" s="1395"/>
      <c r="AD364" s="1395"/>
      <c r="AE364" s="1395"/>
      <c r="AF364" s="1395"/>
      <c r="AG364" s="1395"/>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74" t="s">
        <v>601</v>
      </c>
      <c r="K366" s="1374"/>
      <c r="L366" s="40"/>
      <c r="M366" s="40"/>
      <c r="N366" s="40"/>
      <c r="O366" s="40"/>
      <c r="P366" s="40"/>
      <c r="Q366" s="40"/>
      <c r="R366" s="40"/>
      <c r="S366" s="40"/>
      <c r="T366" s="40"/>
      <c r="U366" s="40"/>
      <c r="V366" s="40"/>
      <c r="W366" s="40"/>
      <c r="X366" s="40"/>
      <c r="Y366" s="40"/>
      <c r="Z366" s="40"/>
      <c r="AC366" s="40"/>
      <c r="AD366" s="40"/>
      <c r="AE366" s="40"/>
    </row>
    <row r="367" spans="1:37" ht="12.9" customHeight="1">
      <c r="E367" s="1590" t="s">
        <v>719</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2.9"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2.9" customHeight="1">
      <c r="E369" s="4" t="s">
        <v>458</v>
      </c>
      <c r="F369" s="4"/>
      <c r="G369" s="4"/>
      <c r="H369" s="4"/>
      <c r="I369" s="4"/>
      <c r="J369" s="4"/>
      <c r="K369" s="4"/>
      <c r="L369" s="4"/>
      <c r="N369" s="1379"/>
      <c r="O369" s="1379"/>
      <c r="P369" s="1379"/>
      <c r="Q369" s="1379"/>
      <c r="R369" s="4"/>
      <c r="U369" s="4" t="s">
        <v>459</v>
      </c>
      <c r="V369" s="4"/>
      <c r="W369" s="4"/>
      <c r="X369" s="4"/>
      <c r="Y369" s="4"/>
      <c r="Z369" s="4"/>
      <c r="AA369" s="4"/>
      <c r="AB369" s="4"/>
      <c r="AC369" s="1379"/>
      <c r="AD369" s="1379"/>
      <c r="AE369" s="1379"/>
      <c r="AF369" s="1379"/>
    </row>
    <row r="370" spans="1:36" ht="12.9" customHeight="1">
      <c r="E370" s="4" t="s">
        <v>460</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2509</v>
      </c>
      <c r="F376" s="4"/>
      <c r="G376" s="4"/>
      <c r="H376" s="4"/>
      <c r="I376" s="4"/>
      <c r="J376" s="4"/>
      <c r="K376" s="4"/>
      <c r="L376" s="4"/>
      <c r="N376" t="s">
        <v>2503</v>
      </c>
      <c r="R376" s="27" t="s">
        <v>307</v>
      </c>
      <c r="S376" s="1442"/>
      <c r="T376" s="1442"/>
      <c r="U376" s="1" t="s">
        <v>308</v>
      </c>
      <c r="V376" s="1442"/>
      <c r="W376" s="1442"/>
      <c r="Y376" t="s">
        <v>2503</v>
      </c>
      <c r="AC376" s="27" t="s">
        <v>307</v>
      </c>
      <c r="AD376" s="1442"/>
      <c r="AE376" s="1442"/>
      <c r="AF376" s="1" t="s">
        <v>308</v>
      </c>
      <c r="AG376" s="1442"/>
      <c r="AH376" s="1442"/>
    </row>
    <row r="377" spans="1:36" ht="12.9" customHeight="1">
      <c r="E377" s="4" t="s">
        <v>1045</v>
      </c>
      <c r="F377" s="4"/>
      <c r="G377" s="4"/>
      <c r="H377" s="4"/>
      <c r="I377" s="4"/>
      <c r="J377" s="4"/>
      <c r="K377" s="4"/>
      <c r="L377" s="4"/>
      <c r="N377" s="1442"/>
      <c r="O377" s="1442"/>
      <c r="P377" s="1442"/>
    </row>
    <row r="378" spans="1:36" ht="12.9" customHeight="1">
      <c r="E378" s="218" t="s">
        <v>2510</v>
      </c>
      <c r="F378" s="4"/>
      <c r="G378" s="4"/>
      <c r="H378" s="4"/>
      <c r="I378" s="4"/>
      <c r="J378" s="4"/>
      <c r="K378" s="4"/>
      <c r="L378" s="4"/>
      <c r="AG378" s="1468" t="s">
        <v>601</v>
      </c>
      <c r="AH378" s="1468"/>
    </row>
    <row r="379" spans="1:36" ht="12.9" customHeight="1">
      <c r="E379" s="4"/>
      <c r="F379" s="4"/>
      <c r="G379" s="4" t="s">
        <v>2511</v>
      </c>
      <c r="H379" s="4"/>
      <c r="I379" s="4"/>
      <c r="J379" s="4"/>
      <c r="K379" s="4"/>
      <c r="L379" s="4"/>
      <c r="AG379" s="1468" t="s">
        <v>601</v>
      </c>
      <c r="AH379" s="1468"/>
    </row>
    <row r="380" spans="1:36" ht="12.9" customHeight="1">
      <c r="E380" s="4"/>
      <c r="F380" s="4"/>
      <c r="G380" s="349" t="s">
        <v>1046</v>
      </c>
      <c r="H380" s="4"/>
      <c r="I380" s="4"/>
      <c r="J380" s="4"/>
      <c r="K380" s="4"/>
      <c r="L380" s="4"/>
      <c r="V380" s="1374" t="s">
        <v>601</v>
      </c>
      <c r="W380" s="1374"/>
      <c r="Y380" s="22" t="s">
        <v>1021</v>
      </c>
    </row>
    <row r="381" spans="1:36" ht="12.9" customHeight="1">
      <c r="E381" s="4" t="s">
        <v>1022</v>
      </c>
      <c r="F381" s="4"/>
      <c r="G381" s="4"/>
      <c r="H381" s="4"/>
      <c r="I381" s="4"/>
      <c r="J381" s="4"/>
      <c r="K381" s="4"/>
      <c r="L381" s="4"/>
      <c r="V381" s="1374" t="s">
        <v>601</v>
      </c>
      <c r="W381" s="1374"/>
      <c r="Y381" s="4" t="s">
        <v>1023</v>
      </c>
    </row>
    <row r="382" spans="1:36" ht="12.9" customHeight="1"/>
    <row r="383" spans="1:36" ht="12.9" customHeight="1">
      <c r="A383" s="2" t="s">
        <v>79</v>
      </c>
      <c r="B383" s="2"/>
    </row>
    <row r="384" spans="1:36" ht="12.9" customHeight="1">
      <c r="D384" t="s">
        <v>430</v>
      </c>
      <c r="J384" s="1395" t="s">
        <v>2709</v>
      </c>
      <c r="K384" s="1395"/>
      <c r="L384" s="1395"/>
      <c r="M384" s="1395"/>
      <c r="N384" s="1395"/>
      <c r="O384" s="1395"/>
      <c r="P384" s="1395"/>
      <c r="Q384" s="1395"/>
      <c r="R384" s="1395"/>
      <c r="S384" s="1395"/>
      <c r="T384" s="1395"/>
      <c r="U384" s="1395"/>
      <c r="V384" s="8" t="s">
        <v>84</v>
      </c>
      <c r="W384" s="8"/>
      <c r="X384" s="8"/>
      <c r="Y384" s="8"/>
      <c r="Z384" s="8"/>
      <c r="AA384" s="8"/>
      <c r="AB384" s="8"/>
      <c r="AC384" s="1395" t="s">
        <v>2710</v>
      </c>
      <c r="AD384" s="1395"/>
      <c r="AE384" s="1395"/>
      <c r="AF384" s="1395"/>
      <c r="AG384" s="1395"/>
      <c r="AH384" s="1395"/>
      <c r="AI384" s="1395"/>
      <c r="AJ384" s="1395"/>
    </row>
    <row r="385" spans="4:36" ht="12.9" customHeight="1">
      <c r="D385" s="3" t="s">
        <v>1326</v>
      </c>
      <c r="J385" s="1367" t="s">
        <v>2710</v>
      </c>
      <c r="K385" s="1367"/>
      <c r="L385" s="1367"/>
      <c r="M385" s="1367"/>
      <c r="N385" s="1367"/>
      <c r="O385" s="1367"/>
      <c r="P385" s="1367"/>
      <c r="Q385" s="1367"/>
      <c r="R385" s="1367"/>
      <c r="S385" s="1367"/>
      <c r="T385" s="1367"/>
      <c r="U385" s="1367"/>
      <c r="V385" s="3" t="s">
        <v>1326</v>
      </c>
      <c r="W385" s="8"/>
      <c r="X385" s="8"/>
      <c r="Y385" s="8"/>
      <c r="Z385" s="8"/>
      <c r="AA385" s="8"/>
      <c r="AB385" s="8"/>
      <c r="AC385" s="1395"/>
      <c r="AD385" s="1395"/>
      <c r="AE385" s="1395"/>
      <c r="AF385" s="1395"/>
      <c r="AG385" s="1395"/>
      <c r="AH385" s="1395"/>
      <c r="AI385" s="1395"/>
      <c r="AJ385" s="1395"/>
    </row>
    <row r="386" spans="4:36" ht="12.9" customHeight="1">
      <c r="D386" s="3" t="s">
        <v>445</v>
      </c>
      <c r="J386" s="1367" t="s">
        <v>2711</v>
      </c>
      <c r="K386" s="1367"/>
      <c r="L386" s="1367"/>
      <c r="M386" s="1367"/>
      <c r="N386" s="1367"/>
      <c r="O386" s="1367"/>
      <c r="P386" s="1367"/>
      <c r="Q386" s="1367"/>
      <c r="R386" s="1367"/>
      <c r="S386" s="1367"/>
      <c r="T386" s="1367"/>
      <c r="U386" s="1367"/>
      <c r="V386" s="3" t="s">
        <v>445</v>
      </c>
      <c r="W386" s="8"/>
      <c r="X386" s="8"/>
      <c r="Y386" s="8"/>
      <c r="Z386" s="8"/>
      <c r="AA386" s="8"/>
      <c r="AB386" s="8"/>
      <c r="AC386" s="1395"/>
      <c r="AD386" s="1395"/>
      <c r="AE386" s="1395"/>
      <c r="AF386" s="1395"/>
      <c r="AG386" s="1395"/>
      <c r="AH386" s="1395"/>
      <c r="AI386" s="1395"/>
      <c r="AJ386" s="1395"/>
    </row>
    <row r="387" spans="4:36" ht="12.9" customHeight="1">
      <c r="D387" t="s">
        <v>1322</v>
      </c>
      <c r="J387" s="1355" t="s">
        <v>2712</v>
      </c>
      <c r="K387" s="1355"/>
      <c r="L387" s="1355"/>
      <c r="M387" s="1355"/>
      <c r="N387" s="1355"/>
      <c r="O387" s="1355"/>
      <c r="P387" s="1355"/>
      <c r="Q387" s="1355"/>
      <c r="R387" s="1355"/>
      <c r="S387" s="1355"/>
      <c r="T387" s="1355"/>
      <c r="U387" s="1355"/>
      <c r="V387" s="1395" t="s">
        <v>2713</v>
      </c>
      <c r="W387" s="1395"/>
      <c r="X387" s="1395"/>
      <c r="Y387" s="1395"/>
      <c r="Z387" s="1395"/>
      <c r="AA387" s="1395"/>
      <c r="AB387" s="1395"/>
      <c r="AC387" s="1395"/>
      <c r="AD387" s="1395"/>
      <c r="AE387" s="1395"/>
      <c r="AF387" s="1395"/>
      <c r="AG387" s="1395"/>
      <c r="AH387" s="1395"/>
      <c r="AI387" s="1395"/>
      <c r="AJ387" s="1395"/>
    </row>
    <row r="388" spans="4:36" ht="12.9" customHeight="1">
      <c r="D388" t="s">
        <v>4</v>
      </c>
      <c r="Q388" s="1747">
        <v>43566</v>
      </c>
      <c r="R388" s="1747"/>
      <c r="S388" s="1747"/>
      <c r="T388" s="1747"/>
      <c r="U388" s="1747"/>
      <c r="V388" t="s">
        <v>311</v>
      </c>
      <c r="AI388" s="1374" t="s">
        <v>679</v>
      </c>
      <c r="AJ388" s="1374"/>
    </row>
    <row r="389" spans="4:36" ht="12.9" customHeight="1">
      <c r="D389" t="s">
        <v>5</v>
      </c>
      <c r="Q389" s="1588">
        <v>45302</v>
      </c>
      <c r="R389" s="1589"/>
      <c r="S389" s="1589"/>
      <c r="T389" s="1589"/>
      <c r="U389" s="1589"/>
      <c r="W389" s="21" t="s">
        <v>75</v>
      </c>
      <c r="AG389" s="1435"/>
      <c r="AH389" s="1435"/>
      <c r="AI389" s="1435"/>
      <c r="AJ389" s="1435"/>
    </row>
    <row r="390" spans="4:36" ht="12.9" customHeight="1">
      <c r="D390" t="s">
        <v>429</v>
      </c>
      <c r="Q390" s="1587">
        <v>14210000</v>
      </c>
      <c r="R390" s="1587"/>
      <c r="S390" s="1587"/>
      <c r="T390" s="1587"/>
      <c r="U390" s="1587"/>
      <c r="V390" s="3" t="s">
        <v>1325</v>
      </c>
      <c r="AG390" s="1445">
        <v>45153</v>
      </c>
      <c r="AH390" s="1445"/>
      <c r="AI390" s="1445"/>
      <c r="AJ390" s="1445"/>
    </row>
    <row r="391" spans="4:36" ht="12.9" customHeight="1">
      <c r="D391" t="s">
        <v>89</v>
      </c>
      <c r="I391" s="1536">
        <v>6504838928</v>
      </c>
      <c r="J391" s="1536"/>
      <c r="K391" s="1536"/>
      <c r="L391" s="1536"/>
      <c r="M391" s="1536"/>
      <c r="N391" s="1536"/>
      <c r="Q391" s="4" t="s">
        <v>208</v>
      </c>
      <c r="S391" s="1592"/>
      <c r="T391" s="1592"/>
      <c r="U391" s="1592"/>
      <c r="V391" t="s">
        <v>74</v>
      </c>
      <c r="AI391" s="1374" t="s">
        <v>679</v>
      </c>
      <c r="AJ391" s="1374"/>
    </row>
    <row r="392" spans="4:36" ht="12.9" customHeight="1">
      <c r="D392" t="s">
        <v>312</v>
      </c>
      <c r="Q392" s="1439"/>
      <c r="R392" s="1439"/>
      <c r="S392" s="1439"/>
      <c r="T392" s="1439"/>
      <c r="U392" s="1439"/>
      <c r="V392" t="s">
        <v>313</v>
      </c>
      <c r="AG392" s="1435"/>
      <c r="AH392" s="1435"/>
      <c r="AI392" s="1435"/>
      <c r="AJ392" s="1435"/>
    </row>
    <row r="393" spans="4:36" ht="12.9" customHeight="1">
      <c r="D393" t="s">
        <v>314</v>
      </c>
      <c r="Q393" s="1706">
        <v>1.0808E-2</v>
      </c>
      <c r="R393" s="1706"/>
      <c r="S393" s="1706"/>
      <c r="T393" s="1706"/>
      <c r="U393" s="1706"/>
      <c r="V393" t="s">
        <v>1306</v>
      </c>
      <c r="AG393" s="1435"/>
      <c r="AH393" s="1435"/>
      <c r="AI393" s="1435"/>
      <c r="AJ393" s="1435"/>
    </row>
    <row r="394" spans="4:36" ht="12.9" customHeight="1">
      <c r="D394" t="s">
        <v>1305</v>
      </c>
      <c r="AG394" s="1435"/>
      <c r="AH394" s="1435"/>
      <c r="AI394" s="1435"/>
      <c r="AJ394" s="1435"/>
    </row>
    <row r="395" spans="4:36" ht="12.9" customHeight="1">
      <c r="AG395" s="491"/>
      <c r="AH395" s="491"/>
      <c r="AI395" s="491"/>
      <c r="AJ395" s="491"/>
    </row>
    <row r="396" spans="4:36" ht="12.9" customHeight="1">
      <c r="D396" s="3" t="s">
        <v>2622</v>
      </c>
      <c r="AG396" s="491"/>
      <c r="AH396" s="491"/>
      <c r="AI396" s="1374" t="s">
        <v>679</v>
      </c>
      <c r="AJ396" s="1374"/>
    </row>
    <row r="397" spans="4:36" ht="12.9" customHeight="1">
      <c r="D397" s="3" t="s">
        <v>1850</v>
      </c>
      <c r="T397" s="1408"/>
      <c r="U397" s="1408"/>
      <c r="V397" s="1408"/>
      <c r="W397" s="1408"/>
      <c r="X397" s="1408"/>
      <c r="Y397" s="1408"/>
      <c r="Z397" s="1408"/>
      <c r="AA397" s="1408"/>
      <c r="AB397" s="1408"/>
      <c r="AC397" s="1408"/>
      <c r="AD397" s="1408"/>
      <c r="AE397" s="1408"/>
      <c r="AF397" s="1408"/>
      <c r="AG397" s="1408"/>
      <c r="AH397" s="1408"/>
      <c r="AI397" s="1408"/>
      <c r="AJ397" s="1408"/>
    </row>
    <row r="398" spans="4:36" ht="12.9" customHeight="1">
      <c r="D398" s="3" t="s">
        <v>1849</v>
      </c>
      <c r="T398" s="1408"/>
      <c r="U398" s="1408"/>
      <c r="V398" s="1408"/>
      <c r="W398" s="1408"/>
      <c r="X398" s="1408"/>
      <c r="Y398" s="1408"/>
      <c r="Z398" s="1408"/>
      <c r="AA398" s="1408"/>
      <c r="AB398" s="1408"/>
      <c r="AC398" s="1408"/>
      <c r="AD398" s="1408"/>
      <c r="AE398" s="1408"/>
      <c r="AF398" s="1408"/>
      <c r="AG398" s="1408"/>
      <c r="AH398" s="1408"/>
      <c r="AI398" s="1408"/>
      <c r="AJ398" s="1408"/>
    </row>
    <row r="399" spans="4:36" ht="12.9" customHeight="1">
      <c r="AG399" s="491"/>
      <c r="AH399" s="491"/>
      <c r="AI399" s="491"/>
      <c r="AJ399" s="491"/>
    </row>
    <row r="400" spans="4:36" ht="12.9" customHeight="1">
      <c r="D400" s="3" t="s">
        <v>1843</v>
      </c>
      <c r="S400" s="1408" t="s">
        <v>679</v>
      </c>
      <c r="T400" s="1408"/>
      <c r="U400" s="1408"/>
      <c r="V400" t="s">
        <v>1844</v>
      </c>
      <c r="AG400" s="1469"/>
      <c r="AH400" s="1469"/>
      <c r="AI400" s="1469"/>
      <c r="AJ400" s="1469"/>
    </row>
    <row r="401" spans="1:36" ht="12.9" customHeight="1">
      <c r="D401" s="3" t="s">
        <v>1841</v>
      </c>
      <c r="S401" s="1408" t="s">
        <v>601</v>
      </c>
      <c r="T401" s="1408"/>
      <c r="U401" s="1408"/>
      <c r="V401" t="s">
        <v>1846</v>
      </c>
      <c r="AE401" s="1470"/>
      <c r="AF401" s="1470"/>
      <c r="AG401" s="1470"/>
      <c r="AH401" s="1470"/>
      <c r="AI401" s="1470"/>
      <c r="AJ401" s="1470"/>
    </row>
    <row r="402" spans="1:36" ht="12.9" customHeight="1">
      <c r="D402" s="3" t="s">
        <v>1842</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 customHeight="1">
      <c r="D403" s="3" t="s">
        <v>1845</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 customHeight="1">
      <c r="D404" s="3" t="s">
        <v>1848</v>
      </c>
      <c r="E404" s="512"/>
      <c r="F404" s="512"/>
      <c r="G404" s="512"/>
      <c r="H404" s="512"/>
      <c r="I404" s="512"/>
      <c r="J404" s="512"/>
      <c r="K404" s="512"/>
      <c r="L404" s="512"/>
      <c r="M404" s="512"/>
      <c r="N404" s="512"/>
      <c r="O404" s="512"/>
      <c r="P404" s="512"/>
      <c r="Q404" s="512"/>
      <c r="R404" s="512"/>
      <c r="S404" s="1532" t="s">
        <v>2714</v>
      </c>
      <c r="T404" s="1532"/>
      <c r="U404" s="1532"/>
      <c r="V404" s="1532"/>
      <c r="W404" s="1532"/>
      <c r="X404" s="1532"/>
      <c r="Y404" s="1532"/>
      <c r="Z404" s="1532"/>
      <c r="AA404" s="1532"/>
      <c r="AB404" s="1532"/>
      <c r="AC404" s="1532"/>
      <c r="AD404" s="1532"/>
      <c r="AE404" s="1532"/>
      <c r="AF404" s="1532"/>
      <c r="AG404" s="1532"/>
      <c r="AH404" s="1532"/>
      <c r="AI404" s="1532"/>
      <c r="AJ404" s="1532"/>
    </row>
    <row r="405" spans="1:36" ht="12.9"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514" t="s">
        <v>2774</v>
      </c>
      <c r="J409" s="1514"/>
      <c r="K409" s="1514"/>
      <c r="L409" s="1514"/>
      <c r="M409" s="1514"/>
      <c r="N409" s="1514"/>
      <c r="O409" s="1514"/>
      <c r="P409" s="1514"/>
      <c r="Q409" s="1514"/>
      <c r="R409" s="1514"/>
      <c r="S409" s="1514"/>
      <c r="T409" s="1514"/>
      <c r="U409" s="1514"/>
      <c r="V409" s="1514"/>
      <c r="W409" s="1514"/>
      <c r="X409" s="1514"/>
      <c r="Y409" s="1514"/>
      <c r="Z409" s="1514"/>
      <c r="AA409" s="1514"/>
      <c r="AB409" s="1514"/>
      <c r="AC409" s="1514"/>
      <c r="AD409" s="1514"/>
      <c r="AE409" s="1514"/>
    </row>
    <row r="410" spans="1:36" ht="12.9" customHeight="1">
      <c r="E410" t="s">
        <v>107</v>
      </c>
      <c r="R410" s="1374" t="s">
        <v>555</v>
      </c>
      <c r="S410" s="1374"/>
      <c r="T410" t="s">
        <v>580</v>
      </c>
      <c r="AD410" s="1379">
        <v>8</v>
      </c>
      <c r="AE410" s="1379"/>
    </row>
    <row r="411" spans="1:36" ht="12.9" customHeight="1">
      <c r="E411" t="s">
        <v>108</v>
      </c>
      <c r="R411" s="1374" t="s">
        <v>601</v>
      </c>
      <c r="S411" s="1374"/>
      <c r="T411" t="s">
        <v>580</v>
      </c>
      <c r="AD411" s="1379">
        <v>0</v>
      </c>
      <c r="AE411" s="1379"/>
    </row>
    <row r="412" spans="1:36" ht="12.9" customHeight="1">
      <c r="E412" t="s">
        <v>109</v>
      </c>
      <c r="S412" s="1374" t="s">
        <v>601</v>
      </c>
      <c r="T412" s="1374"/>
    </row>
    <row r="413" spans="1:36" ht="12.9" customHeight="1">
      <c r="E413" t="s">
        <v>171</v>
      </c>
      <c r="H413" s="1704" t="s">
        <v>2715</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9"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9" customHeight="1"/>
    <row r="416" spans="1:36" ht="12.9" customHeight="1">
      <c r="A416" s="2" t="s">
        <v>600</v>
      </c>
      <c r="B416" s="2"/>
      <c r="C416" s="2"/>
      <c r="D416" s="2" t="s">
        <v>115</v>
      </c>
      <c r="AF416" s="2" t="s">
        <v>998</v>
      </c>
    </row>
    <row r="417" spans="1:39" ht="12.9" customHeight="1">
      <c r="E417" s="1442"/>
      <c r="F417" s="1442"/>
      <c r="G417" s="1442"/>
      <c r="H417" s="13" t="s">
        <v>116</v>
      </c>
      <c r="I417" s="1442"/>
      <c r="J417" s="1442"/>
      <c r="K417" s="1442"/>
      <c r="L417" t="s">
        <v>117</v>
      </c>
      <c r="N417" s="27" t="s">
        <v>585</v>
      </c>
      <c r="P417" s="1591">
        <v>1.46</v>
      </c>
      <c r="Q417" s="1591"/>
      <c r="R417" s="1591"/>
      <c r="S417" t="s">
        <v>118</v>
      </c>
      <c r="W417" s="1365">
        <f>IF(E417&gt;0,(E417*I417),(P417*43560))</f>
        <v>63597.599999999999</v>
      </c>
      <c r="X417" s="1365"/>
      <c r="Y417" s="1365"/>
      <c r="Z417" t="s">
        <v>119</v>
      </c>
      <c r="AF417" s="1531">
        <f>IF(P417&gt;0,(AG436/P417),(AG436/(W417/43560)))</f>
        <v>85.61643835616438</v>
      </c>
      <c r="AG417" s="1531"/>
      <c r="AH417" s="1531"/>
      <c r="AM417" s="3"/>
    </row>
    <row r="418" spans="1:39" ht="12.9" customHeight="1">
      <c r="E418" t="s">
        <v>51</v>
      </c>
    </row>
    <row r="419" spans="1:39" ht="12.9"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 customHeight="1">
      <c r="E420" s="118" t="s">
        <v>1998</v>
      </c>
      <c r="F420" s="1050"/>
      <c r="G420" s="1050"/>
      <c r="H420" s="1050"/>
      <c r="I420" s="1713">
        <v>1.46</v>
      </c>
      <c r="J420" s="1713"/>
      <c r="K420" s="1713"/>
      <c r="L420" s="1050"/>
      <c r="M420" s="118"/>
      <c r="N420" s="1050"/>
      <c r="O420" s="1050"/>
      <c r="P420" s="1737">
        <f>(CS623+CS631+CS647)/I420</f>
        <v>158.21917808219177</v>
      </c>
      <c r="Q420" s="1737"/>
      <c r="R420" s="1737"/>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374">
        <v>1</v>
      </c>
      <c r="Q423" s="1374"/>
      <c r="S423" t="s">
        <v>191</v>
      </c>
      <c r="AE423" s="1374">
        <v>1</v>
      </c>
      <c r="AF423" s="1374"/>
    </row>
    <row r="424" spans="1:39" ht="12.9" customHeight="1">
      <c r="E424" t="s">
        <v>192</v>
      </c>
      <c r="P424" s="1374">
        <v>1</v>
      </c>
      <c r="Q424" s="1374"/>
      <c r="S424" t="s">
        <v>132</v>
      </c>
      <c r="AE424" s="1374" t="s">
        <v>601</v>
      </c>
      <c r="AF424" s="1374"/>
    </row>
    <row r="425" spans="1:39" ht="12.9" customHeight="1">
      <c r="F425" s="28" t="s">
        <v>133</v>
      </c>
    </row>
    <row r="426" spans="1:39" ht="12.9"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 customHeight="1">
      <c r="E428" t="s">
        <v>618</v>
      </c>
      <c r="P428" s="1"/>
      <c r="Q428" s="1374" t="s">
        <v>555</v>
      </c>
      <c r="R428" s="1374"/>
    </row>
    <row r="429" spans="1:39" ht="12.9" customHeight="1">
      <c r="F429" t="s">
        <v>619</v>
      </c>
      <c r="P429" s="1"/>
      <c r="Q429" s="1"/>
      <c r="AF429" s="1374" t="s">
        <v>601</v>
      </c>
      <c r="AG429" s="1567"/>
    </row>
    <row r="430" spans="1:39" ht="12.9" customHeight="1"/>
    <row r="431" spans="1:39" ht="12.9" customHeight="1">
      <c r="A431" s="2"/>
      <c r="B431" s="2"/>
      <c r="C431" s="2"/>
      <c r="E431" s="4" t="s">
        <v>310</v>
      </c>
      <c r="Z431" s="1374" t="s">
        <v>679</v>
      </c>
      <c r="AA431" s="1374"/>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374" t="s">
        <v>601</v>
      </c>
      <c r="AA433" s="1374"/>
    </row>
    <row r="434" spans="1:110" ht="12.9" customHeight="1"/>
    <row r="435" spans="1:110" ht="12.9" customHeight="1">
      <c r="A435" s="2" t="s">
        <v>477</v>
      </c>
      <c r="B435" s="2"/>
      <c r="C435" s="2"/>
      <c r="D435" s="2" t="s">
        <v>789</v>
      </c>
      <c r="AF435" s="48"/>
    </row>
    <row r="436" spans="1:110" ht="12.9"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7">
        <v>125</v>
      </c>
      <c r="AH436" s="1357"/>
      <c r="AI436" s="1357"/>
      <c r="AJ436" s="1357"/>
    </row>
    <row r="437" spans="1:110" ht="12.9"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2">
        <v>0</v>
      </c>
      <c r="AH437" s="1373"/>
      <c r="AI437" s="1373"/>
      <c r="AJ437" s="1373"/>
    </row>
    <row r="438" spans="1:110" ht="12.9"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124</v>
      </c>
      <c r="AH438" s="1357"/>
      <c r="AI438" s="1357"/>
      <c r="AJ438" s="1357"/>
    </row>
    <row r="439" spans="1:110" ht="12.9"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124</v>
      </c>
      <c r="AH439" s="1357"/>
      <c r="AI439" s="1357"/>
      <c r="AJ439" s="1357"/>
    </row>
    <row r="440" spans="1:110" ht="12.9"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64">
        <v>90870</v>
      </c>
      <c r="AH441" s="1358"/>
      <c r="AI441" s="1358"/>
      <c r="AJ441" s="1358"/>
    </row>
    <row r="442" spans="1:110" ht="12.9"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90870</v>
      </c>
      <c r="AH442" s="1358"/>
      <c r="AI442" s="1358"/>
      <c r="AJ442" s="1358"/>
    </row>
    <row r="443" spans="1:110" ht="12.9"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 customHeight="1">
      <c r="D445" s="1361" t="s">
        <v>2512</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8">
        <v>4044</v>
      </c>
      <c r="AH445" s="1358"/>
      <c r="AI445" s="1358"/>
      <c r="AJ445" s="1358"/>
    </row>
    <row r="446" spans="1:110" ht="12.9"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1"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8">
        <v>8617</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61"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8">
        <v>62440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1">
        <f>AG441+AG445+AG447+AG448</f>
        <v>165971</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1040536.344</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1040536.344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878070.56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52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456" t="s">
        <v>2528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19</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458" t="s">
        <v>2716</v>
      </c>
      <c r="H472" s="1459"/>
      <c r="I472" s="1459"/>
      <c r="J472" s="1459"/>
      <c r="K472" s="1459"/>
      <c r="L472" s="1459"/>
      <c r="M472" s="1459"/>
      <c r="N472" s="1459"/>
      <c r="O472" s="1459"/>
      <c r="P472" s="1459"/>
      <c r="Q472" s="1459"/>
      <c r="R472" s="1459"/>
      <c r="S472" s="1459"/>
      <c r="T472" s="1459"/>
      <c r="U472" s="1459"/>
      <c r="V472" s="1460"/>
      <c r="W472" s="1349">
        <v>20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366" t="s">
        <v>2717</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366" t="s">
        <v>2718</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366">
        <v>0</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2" t="s">
        <v>167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400"/>
      <c r="C488" s="1401"/>
      <c r="D488" s="1401"/>
      <c r="E488" s="1401"/>
      <c r="F488" s="1401"/>
      <c r="G488" s="1401"/>
      <c r="H488" s="1401"/>
      <c r="I488" s="1401"/>
      <c r="J488" s="1401"/>
      <c r="K488" s="1401"/>
      <c r="L488" s="1401"/>
      <c r="M488" s="1401"/>
      <c r="N488" s="1401"/>
      <c r="O488" s="1401"/>
      <c r="P488" s="1402"/>
      <c r="Q488" s="1405"/>
      <c r="R488" s="1406"/>
      <c r="S488" s="1725"/>
      <c r="T488" s="1444"/>
      <c r="U488" s="1444"/>
      <c r="V488" s="1444"/>
      <c r="W488" s="1444"/>
      <c r="X488" s="1444"/>
      <c r="Y488" s="1444"/>
      <c r="Z488" s="1444"/>
      <c r="AA488" s="1444"/>
      <c r="AB488" s="1444"/>
      <c r="AC488" s="1444"/>
      <c r="AD488" s="1444"/>
      <c r="AE488" s="1444"/>
      <c r="AF488" s="1444"/>
      <c r="AG488" s="1444"/>
      <c r="AH488" s="1444"/>
      <c r="AI488" s="1444"/>
      <c r="AJ488" s="1444"/>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366" t="s">
        <v>2719</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366" t="s">
        <v>2720</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1851</v>
      </c>
      <c r="C492" s="5"/>
      <c r="D492" s="5"/>
      <c r="E492" s="5"/>
      <c r="F492" s="5"/>
      <c r="G492" s="5"/>
      <c r="H492" s="5"/>
      <c r="I492" s="5"/>
      <c r="J492" s="5"/>
      <c r="K492" s="5"/>
      <c r="L492" s="5"/>
      <c r="M492" s="5"/>
      <c r="N492" s="5"/>
      <c r="O492" s="5"/>
      <c r="P492" s="5"/>
      <c r="Q492" s="1366">
        <v>152</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1852</v>
      </c>
      <c r="C493" s="5"/>
      <c r="D493" s="5"/>
      <c r="E493" s="5"/>
      <c r="F493" s="5"/>
      <c r="G493" s="5"/>
      <c r="H493" s="5"/>
      <c r="I493" s="5"/>
      <c r="J493" s="5"/>
      <c r="K493" s="5"/>
      <c r="L493" s="5"/>
      <c r="M493" s="1429">
        <v>152</v>
      </c>
      <c r="N493" s="1430"/>
      <c r="O493" s="1430"/>
      <c r="P493" s="1431"/>
      <c r="Q493" s="121" t="s">
        <v>1853</v>
      </c>
      <c r="R493" s="5"/>
      <c r="S493" s="5"/>
      <c r="T493" s="5"/>
      <c r="U493" s="5"/>
      <c r="V493" s="5"/>
      <c r="W493" s="5"/>
      <c r="X493" s="5"/>
      <c r="Y493" s="5"/>
      <c r="Z493" s="5"/>
      <c r="AA493" s="5"/>
      <c r="AB493" s="5"/>
      <c r="AC493" s="5"/>
      <c r="AD493" s="5"/>
      <c r="AE493" s="5"/>
      <c r="AF493" s="5"/>
      <c r="AG493" s="5"/>
      <c r="AH493" s="1429"/>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8">
        <v>5</v>
      </c>
      <c r="AD499" s="1379"/>
      <c r="AE499" s="1379"/>
      <c r="AF499" s="1379"/>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8">
        <v>8</v>
      </c>
      <c r="AD500" s="1379"/>
      <c r="AE500" s="1379"/>
      <c r="AF500" s="1379"/>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8" t="s">
        <v>601</v>
      </c>
      <c r="AD501" s="1379"/>
      <c r="AE501" s="1379"/>
      <c r="AF501" s="1379"/>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412"/>
      <c r="C502" s="1413"/>
      <c r="D502" s="1413"/>
      <c r="E502" s="1413"/>
      <c r="F502" s="1413"/>
      <c r="G502" s="1413"/>
      <c r="H502" s="1414"/>
      <c r="I502" t="s">
        <v>412</v>
      </c>
      <c r="AC502" s="1378" t="s">
        <v>601</v>
      </c>
      <c r="AD502" s="1379"/>
      <c r="AE502" s="1379"/>
      <c r="AF502" s="1379"/>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412"/>
      <c r="C503" s="1413"/>
      <c r="D503" s="1413"/>
      <c r="E503" s="1413"/>
      <c r="F503" s="1413"/>
      <c r="G503" s="1413"/>
      <c r="H503" s="1414"/>
      <c r="I503" t="s">
        <v>413</v>
      </c>
      <c r="AC503" s="1378">
        <v>5</v>
      </c>
      <c r="AD503" s="1379"/>
      <c r="AE503" s="1379"/>
      <c r="AF503" s="1379"/>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412"/>
      <c r="C504" s="1413"/>
      <c r="D504" s="1413"/>
      <c r="E504" s="1413"/>
      <c r="F504" s="1413"/>
      <c r="G504" s="1413"/>
      <c r="H504" s="1414"/>
      <c r="I504" t="s">
        <v>414</v>
      </c>
      <c r="AC504" s="1378">
        <v>7</v>
      </c>
      <c r="AD504" s="1379"/>
      <c r="AE504" s="1379"/>
      <c r="AF504" s="1379"/>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412"/>
      <c r="C505" s="1413"/>
      <c r="D505" s="1413"/>
      <c r="E505" s="1413"/>
      <c r="F505" s="1413"/>
      <c r="G505" s="1413"/>
      <c r="H505" s="1414"/>
      <c r="I505" s="3" t="s">
        <v>415</v>
      </c>
      <c r="AC505" s="1380">
        <v>8</v>
      </c>
      <c r="AD505" s="1381"/>
      <c r="AE505" s="1381"/>
      <c r="AF505" s="1381"/>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8" t="s">
        <v>601</v>
      </c>
      <c r="AD506" s="1379"/>
      <c r="AE506" s="1379"/>
      <c r="AF506" s="1379"/>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1858</v>
      </c>
      <c r="AC507" s="1357" t="s">
        <v>555</v>
      </c>
      <c r="AD507" s="1357"/>
      <c r="AE507" s="1357"/>
      <c r="AF507" s="1357"/>
      <c r="AG507" s="13"/>
      <c r="AH507" s="1299"/>
      <c r="AI507" s="1299"/>
      <c r="AJ507" s="1299"/>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1855</v>
      </c>
      <c r="AC508" s="1380">
        <v>5</v>
      </c>
      <c r="AD508" s="1381"/>
      <c r="AE508" s="1381"/>
      <c r="AF508" s="1382"/>
      <c r="AG508" s="13"/>
      <c r="AH508" s="1299"/>
      <c r="AI508" s="1299"/>
      <c r="AJ508" s="1299"/>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4">
        <v>1</v>
      </c>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8">
        <v>2</v>
      </c>
      <c r="AD512" s="1379"/>
      <c r="AE512" s="1379"/>
      <c r="AF512" s="1379"/>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412"/>
      <c r="C513" s="1413"/>
      <c r="D513" s="1413"/>
      <c r="E513" s="1413"/>
      <c r="F513" s="1413"/>
      <c r="G513" s="1413"/>
      <c r="H513" s="1414"/>
      <c r="I513" t="s">
        <v>418</v>
      </c>
      <c r="AC513" s="1378">
        <v>2</v>
      </c>
      <c r="AD513" s="1379"/>
      <c r="AE513" s="1379"/>
      <c r="AF513" s="1379"/>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8">
        <v>8</v>
      </c>
      <c r="AD514" s="1379"/>
      <c r="AE514" s="1379"/>
      <c r="AF514" s="1379"/>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80">
        <v>2</v>
      </c>
      <c r="AD515" s="1381"/>
      <c r="AE515" s="1381"/>
      <c r="AF515" s="1381"/>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412"/>
      <c r="C516" s="1413"/>
      <c r="D516" s="1413"/>
      <c r="E516" s="1413"/>
      <c r="F516" s="1413"/>
      <c r="G516" s="1413"/>
      <c r="H516" s="1414"/>
      <c r="I516" t="s">
        <v>418</v>
      </c>
      <c r="AC516" s="1378">
        <v>2</v>
      </c>
      <c r="AD516" s="1379"/>
      <c r="AE516" s="1379"/>
      <c r="AF516" s="1379"/>
      <c r="AG516" s="13" t="s">
        <v>405</v>
      </c>
      <c r="AH516" s="1355">
        <v>2023</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8">
        <v>8</v>
      </c>
      <c r="AD517" s="1379"/>
      <c r="AE517" s="1379"/>
      <c r="AF517" s="1379"/>
      <c r="AG517" s="38" t="s">
        <v>405</v>
      </c>
      <c r="AH517" s="1355">
        <v>2025</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409" t="s">
        <v>421</v>
      </c>
      <c r="C518" s="1410"/>
      <c r="D518" s="1410"/>
      <c r="E518" s="1410"/>
      <c r="F518" s="1410"/>
      <c r="G518" s="1410"/>
      <c r="H518" s="1411"/>
      <c r="I518" s="41" t="s">
        <v>422</v>
      </c>
      <c r="J518" s="42"/>
      <c r="K518" s="42"/>
      <c r="L518" s="42"/>
      <c r="M518" s="42"/>
      <c r="N518" s="42"/>
      <c r="O518" s="1407" t="s">
        <v>2771</v>
      </c>
      <c r="P518" s="1408"/>
      <c r="Q518" s="1408"/>
      <c r="R518" s="1408"/>
      <c r="S518" s="1408"/>
      <c r="T518" s="1408"/>
      <c r="U518" s="1408"/>
      <c r="V518" s="1408"/>
      <c r="W518" s="1408"/>
      <c r="X518" s="1408"/>
      <c r="Y518" s="1408"/>
      <c r="Z518" s="1408"/>
      <c r="AA518" s="1408"/>
      <c r="AB518" s="58"/>
      <c r="AC518" s="1380">
        <v>7</v>
      </c>
      <c r="AD518" s="1381"/>
      <c r="AE518" s="1381"/>
      <c r="AF518" s="1381"/>
      <c r="AG518" s="129" t="s">
        <v>405</v>
      </c>
      <c r="AH518" s="1355">
        <v>2019</v>
      </c>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412"/>
      <c r="C519" s="1413"/>
      <c r="D519" s="1413"/>
      <c r="E519" s="1413"/>
      <c r="F519" s="1413"/>
      <c r="G519" s="1413"/>
      <c r="H519" s="1414"/>
      <c r="I519" s="114" t="s">
        <v>423</v>
      </c>
      <c r="AB519" s="65"/>
      <c r="AC519" s="1378">
        <v>7</v>
      </c>
      <c r="AD519" s="1379"/>
      <c r="AE519" s="1379"/>
      <c r="AF519" s="1379"/>
      <c r="AG519" s="13" t="s">
        <v>405</v>
      </c>
      <c r="AH519" s="1355">
        <v>2019</v>
      </c>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8">
        <v>9</v>
      </c>
      <c r="AD520" s="1379"/>
      <c r="AE520" s="1379"/>
      <c r="AF520" s="1379"/>
      <c r="AG520" s="38" t="s">
        <v>405</v>
      </c>
      <c r="AH520" s="1355">
        <v>2019</v>
      </c>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412"/>
      <c r="C521" s="1413"/>
      <c r="D521" s="1413"/>
      <c r="E521" s="1413"/>
      <c r="F521" s="1413"/>
      <c r="G521" s="1413"/>
      <c r="H521" s="1414"/>
      <c r="I521" s="42" t="s">
        <v>425</v>
      </c>
      <c r="J521" s="42"/>
      <c r="K521" s="42"/>
      <c r="L521" s="42"/>
      <c r="M521" s="42"/>
      <c r="N521" s="42"/>
      <c r="O521" s="1407" t="s">
        <v>2772</v>
      </c>
      <c r="P521" s="1408"/>
      <c r="Q521" s="1408"/>
      <c r="R521" s="1408"/>
      <c r="S521" s="1408"/>
      <c r="T521" s="1408"/>
      <c r="U521" s="1408"/>
      <c r="V521" s="1408"/>
      <c r="W521" s="1408"/>
      <c r="X521" s="1408"/>
      <c r="Y521" s="1408"/>
      <c r="Z521" s="1408"/>
      <c r="AA521" s="1408"/>
      <c r="AC521" s="1378">
        <v>7</v>
      </c>
      <c r="AD521" s="1379"/>
      <c r="AE521" s="1379"/>
      <c r="AF521" s="1379"/>
      <c r="AG521" s="13" t="s">
        <v>405</v>
      </c>
      <c r="AH521" s="1355">
        <v>2021</v>
      </c>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412"/>
      <c r="C522" s="1413"/>
      <c r="D522" s="1413"/>
      <c r="E522" s="1413"/>
      <c r="F522" s="1413"/>
      <c r="G522" s="1413"/>
      <c r="H522" s="1414"/>
      <c r="I522" t="s">
        <v>423</v>
      </c>
      <c r="AC522" s="1378">
        <v>7</v>
      </c>
      <c r="AD522" s="1379"/>
      <c r="AE522" s="1379"/>
      <c r="AF522" s="1379"/>
      <c r="AG522" s="13" t="s">
        <v>405</v>
      </c>
      <c r="AH522" s="1355">
        <v>2021</v>
      </c>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8">
        <v>11</v>
      </c>
      <c r="AD523" s="1379"/>
      <c r="AE523" s="1379"/>
      <c r="AF523" s="1379"/>
      <c r="AG523" s="38" t="s">
        <v>405</v>
      </c>
      <c r="AH523" s="1355">
        <v>2021</v>
      </c>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412"/>
      <c r="C524" s="1413"/>
      <c r="D524" s="1413"/>
      <c r="E524" s="1413"/>
      <c r="F524" s="1413"/>
      <c r="G524" s="1413"/>
      <c r="H524" s="1414"/>
      <c r="I524" s="42" t="s">
        <v>425</v>
      </c>
      <c r="J524" s="42"/>
      <c r="K524" s="42"/>
      <c r="L524" s="42"/>
      <c r="M524" s="42"/>
      <c r="N524" s="42"/>
      <c r="O524" s="1407" t="s">
        <v>2746</v>
      </c>
      <c r="P524" s="1408"/>
      <c r="Q524" s="1408"/>
      <c r="R524" s="1408"/>
      <c r="S524" s="1408"/>
      <c r="T524" s="1408"/>
      <c r="U524" s="1408"/>
      <c r="V524" s="1408"/>
      <c r="W524" s="1408"/>
      <c r="X524" s="1408"/>
      <c r="Y524" s="1408"/>
      <c r="Z524" s="1408"/>
      <c r="AA524" s="1408"/>
      <c r="AC524" s="1378" t="s">
        <v>601</v>
      </c>
      <c r="AD524" s="1379"/>
      <c r="AE524" s="1379"/>
      <c r="AF524" s="1379"/>
      <c r="AG524" s="13" t="s">
        <v>405</v>
      </c>
      <c r="AH524" s="1355"/>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412"/>
      <c r="C525" s="1413"/>
      <c r="D525" s="1413"/>
      <c r="E525" s="1413"/>
      <c r="F525" s="1413"/>
      <c r="G525" s="1413"/>
      <c r="H525" s="1414"/>
      <c r="I525" t="s">
        <v>423</v>
      </c>
      <c r="AC525" s="1378" t="s">
        <v>601</v>
      </c>
      <c r="AD525" s="1379"/>
      <c r="AE525" s="1379"/>
      <c r="AF525" s="1379"/>
      <c r="AG525" s="13" t="s">
        <v>405</v>
      </c>
      <c r="AH525" s="1355"/>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8">
        <v>9</v>
      </c>
      <c r="AD526" s="1379"/>
      <c r="AE526" s="1379"/>
      <c r="AF526" s="1379"/>
      <c r="AG526" s="38" t="s">
        <v>405</v>
      </c>
      <c r="AH526" s="1355">
        <v>2022</v>
      </c>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12"/>
      <c r="C527" s="1413"/>
      <c r="D527" s="1413"/>
      <c r="E527" s="1413"/>
      <c r="F527" s="1413"/>
      <c r="G527" s="1413"/>
      <c r="H527" s="1414"/>
      <c r="I527" s="42" t="s">
        <v>425</v>
      </c>
      <c r="J527" s="42"/>
      <c r="K527" s="42"/>
      <c r="L527" s="42"/>
      <c r="M527" s="42"/>
      <c r="N527" s="42"/>
      <c r="O527" s="1407" t="s">
        <v>2773</v>
      </c>
      <c r="P527" s="1408"/>
      <c r="Q527" s="1408"/>
      <c r="R527" s="1408"/>
      <c r="S527" s="1408"/>
      <c r="T527" s="1408"/>
      <c r="U527" s="1408"/>
      <c r="V527" s="1408"/>
      <c r="W527" s="1408"/>
      <c r="X527" s="1408"/>
      <c r="Y527" s="1408"/>
      <c r="Z527" s="1408"/>
      <c r="AA527" s="1408"/>
      <c r="AC527" s="1378">
        <v>2</v>
      </c>
      <c r="AD527" s="1379"/>
      <c r="AE527" s="1379"/>
      <c r="AF527" s="1379"/>
      <c r="AG527" s="13" t="s">
        <v>405</v>
      </c>
      <c r="AH527" s="1355">
        <v>2023</v>
      </c>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12"/>
      <c r="C528" s="1413"/>
      <c r="D528" s="1413"/>
      <c r="E528" s="1413"/>
      <c r="F528" s="1413"/>
      <c r="G528" s="1413"/>
      <c r="H528" s="1414"/>
      <c r="I528" t="s">
        <v>423</v>
      </c>
      <c r="AC528" s="1378">
        <v>2</v>
      </c>
      <c r="AD528" s="1379"/>
      <c r="AE528" s="1379"/>
      <c r="AF528" s="1379"/>
      <c r="AG528" s="13" t="s">
        <v>405</v>
      </c>
      <c r="AH528" s="1355">
        <v>2023</v>
      </c>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8">
        <v>2</v>
      </c>
      <c r="AD529" s="1379"/>
      <c r="AE529" s="1379"/>
      <c r="AF529" s="1379"/>
      <c r="AG529" s="38" t="s">
        <v>405</v>
      </c>
      <c r="AH529" s="1355">
        <v>2023</v>
      </c>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8" t="s">
        <v>601</v>
      </c>
      <c r="AD530" s="1379"/>
      <c r="AE530" s="1379"/>
      <c r="AF530" s="1379"/>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12"/>
      <c r="C531" s="1413"/>
      <c r="D531" s="1413"/>
      <c r="E531" s="1413"/>
      <c r="F531" s="1413"/>
      <c r="G531" s="1413"/>
      <c r="H531" s="1414"/>
      <c r="I531" t="s">
        <v>423</v>
      </c>
      <c r="AC531" s="1378" t="s">
        <v>601</v>
      </c>
      <c r="AD531" s="1379"/>
      <c r="AE531" s="1379"/>
      <c r="AF531" s="1379"/>
      <c r="AG531" s="38" t="s">
        <v>405</v>
      </c>
      <c r="AH531" s="1355"/>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8" t="s">
        <v>601</v>
      </c>
      <c r="AD532" s="1379"/>
      <c r="AE532" s="1379"/>
      <c r="AF532" s="1379"/>
      <c r="AG532" s="13" t="s">
        <v>405</v>
      </c>
      <c r="AH532" s="1355"/>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8" t="s">
        <v>601</v>
      </c>
      <c r="AD533" s="1379"/>
      <c r="AE533" s="1379"/>
      <c r="AF533" s="1379"/>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12"/>
      <c r="C534" s="1413"/>
      <c r="D534" s="1413"/>
      <c r="E534" s="1413"/>
      <c r="F534" s="1413"/>
      <c r="G534" s="1413"/>
      <c r="H534" s="1414"/>
      <c r="I534" t="s">
        <v>423</v>
      </c>
      <c r="AC534" s="1378" t="s">
        <v>601</v>
      </c>
      <c r="AD534" s="1379"/>
      <c r="AE534" s="1379"/>
      <c r="AF534" s="1379"/>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8" t="s">
        <v>601</v>
      </c>
      <c r="AD535" s="1379"/>
      <c r="AE535" s="1379"/>
      <c r="AF535" s="1379"/>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8">
        <v>8</v>
      </c>
      <c r="AD536" s="1379"/>
      <c r="AE536" s="1379"/>
      <c r="AF536" s="1379"/>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12"/>
      <c r="C537" s="1413"/>
      <c r="D537" s="1413"/>
      <c r="E537" s="1413"/>
      <c r="F537" s="1413"/>
      <c r="G537" s="1413"/>
      <c r="H537" s="1414"/>
      <c r="I537" t="s">
        <v>573</v>
      </c>
      <c r="AC537" s="1378">
        <v>8</v>
      </c>
      <c r="AD537" s="1379"/>
      <c r="AE537" s="1379"/>
      <c r="AF537" s="1379"/>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12"/>
      <c r="C538" s="1413"/>
      <c r="D538" s="1413"/>
      <c r="E538" s="1413"/>
      <c r="F538" s="1413"/>
      <c r="G538" s="1413"/>
      <c r="H538" s="1414"/>
      <c r="I538" t="s">
        <v>574</v>
      </c>
      <c r="AC538" s="1378">
        <v>8</v>
      </c>
      <c r="AD538" s="1379"/>
      <c r="AE538" s="1379"/>
      <c r="AF538" s="1379"/>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12"/>
      <c r="C539" s="1413"/>
      <c r="D539" s="1413"/>
      <c r="E539" s="1413"/>
      <c r="F539" s="1413"/>
      <c r="G539" s="1413"/>
      <c r="H539" s="1414"/>
      <c r="I539" t="s">
        <v>575</v>
      </c>
      <c r="AC539" s="1378">
        <v>10</v>
      </c>
      <c r="AD539" s="1379"/>
      <c r="AE539" s="1379"/>
      <c r="AF539" s="1379"/>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8">
        <v>12</v>
      </c>
      <c r="AD540" s="1379"/>
      <c r="AE540" s="1379"/>
      <c r="AF540" s="1379"/>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2532</v>
      </c>
      <c r="C549" s="1376"/>
      <c r="D549" s="1376"/>
      <c r="E549" s="1376"/>
      <c r="F549" s="1376"/>
      <c r="G549" s="1376"/>
      <c r="H549" s="1376"/>
      <c r="I549" s="1376"/>
      <c r="J549" s="1376"/>
      <c r="K549" s="1376"/>
      <c r="L549" s="1377"/>
      <c r="M549" s="1513" t="s">
        <v>2533</v>
      </c>
      <c r="N549" s="1513"/>
      <c r="O549" s="1513"/>
      <c r="P549" s="1513"/>
      <c r="Q549" s="1375" t="s">
        <v>2559</v>
      </c>
      <c r="R549" s="1376"/>
      <c r="S549" s="1377"/>
      <c r="T549" s="1375" t="s">
        <v>2560</v>
      </c>
      <c r="U549" s="1376"/>
      <c r="V549" s="1377"/>
      <c r="W549" s="1375" t="s">
        <v>463</v>
      </c>
      <c r="X549" s="1376"/>
      <c r="Y549" s="1377"/>
      <c r="Z549" s="1375" t="s">
        <v>2116</v>
      </c>
      <c r="AA549" s="1376"/>
      <c r="AB549" s="1376"/>
      <c r="AC549" s="1376"/>
      <c r="AD549" s="1376"/>
      <c r="AE549" s="1375" t="s">
        <v>1937</v>
      </c>
      <c r="AF549" s="1376"/>
      <c r="AG549" s="1376"/>
      <c r="AH549" s="1377"/>
      <c r="AI549" s="1375" t="s">
        <v>1938</v>
      </c>
      <c r="AJ549" s="1376"/>
      <c r="AK549" s="1376"/>
      <c r="AL549" s="1377"/>
      <c r="AM549" s="1375" t="s">
        <v>464</v>
      </c>
      <c r="AN549" s="1376"/>
      <c r="AO549" s="1376"/>
      <c r="AP549" s="1376"/>
      <c r="AQ549" s="1376"/>
      <c r="AR549" s="1376"/>
      <c r="AS549" s="137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2" t="s">
        <v>2721</v>
      </c>
      <c r="D550" s="1512"/>
      <c r="E550" s="1512"/>
      <c r="F550" s="1512"/>
      <c r="G550" s="1512"/>
      <c r="H550" s="1512"/>
      <c r="I550" s="1512"/>
      <c r="J550" s="1512"/>
      <c r="K550" s="1512"/>
      <c r="L550" s="1512"/>
      <c r="M550" s="1512" t="s">
        <v>2549</v>
      </c>
      <c r="N550" s="1512"/>
      <c r="O550" s="1512"/>
      <c r="P550" s="1512"/>
      <c r="Q550" s="1393">
        <v>24</v>
      </c>
      <c r="R550" s="1393"/>
      <c r="S550" s="1394"/>
      <c r="T550" s="1392" t="s">
        <v>601</v>
      </c>
      <c r="U550" s="1393"/>
      <c r="V550" s="1394"/>
      <c r="W550" s="1389">
        <v>0.06</v>
      </c>
      <c r="X550" s="1390"/>
      <c r="Y550" s="1391"/>
      <c r="Z550" s="1432" t="s">
        <v>2729</v>
      </c>
      <c r="AA550" s="1432"/>
      <c r="AB550" s="1432"/>
      <c r="AC550" s="1432"/>
      <c r="AD550" s="1432"/>
      <c r="AE550" s="1426">
        <v>1</v>
      </c>
      <c r="AF550" s="1427"/>
      <c r="AG550" s="1427"/>
      <c r="AH550" s="1428"/>
      <c r="AI550" s="1446"/>
      <c r="AJ550" s="1447"/>
      <c r="AK550" s="1447"/>
      <c r="AL550" s="1448"/>
      <c r="AM550" s="1369">
        <v>63920895</v>
      </c>
      <c r="AN550" s="1370"/>
      <c r="AO550" s="1370"/>
      <c r="AP550" s="1370"/>
      <c r="AQ550" s="1370"/>
      <c r="AR550" s="1370"/>
      <c r="AS550" s="137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511" t="s">
        <v>2722</v>
      </c>
      <c r="D551" s="1511"/>
      <c r="E551" s="1511"/>
      <c r="F551" s="1511"/>
      <c r="G551" s="1511"/>
      <c r="H551" s="1511"/>
      <c r="I551" s="1511"/>
      <c r="J551" s="1511"/>
      <c r="K551" s="1511"/>
      <c r="L551" s="1511"/>
      <c r="M551" s="1512" t="s">
        <v>2550</v>
      </c>
      <c r="N551" s="1512"/>
      <c r="O551" s="1512"/>
      <c r="P551" s="1512"/>
      <c r="Q551" s="1392">
        <v>24</v>
      </c>
      <c r="R551" s="1393"/>
      <c r="S551" s="1394"/>
      <c r="T551" s="1392" t="s">
        <v>601</v>
      </c>
      <c r="U551" s="1393"/>
      <c r="V551" s="1394"/>
      <c r="W551" s="1389">
        <v>6.0499999999999998E-2</v>
      </c>
      <c r="X551" s="1390"/>
      <c r="Y551" s="1391"/>
      <c r="Z551" s="1432" t="s">
        <v>2729</v>
      </c>
      <c r="AA551" s="1432"/>
      <c r="AB551" s="1432"/>
      <c r="AC551" s="1432"/>
      <c r="AD551" s="1432"/>
      <c r="AE551" s="1426">
        <v>1</v>
      </c>
      <c r="AF551" s="1427"/>
      <c r="AG551" s="1427"/>
      <c r="AH551" s="1428"/>
      <c r="AI551" s="1446"/>
      <c r="AJ551" s="1447"/>
      <c r="AK551" s="1447"/>
      <c r="AL551" s="1448"/>
      <c r="AM551" s="1369">
        <v>4344139</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511" t="s">
        <v>2723</v>
      </c>
      <c r="D552" s="1511"/>
      <c r="E552" s="1511"/>
      <c r="F552" s="1511"/>
      <c r="G552" s="1511"/>
      <c r="H552" s="1511"/>
      <c r="I552" s="1511"/>
      <c r="J552" s="1511"/>
      <c r="K552" s="1511"/>
      <c r="L552" s="1511"/>
      <c r="M552" s="1512" t="s">
        <v>2548</v>
      </c>
      <c r="N552" s="1512"/>
      <c r="O552" s="1512"/>
      <c r="P552" s="1512"/>
      <c r="Q552" s="1392">
        <v>24</v>
      </c>
      <c r="R552" s="1393"/>
      <c r="S552" s="1394"/>
      <c r="T552" s="1392" t="s">
        <v>601</v>
      </c>
      <c r="U552" s="1393"/>
      <c r="V552" s="1394"/>
      <c r="W552" s="1389">
        <v>6.0499999999999998E-2</v>
      </c>
      <c r="X552" s="1390"/>
      <c r="Y552" s="1391"/>
      <c r="Z552" s="1432" t="s">
        <v>2729</v>
      </c>
      <c r="AA552" s="1432"/>
      <c r="AB552" s="1432"/>
      <c r="AC552" s="1432"/>
      <c r="AD552" s="1432"/>
      <c r="AE552" s="1426">
        <v>1</v>
      </c>
      <c r="AF552" s="1427"/>
      <c r="AG552" s="1427"/>
      <c r="AH552" s="1428"/>
      <c r="AI552" s="1446"/>
      <c r="AJ552" s="1447"/>
      <c r="AK552" s="1447"/>
      <c r="AL552" s="1448"/>
      <c r="AM552" s="1369">
        <v>23348763</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591</v>
      </c>
      <c r="C553" s="1511" t="s">
        <v>2724</v>
      </c>
      <c r="D553" s="1511"/>
      <c r="E553" s="1511"/>
      <c r="F553" s="1511"/>
      <c r="G553" s="1511"/>
      <c r="H553" s="1511"/>
      <c r="I553" s="1511"/>
      <c r="J553" s="1511"/>
      <c r="K553" s="1511"/>
      <c r="L553" s="1511"/>
      <c r="M553" s="1512" t="s">
        <v>2552</v>
      </c>
      <c r="N553" s="1512"/>
      <c r="O553" s="1512"/>
      <c r="P553" s="1512"/>
      <c r="Q553" s="1392" t="s">
        <v>601</v>
      </c>
      <c r="R553" s="1393"/>
      <c r="S553" s="1394"/>
      <c r="T553" s="1392" t="s">
        <v>601</v>
      </c>
      <c r="U553" s="1393"/>
      <c r="V553" s="1394"/>
      <c r="W553" s="1389" t="s">
        <v>601</v>
      </c>
      <c r="X553" s="1390"/>
      <c r="Y553" s="1391"/>
      <c r="Z553" s="1432" t="s">
        <v>601</v>
      </c>
      <c r="AA553" s="1432"/>
      <c r="AB553" s="1432"/>
      <c r="AC553" s="1432"/>
      <c r="AD553" s="1432"/>
      <c r="AE553" s="1426" t="s">
        <v>601</v>
      </c>
      <c r="AF553" s="1427"/>
      <c r="AG553" s="1427"/>
      <c r="AH553" s="1428"/>
      <c r="AI553" s="1446"/>
      <c r="AJ553" s="1447"/>
      <c r="AK553" s="1447"/>
      <c r="AL553" s="1448"/>
      <c r="AM553" s="1369">
        <v>364282</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788</v>
      </c>
      <c r="C554" s="1511" t="s">
        <v>2725</v>
      </c>
      <c r="D554" s="1511"/>
      <c r="E554" s="1511"/>
      <c r="F554" s="1511"/>
      <c r="G554" s="1511"/>
      <c r="H554" s="1511"/>
      <c r="I554" s="1511"/>
      <c r="J554" s="1511"/>
      <c r="K554" s="1511"/>
      <c r="L554" s="1511"/>
      <c r="M554" s="1512" t="s">
        <v>2540</v>
      </c>
      <c r="N554" s="1512"/>
      <c r="O554" s="1512"/>
      <c r="P554" s="1512"/>
      <c r="Q554" s="1392" t="s">
        <v>601</v>
      </c>
      <c r="R554" s="1393"/>
      <c r="S554" s="1394"/>
      <c r="T554" s="1392" t="s">
        <v>601</v>
      </c>
      <c r="U554" s="1393"/>
      <c r="V554" s="1394"/>
      <c r="W554" s="1389" t="s">
        <v>601</v>
      </c>
      <c r="X554" s="1390"/>
      <c r="Y554" s="1391"/>
      <c r="Z554" s="1432" t="s">
        <v>601</v>
      </c>
      <c r="AA554" s="1432"/>
      <c r="AB554" s="1432"/>
      <c r="AC554" s="1432"/>
      <c r="AD554" s="1432"/>
      <c r="AE554" s="1426" t="s">
        <v>601</v>
      </c>
      <c r="AF554" s="1427"/>
      <c r="AG554" s="1427"/>
      <c r="AH554" s="1428"/>
      <c r="AI554" s="1446"/>
      <c r="AJ554" s="1447"/>
      <c r="AK554" s="1447"/>
      <c r="AL554" s="1448"/>
      <c r="AM554" s="1369">
        <v>15185270</v>
      </c>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594</v>
      </c>
      <c r="C555" s="1511" t="s">
        <v>2726</v>
      </c>
      <c r="D555" s="1511"/>
      <c r="E555" s="1511"/>
      <c r="F555" s="1511"/>
      <c r="G555" s="1511"/>
      <c r="H555" s="1511"/>
      <c r="I555" s="1511"/>
      <c r="J555" s="1511"/>
      <c r="K555" s="1511"/>
      <c r="L555" s="1511"/>
      <c r="M555" s="1512" t="s">
        <v>2552</v>
      </c>
      <c r="N555" s="1512"/>
      <c r="O555" s="1512"/>
      <c r="P555" s="1512"/>
      <c r="Q555" s="1392" t="s">
        <v>601</v>
      </c>
      <c r="R555" s="1393"/>
      <c r="S555" s="1394"/>
      <c r="T555" s="1392" t="s">
        <v>601</v>
      </c>
      <c r="U555" s="1393"/>
      <c r="V555" s="1394"/>
      <c r="W555" s="1389" t="s">
        <v>601</v>
      </c>
      <c r="X555" s="1390"/>
      <c r="Y555" s="1391"/>
      <c r="Z555" s="1432" t="s">
        <v>601</v>
      </c>
      <c r="AA555" s="1432"/>
      <c r="AB555" s="1432"/>
      <c r="AC555" s="1432"/>
      <c r="AD555" s="1432"/>
      <c r="AE555" s="1426" t="s">
        <v>601</v>
      </c>
      <c r="AF555" s="1427"/>
      <c r="AG555" s="1427"/>
      <c r="AH555" s="1428"/>
      <c r="AI555" s="1446"/>
      <c r="AJ555" s="1447"/>
      <c r="AK555" s="1447"/>
      <c r="AL555" s="1448"/>
      <c r="AM555" s="1369">
        <v>923694</v>
      </c>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465</v>
      </c>
      <c r="C556" s="1511" t="s">
        <v>1923</v>
      </c>
      <c r="D556" s="1511"/>
      <c r="E556" s="1511"/>
      <c r="F556" s="1511"/>
      <c r="G556" s="1511"/>
      <c r="H556" s="1511"/>
      <c r="I556" s="1511"/>
      <c r="J556" s="1511"/>
      <c r="K556" s="1511"/>
      <c r="L556" s="1511"/>
      <c r="M556" s="1512" t="s">
        <v>2536</v>
      </c>
      <c r="N556" s="1512"/>
      <c r="O556" s="1512"/>
      <c r="P556" s="1512"/>
      <c r="Q556" s="1392" t="s">
        <v>601</v>
      </c>
      <c r="R556" s="1393"/>
      <c r="S556" s="1394"/>
      <c r="T556" s="1392" t="s">
        <v>601</v>
      </c>
      <c r="U556" s="1393"/>
      <c r="V556" s="1394"/>
      <c r="W556" s="1389" t="s">
        <v>601</v>
      </c>
      <c r="X556" s="1390"/>
      <c r="Y556" s="1391"/>
      <c r="Z556" s="1432" t="s">
        <v>601</v>
      </c>
      <c r="AA556" s="1432"/>
      <c r="AB556" s="1432"/>
      <c r="AC556" s="1432"/>
      <c r="AD556" s="1432"/>
      <c r="AE556" s="1426" t="s">
        <v>601</v>
      </c>
      <c r="AF556" s="1427"/>
      <c r="AG556" s="1427"/>
      <c r="AH556" s="1428"/>
      <c r="AI556" s="1446"/>
      <c r="AJ556" s="1447"/>
      <c r="AK556" s="1447"/>
      <c r="AL556" s="1448"/>
      <c r="AM556" s="1369">
        <v>5580000</v>
      </c>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466</v>
      </c>
      <c r="C557" s="1511" t="s">
        <v>2727</v>
      </c>
      <c r="D557" s="1511"/>
      <c r="E557" s="1511"/>
      <c r="F557" s="1511"/>
      <c r="G557" s="1511"/>
      <c r="H557" s="1511"/>
      <c r="I557" s="1511"/>
      <c r="J557" s="1511"/>
      <c r="K557" s="1511"/>
      <c r="L557" s="1511"/>
      <c r="M557" s="1512" t="s">
        <v>2545</v>
      </c>
      <c r="N557" s="1512"/>
      <c r="O557" s="1512"/>
      <c r="P557" s="1512"/>
      <c r="Q557" s="1392">
        <v>660</v>
      </c>
      <c r="R557" s="1393"/>
      <c r="S557" s="1394"/>
      <c r="T557" s="1392" t="s">
        <v>601</v>
      </c>
      <c r="U557" s="1393"/>
      <c r="V557" s="1394"/>
      <c r="W557" s="1389">
        <v>0.03</v>
      </c>
      <c r="X557" s="1390"/>
      <c r="Y557" s="1391"/>
      <c r="Z557" s="1432" t="s">
        <v>2729</v>
      </c>
      <c r="AA557" s="1432"/>
      <c r="AB557" s="1432"/>
      <c r="AC557" s="1432"/>
      <c r="AD557" s="1432"/>
      <c r="AE557" s="1426">
        <v>2</v>
      </c>
      <c r="AF557" s="1427"/>
      <c r="AG557" s="1427"/>
      <c r="AH557" s="1428"/>
      <c r="AI557" s="1446"/>
      <c r="AJ557" s="1447"/>
      <c r="AK557" s="1447"/>
      <c r="AL557" s="1448"/>
      <c r="AM557" s="1369">
        <v>13900000</v>
      </c>
      <c r="AN557" s="1370"/>
      <c r="AO557" s="1370"/>
      <c r="AP557" s="1370"/>
      <c r="AQ557" s="1370"/>
      <c r="AR557" s="1370"/>
      <c r="AS557" s="1371"/>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471</v>
      </c>
      <c r="C558" s="1511" t="s">
        <v>2728</v>
      </c>
      <c r="D558" s="1511"/>
      <c r="E558" s="1511"/>
      <c r="F558" s="1511"/>
      <c r="G558" s="1511"/>
      <c r="H558" s="1511"/>
      <c r="I558" s="1511"/>
      <c r="J558" s="1511"/>
      <c r="K558" s="1511"/>
      <c r="L558" s="1511"/>
      <c r="M558" s="1512" t="s">
        <v>2545</v>
      </c>
      <c r="N558" s="1512"/>
      <c r="O558" s="1512"/>
      <c r="P558" s="1512"/>
      <c r="Q558" s="1392">
        <v>660</v>
      </c>
      <c r="R558" s="1393"/>
      <c r="S558" s="1394"/>
      <c r="T558" s="1392" t="s">
        <v>601</v>
      </c>
      <c r="U558" s="1393"/>
      <c r="V558" s="1394"/>
      <c r="W558" s="1389">
        <v>0.03</v>
      </c>
      <c r="X558" s="1390"/>
      <c r="Y558" s="1391"/>
      <c r="Z558" s="1432" t="s">
        <v>2729</v>
      </c>
      <c r="AA558" s="1432"/>
      <c r="AB558" s="1432"/>
      <c r="AC558" s="1432"/>
      <c r="AD558" s="1432"/>
      <c r="AE558" s="1426">
        <v>2</v>
      </c>
      <c r="AF558" s="1427"/>
      <c r="AG558" s="1427"/>
      <c r="AH558" s="1428"/>
      <c r="AI558" s="1446"/>
      <c r="AJ558" s="1447"/>
      <c r="AK558" s="1447"/>
      <c r="AL558" s="1448"/>
      <c r="AM558" s="1369">
        <v>2500000</v>
      </c>
      <c r="AN558" s="1370"/>
      <c r="AO558" s="1370"/>
      <c r="AP558" s="1370"/>
      <c r="AQ558" s="1370"/>
      <c r="AR558" s="1370"/>
      <c r="AS558" s="1371"/>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656</v>
      </c>
      <c r="C559" s="1511"/>
      <c r="D559" s="1511"/>
      <c r="E559" s="1511"/>
      <c r="F559" s="1511"/>
      <c r="G559" s="1511"/>
      <c r="H559" s="1511"/>
      <c r="I559" s="1511"/>
      <c r="J559" s="1511"/>
      <c r="K559" s="1511"/>
      <c r="L559" s="1511"/>
      <c r="M559" s="1512" t="s">
        <v>1328</v>
      </c>
      <c r="N559" s="1512"/>
      <c r="O559" s="1512"/>
      <c r="P559" s="1512"/>
      <c r="Q559" s="1392"/>
      <c r="R559" s="1393"/>
      <c r="S559" s="1394"/>
      <c r="T559" s="1392"/>
      <c r="U559" s="1393"/>
      <c r="V559" s="1394"/>
      <c r="W559" s="1389"/>
      <c r="X559" s="1390"/>
      <c r="Y559" s="1391"/>
      <c r="Z559" s="1432" t="s">
        <v>1328</v>
      </c>
      <c r="AA559" s="1432"/>
      <c r="AB559" s="1432"/>
      <c r="AC559" s="1432"/>
      <c r="AD559" s="1432"/>
      <c r="AE559" s="1426"/>
      <c r="AF559" s="1427"/>
      <c r="AG559" s="1427"/>
      <c r="AH559" s="1428"/>
      <c r="AI559" s="1446"/>
      <c r="AJ559" s="1447"/>
      <c r="AK559" s="1447"/>
      <c r="AL559" s="1448"/>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511"/>
      <c r="D560" s="1511"/>
      <c r="E560" s="1511"/>
      <c r="F560" s="1511"/>
      <c r="G560" s="1511"/>
      <c r="H560" s="1511"/>
      <c r="I560" s="1511"/>
      <c r="J560" s="1511"/>
      <c r="K560" s="1511"/>
      <c r="L560" s="1511"/>
      <c r="M560" s="1512" t="s">
        <v>1328</v>
      </c>
      <c r="N560" s="1512"/>
      <c r="O560" s="1512"/>
      <c r="P560" s="1512"/>
      <c r="Q560" s="1392"/>
      <c r="R560" s="1393"/>
      <c r="S560" s="1394"/>
      <c r="T560" s="1392"/>
      <c r="U560" s="1393"/>
      <c r="V560" s="1394"/>
      <c r="W560" s="1389"/>
      <c r="X560" s="1390"/>
      <c r="Y560" s="1391"/>
      <c r="Z560" s="1432" t="s">
        <v>1328</v>
      </c>
      <c r="AA560" s="1432"/>
      <c r="AB560" s="1432"/>
      <c r="AC560" s="1432"/>
      <c r="AD560" s="1432"/>
      <c r="AE560" s="1426"/>
      <c r="AF560" s="1427"/>
      <c r="AG560" s="1427"/>
      <c r="AH560" s="1428"/>
      <c r="AI560" s="1446"/>
      <c r="AJ560" s="1447"/>
      <c r="AK560" s="1447"/>
      <c r="AL560" s="1448"/>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511"/>
      <c r="D561" s="1511"/>
      <c r="E561" s="1511"/>
      <c r="F561" s="1511"/>
      <c r="G561" s="1511"/>
      <c r="H561" s="1511"/>
      <c r="I561" s="1511"/>
      <c r="J561" s="1511"/>
      <c r="K561" s="1511"/>
      <c r="L561" s="1511"/>
      <c r="M561" s="1512" t="s">
        <v>1328</v>
      </c>
      <c r="N561" s="1512"/>
      <c r="O561" s="1512"/>
      <c r="P561" s="1512"/>
      <c r="Q561" s="1392"/>
      <c r="R561" s="1393"/>
      <c r="S561" s="1394"/>
      <c r="T561" s="1392"/>
      <c r="U561" s="1393"/>
      <c r="V561" s="1394"/>
      <c r="W561" s="1389"/>
      <c r="X561" s="1390"/>
      <c r="Y561" s="1391"/>
      <c r="Z561" s="1432" t="s">
        <v>1328</v>
      </c>
      <c r="AA561" s="1432"/>
      <c r="AB561" s="1432"/>
      <c r="AC561" s="1432"/>
      <c r="AD561" s="1432"/>
      <c r="AE561" s="1426"/>
      <c r="AF561" s="1427"/>
      <c r="AG561" s="1427"/>
      <c r="AH561" s="1428"/>
      <c r="AI561" s="1446"/>
      <c r="AJ561" s="1447"/>
      <c r="AK561" s="1447"/>
      <c r="AL561" s="1448"/>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130067043</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510" t="str">
        <f>C550</f>
        <v>Citibank Tax-Exempt Loan</v>
      </c>
      <c r="H564" s="1510"/>
      <c r="I564" s="1510"/>
      <c r="J564" s="1510"/>
      <c r="K564" s="1510"/>
      <c r="L564" s="1510"/>
      <c r="M564" s="1510"/>
      <c r="N564" s="1510"/>
      <c r="O564" s="1510"/>
      <c r="P564" s="1510"/>
      <c r="Q564" s="1510"/>
      <c r="R564" s="1510"/>
      <c r="S564" s="8"/>
      <c r="T564" s="55" t="s">
        <v>114</v>
      </c>
      <c r="U564" t="s">
        <v>473</v>
      </c>
      <c r="Z564" s="1510" t="str">
        <f>C551</f>
        <v>Citibank Recycled Bond Cap</v>
      </c>
      <c r="AA564" s="1510"/>
      <c r="AB564" s="1510"/>
      <c r="AC564" s="1510"/>
      <c r="AD564" s="1510"/>
      <c r="AE564" s="1510"/>
      <c r="AF564" s="1510"/>
      <c r="AG564" s="1510"/>
      <c r="AH564" s="1510"/>
      <c r="AI564" s="1510"/>
      <c r="AJ564" s="1510"/>
      <c r="AK564" s="151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95" t="s">
        <v>2730</v>
      </c>
      <c r="H565" s="1395"/>
      <c r="I565" s="1395"/>
      <c r="J565" s="1395"/>
      <c r="K565" s="1395"/>
      <c r="L565" s="1395"/>
      <c r="M565" s="1395"/>
      <c r="N565" s="1395"/>
      <c r="O565" s="1395"/>
      <c r="P565" s="1395"/>
      <c r="Q565" s="1395"/>
      <c r="R565" s="1395"/>
      <c r="S565" s="8"/>
      <c r="T565" s="22"/>
      <c r="U565" t="s">
        <v>86</v>
      </c>
      <c r="Z565" s="1395" t="s">
        <v>2730</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395" t="s">
        <v>2731</v>
      </c>
      <c r="H566" s="1395"/>
      <c r="I566" s="1395"/>
      <c r="J566" s="1395"/>
      <c r="K566" s="1395"/>
      <c r="L566" s="1395"/>
      <c r="M566" s="1395"/>
      <c r="N566" s="1395"/>
      <c r="O566" s="1395"/>
      <c r="P566" s="1395"/>
      <c r="Q566" s="1395"/>
      <c r="R566" s="1395"/>
      <c r="T566" s="22"/>
      <c r="U566" t="s">
        <v>590</v>
      </c>
      <c r="Z566" s="1367" t="s">
        <v>2731</v>
      </c>
      <c r="AA566" s="1367"/>
      <c r="AB566" s="1367"/>
      <c r="AC566" s="1367"/>
      <c r="AD566" s="1367"/>
      <c r="AE566" s="1367"/>
      <c r="AF566" s="1367"/>
      <c r="AG566" s="1367"/>
      <c r="AH566" s="1367"/>
      <c r="AI566" s="1367"/>
      <c r="AJ566" s="1367"/>
      <c r="AK566" s="1367"/>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95" t="s">
        <v>2732</v>
      </c>
      <c r="H567" s="1395"/>
      <c r="I567" s="1395"/>
      <c r="J567" s="1395"/>
      <c r="K567" s="1395"/>
      <c r="L567" s="1395"/>
      <c r="M567" s="1395"/>
      <c r="N567" s="1395"/>
      <c r="O567" s="1395"/>
      <c r="P567" s="1395"/>
      <c r="Q567" s="1395"/>
      <c r="R567" s="1395"/>
      <c r="S567" s="8"/>
      <c r="T567" s="22"/>
      <c r="U567" t="s">
        <v>17</v>
      </c>
      <c r="Z567" s="1367" t="s">
        <v>2732</v>
      </c>
      <c r="AA567" s="1367"/>
      <c r="AB567" s="1367"/>
      <c r="AC567" s="1367"/>
      <c r="AD567" s="1367"/>
      <c r="AE567" s="1367"/>
      <c r="AF567" s="1367"/>
      <c r="AG567" s="1367"/>
      <c r="AH567" s="1367"/>
      <c r="AI567" s="1367"/>
      <c r="AJ567" s="1367"/>
      <c r="AK567" s="136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471" t="s">
        <v>2739</v>
      </c>
      <c r="H568" s="1436"/>
      <c r="I568" s="1436"/>
      <c r="J568" s="1436"/>
      <c r="K568" s="1436"/>
      <c r="L568" s="1436"/>
      <c r="O568" s="33" t="s">
        <v>208</v>
      </c>
      <c r="P568" s="1463"/>
      <c r="Q568" s="1463"/>
      <c r="R568" s="1463"/>
      <c r="S568" s="10"/>
      <c r="T568" s="22"/>
      <c r="U568" t="s">
        <v>318</v>
      </c>
      <c r="Z568" s="1471" t="s">
        <v>2739</v>
      </c>
      <c r="AA568" s="1436"/>
      <c r="AB568" s="1436"/>
      <c r="AC568" s="1436"/>
      <c r="AD568" s="1436"/>
      <c r="AE568" s="1436"/>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514" t="s">
        <v>2782</v>
      </c>
      <c r="I569" s="1395"/>
      <c r="J569" s="1395"/>
      <c r="K569" s="1395"/>
      <c r="L569" s="1395"/>
      <c r="M569" s="1395"/>
      <c r="N569" s="1395"/>
      <c r="O569" s="1395"/>
      <c r="P569" s="1395"/>
      <c r="Q569" s="1395"/>
      <c r="R569" s="1395"/>
      <c r="S569" s="8"/>
      <c r="T569" s="22"/>
      <c r="U569" t="s">
        <v>18</v>
      </c>
      <c r="AA569" s="1514" t="s">
        <v>2783</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529" t="s">
        <v>2780</v>
      </c>
      <c r="N570" s="1530"/>
      <c r="O570" s="1530"/>
      <c r="P570" s="1530"/>
      <c r="Q570" s="1530"/>
      <c r="R570" s="1530"/>
      <c r="S570" s="8"/>
      <c r="T570" s="22"/>
      <c r="U570" s="349" t="s">
        <v>1329</v>
      </c>
      <c r="AA570" s="8"/>
      <c r="AB570" s="8"/>
      <c r="AC570" s="8"/>
      <c r="AD570" s="8"/>
      <c r="AE570" s="8"/>
      <c r="AF570" s="1529" t="s">
        <v>2780</v>
      </c>
      <c r="AG570" s="1530"/>
      <c r="AH570" s="1530"/>
      <c r="AI570" s="1530"/>
      <c r="AJ570" s="1530"/>
      <c r="AK570" s="153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74" t="s">
        <v>555</v>
      </c>
      <c r="O571" s="1374"/>
      <c r="T571" s="22"/>
      <c r="U571" t="s">
        <v>20</v>
      </c>
      <c r="AG571" s="1374" t="s">
        <v>555</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510" t="str">
        <f>C552</f>
        <v>Citibank Taxable Tail</v>
      </c>
      <c r="H573" s="1510"/>
      <c r="I573" s="1510"/>
      <c r="J573" s="1510"/>
      <c r="K573" s="1510"/>
      <c r="L573" s="1510"/>
      <c r="M573" s="1510"/>
      <c r="N573" s="1510"/>
      <c r="O573" s="1510"/>
      <c r="P573" s="1510"/>
      <c r="Q573" s="1510"/>
      <c r="R573" s="1510"/>
      <c r="T573" s="55" t="s">
        <v>591</v>
      </c>
      <c r="U573" t="s">
        <v>473</v>
      </c>
      <c r="Z573" s="1510" t="str">
        <f>C553</f>
        <v>Lease-Up NOI</v>
      </c>
      <c r="AA573" s="1510"/>
      <c r="AB573" s="1510"/>
      <c r="AC573" s="1510"/>
      <c r="AD573" s="1510"/>
      <c r="AE573" s="1510"/>
      <c r="AF573" s="1510"/>
      <c r="AG573" s="1510"/>
      <c r="AH573" s="1510"/>
      <c r="AI573" s="1510"/>
      <c r="AJ573" s="1510"/>
      <c r="AK573" s="151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95" t="s">
        <v>2730</v>
      </c>
      <c r="H574" s="1395"/>
      <c r="I574" s="1395"/>
      <c r="J574" s="1395"/>
      <c r="K574" s="1395"/>
      <c r="L574" s="1395"/>
      <c r="M574" s="1395"/>
      <c r="N574" s="1395"/>
      <c r="O574" s="1395"/>
      <c r="P574" s="1395"/>
      <c r="Q574" s="1395"/>
      <c r="R574" s="1395"/>
      <c r="T574" s="22"/>
      <c r="U574" t="s">
        <v>86</v>
      </c>
      <c r="Z574" s="1395" t="s">
        <v>2733</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367" t="s">
        <v>2731</v>
      </c>
      <c r="H575" s="1367"/>
      <c r="I575" s="1367"/>
      <c r="J575" s="1367"/>
      <c r="K575" s="1367"/>
      <c r="L575" s="1367"/>
      <c r="M575" s="1367"/>
      <c r="N575" s="1367"/>
      <c r="O575" s="1367"/>
      <c r="P575" s="1367"/>
      <c r="Q575" s="1367"/>
      <c r="R575" s="1367"/>
      <c r="T575" s="22"/>
      <c r="U575" t="s">
        <v>590</v>
      </c>
      <c r="Z575" s="1367" t="s">
        <v>194</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67" t="s">
        <v>2732</v>
      </c>
      <c r="H576" s="1367"/>
      <c r="I576" s="1367"/>
      <c r="J576" s="1367"/>
      <c r="K576" s="1367"/>
      <c r="L576" s="1367"/>
      <c r="M576" s="1367"/>
      <c r="N576" s="1367"/>
      <c r="O576" s="1367"/>
      <c r="P576" s="1367"/>
      <c r="Q576" s="1367"/>
      <c r="R576" s="1367"/>
      <c r="T576" s="22"/>
      <c r="U576" t="s">
        <v>17</v>
      </c>
      <c r="Z576" s="1367" t="s">
        <v>2639</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471" t="s">
        <v>2739</v>
      </c>
      <c r="H577" s="1436"/>
      <c r="I577" s="1436"/>
      <c r="J577" s="1436"/>
      <c r="K577" s="1436"/>
      <c r="L577" s="1436"/>
      <c r="O577" s="33" t="s">
        <v>208</v>
      </c>
      <c r="P577" s="1463"/>
      <c r="Q577" s="1463"/>
      <c r="R577" s="1463"/>
      <c r="T577" s="22"/>
      <c r="U577" t="s">
        <v>318</v>
      </c>
      <c r="Z577" s="1471" t="s">
        <v>2657</v>
      </c>
      <c r="AA577" s="1436"/>
      <c r="AB577" s="1436"/>
      <c r="AC577" s="1436"/>
      <c r="AD577" s="1436"/>
      <c r="AE577" s="1436"/>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514" t="s">
        <v>2781</v>
      </c>
      <c r="I578" s="1395"/>
      <c r="J578" s="1395"/>
      <c r="K578" s="1395"/>
      <c r="L578" s="1395"/>
      <c r="M578" s="1395"/>
      <c r="N578" s="1395"/>
      <c r="O578" s="1395"/>
      <c r="P578" s="1395"/>
      <c r="Q578" s="1395"/>
      <c r="R578" s="1395"/>
      <c r="T578" s="22"/>
      <c r="U578" t="s">
        <v>18</v>
      </c>
      <c r="AA578" s="1395" t="s">
        <v>302</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74" t="s">
        <v>555</v>
      </c>
      <c r="O579" s="1374"/>
      <c r="T579" s="22"/>
      <c r="U579" t="s">
        <v>20</v>
      </c>
      <c r="AG579" s="1374" t="s">
        <v>555</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510" t="str">
        <f>C554</f>
        <v>R4 Capital Tax Credit Equity During Const.</v>
      </c>
      <c r="H581" s="1510"/>
      <c r="I581" s="1510"/>
      <c r="J581" s="1510"/>
      <c r="K581" s="1510"/>
      <c r="L581" s="1510"/>
      <c r="M581" s="1510"/>
      <c r="N581" s="1510"/>
      <c r="O581" s="1510"/>
      <c r="P581" s="1510"/>
      <c r="Q581" s="1510"/>
      <c r="R581" s="1510"/>
      <c r="T581" s="55" t="s">
        <v>594</v>
      </c>
      <c r="U581" t="s">
        <v>473</v>
      </c>
      <c r="Z581" s="1510" t="str">
        <f>C555</f>
        <v>Deferred Reserve Funding</v>
      </c>
      <c r="AA581" s="1510"/>
      <c r="AB581" s="1510"/>
      <c r="AC581" s="1510"/>
      <c r="AD581" s="1510"/>
      <c r="AE581" s="1510"/>
      <c r="AF581" s="1510"/>
      <c r="AG581" s="1510"/>
      <c r="AH581" s="1510"/>
      <c r="AI581" s="1510"/>
      <c r="AJ581" s="1510"/>
      <c r="AK581" s="15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95" t="s">
        <v>2685</v>
      </c>
      <c r="H582" s="1395"/>
      <c r="I582" s="1395"/>
      <c r="J582" s="1395"/>
      <c r="K582" s="1395"/>
      <c r="L582" s="1395"/>
      <c r="M582" s="1395"/>
      <c r="N582" s="1395"/>
      <c r="O582" s="1395"/>
      <c r="P582" s="1395"/>
      <c r="Q582" s="1395"/>
      <c r="R582" s="1395"/>
      <c r="T582" s="22"/>
      <c r="U582" t="s">
        <v>86</v>
      </c>
      <c r="Z582" s="1395" t="s">
        <v>2653</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395" t="s">
        <v>2734</v>
      </c>
      <c r="H583" s="1395"/>
      <c r="I583" s="1395"/>
      <c r="J583" s="1395"/>
      <c r="K583" s="1395"/>
      <c r="L583" s="1395"/>
      <c r="M583" s="1395"/>
      <c r="N583" s="1395"/>
      <c r="O583" s="1395"/>
      <c r="P583" s="1395"/>
      <c r="Q583" s="1395"/>
      <c r="R583" s="1395"/>
      <c r="T583" s="22"/>
      <c r="U583" t="s">
        <v>590</v>
      </c>
      <c r="Z583" s="1367" t="s">
        <v>2735</v>
      </c>
      <c r="AA583" s="1367"/>
      <c r="AB583" s="1367"/>
      <c r="AC583" s="1367"/>
      <c r="AD583" s="1367"/>
      <c r="AE583" s="1367"/>
      <c r="AF583" s="1367"/>
      <c r="AG583" s="1367"/>
      <c r="AH583" s="1367"/>
      <c r="AI583" s="1367"/>
      <c r="AJ583" s="1367"/>
      <c r="AK583" s="13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95" t="s">
        <v>2687</v>
      </c>
      <c r="H584" s="1395"/>
      <c r="I584" s="1395"/>
      <c r="J584" s="1395"/>
      <c r="K584" s="1395"/>
      <c r="L584" s="1395"/>
      <c r="M584" s="1395"/>
      <c r="N584" s="1395"/>
      <c r="O584" s="1395"/>
      <c r="P584" s="1395"/>
      <c r="Q584" s="1395"/>
      <c r="R584" s="1395"/>
      <c r="T584" s="22"/>
      <c r="U584" t="s">
        <v>17</v>
      </c>
      <c r="Z584" s="1367" t="s">
        <v>2639</v>
      </c>
      <c r="AA584" s="1367"/>
      <c r="AB584" s="1367"/>
      <c r="AC584" s="1367"/>
      <c r="AD584" s="1367"/>
      <c r="AE584" s="1367"/>
      <c r="AF584" s="1367"/>
      <c r="AG584" s="1367"/>
      <c r="AH584" s="1367"/>
      <c r="AI584" s="1367"/>
      <c r="AJ584" s="1367"/>
      <c r="AK584" s="136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471" t="s">
        <v>2693</v>
      </c>
      <c r="H585" s="1436"/>
      <c r="I585" s="1436"/>
      <c r="J585" s="1436"/>
      <c r="K585" s="1436"/>
      <c r="L585" s="1436"/>
      <c r="O585" s="33" t="s">
        <v>208</v>
      </c>
      <c r="P585" s="1463"/>
      <c r="Q585" s="1463"/>
      <c r="R585" s="1463"/>
      <c r="T585" s="22"/>
      <c r="U585" t="s">
        <v>318</v>
      </c>
      <c r="Z585" s="1471" t="s">
        <v>2657</v>
      </c>
      <c r="AA585" s="1436"/>
      <c r="AB585" s="1436"/>
      <c r="AC585" s="1436"/>
      <c r="AD585" s="1436"/>
      <c r="AE585" s="1436"/>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95" t="s">
        <v>2740</v>
      </c>
      <c r="I586" s="1395"/>
      <c r="J586" s="1395"/>
      <c r="K586" s="1395"/>
      <c r="L586" s="1395"/>
      <c r="M586" s="1395"/>
      <c r="N586" s="1395"/>
      <c r="O586" s="1395"/>
      <c r="P586" s="1395"/>
      <c r="Q586" s="1395"/>
      <c r="R586" s="1395"/>
      <c r="T586" s="22"/>
      <c r="U586" t="s">
        <v>18</v>
      </c>
      <c r="AA586" s="1395" t="s">
        <v>2726</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74" t="s">
        <v>555</v>
      </c>
      <c r="O587" s="1374"/>
      <c r="T587" s="22"/>
      <c r="U587" t="s">
        <v>20</v>
      </c>
      <c r="AG587" s="1374" t="s">
        <v>555</v>
      </c>
      <c r="AH587" s="1374"/>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510" t="str">
        <f>C556</f>
        <v>Deferred Developer Fee</v>
      </c>
      <c r="H589" s="1510"/>
      <c r="I589" s="1510"/>
      <c r="J589" s="1510"/>
      <c r="K589" s="1510"/>
      <c r="L589" s="1510"/>
      <c r="M589" s="1510"/>
      <c r="N589" s="1510"/>
      <c r="O589" s="1510"/>
      <c r="P589" s="1510"/>
      <c r="Q589" s="1510"/>
      <c r="R589" s="1510"/>
      <c r="T589" s="55" t="s">
        <v>466</v>
      </c>
      <c r="U589" t="s">
        <v>473</v>
      </c>
      <c r="Z589" s="1510" t="str">
        <f>C557</f>
        <v>HASMC AHF Loan</v>
      </c>
      <c r="AA589" s="1510"/>
      <c r="AB589" s="1510"/>
      <c r="AC589" s="1510"/>
      <c r="AD589" s="1510"/>
      <c r="AE589" s="1510"/>
      <c r="AF589" s="1510"/>
      <c r="AG589" s="1510"/>
      <c r="AH589" s="1510"/>
      <c r="AI589" s="1510"/>
      <c r="AJ589" s="1510"/>
      <c r="AK589" s="15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95" t="s">
        <v>2653</v>
      </c>
      <c r="H590" s="1395"/>
      <c r="I590" s="1395"/>
      <c r="J590" s="1395"/>
      <c r="K590" s="1395"/>
      <c r="L590" s="1395"/>
      <c r="M590" s="1395"/>
      <c r="N590" s="1395"/>
      <c r="O590" s="1395"/>
      <c r="P590" s="1395"/>
      <c r="Q590" s="1395"/>
      <c r="R590" s="1395"/>
      <c r="T590" s="22"/>
      <c r="U590" t="s">
        <v>86</v>
      </c>
      <c r="Z590" s="1395" t="s">
        <v>2736</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395" t="s">
        <v>2656</v>
      </c>
      <c r="H591" s="1395"/>
      <c r="I591" s="1395"/>
      <c r="J591" s="1395"/>
      <c r="K591" s="1395"/>
      <c r="L591" s="1395"/>
      <c r="M591" s="1395"/>
      <c r="N591" s="1395"/>
      <c r="O591" s="1395"/>
      <c r="P591" s="1395"/>
      <c r="Q591" s="1395"/>
      <c r="R591" s="1395"/>
      <c r="T591" s="22"/>
      <c r="U591" t="s">
        <v>590</v>
      </c>
      <c r="Z591" s="1367" t="s">
        <v>2737</v>
      </c>
      <c r="AA591" s="1367"/>
      <c r="AB591" s="1367"/>
      <c r="AC591" s="1367"/>
      <c r="AD591" s="1367"/>
      <c r="AE591" s="1367"/>
      <c r="AF591" s="1367"/>
      <c r="AG591" s="1367"/>
      <c r="AH591" s="1367"/>
      <c r="AI591" s="1367"/>
      <c r="AJ591" s="1367"/>
      <c r="AK591" s="13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95" t="s">
        <v>2639</v>
      </c>
      <c r="H592" s="1395"/>
      <c r="I592" s="1395"/>
      <c r="J592" s="1395"/>
      <c r="K592" s="1395"/>
      <c r="L592" s="1395"/>
      <c r="M592" s="1395"/>
      <c r="N592" s="1395"/>
      <c r="O592" s="1395"/>
      <c r="P592" s="1395"/>
      <c r="Q592" s="1395"/>
      <c r="R592" s="1395"/>
      <c r="T592" s="22"/>
      <c r="U592" t="s">
        <v>17</v>
      </c>
      <c r="Z592" s="1367" t="s">
        <v>2738</v>
      </c>
      <c r="AA592" s="1367"/>
      <c r="AB592" s="1367"/>
      <c r="AC592" s="1367"/>
      <c r="AD592" s="1367"/>
      <c r="AE592" s="1367"/>
      <c r="AF592" s="1367"/>
      <c r="AG592" s="1367"/>
      <c r="AH592" s="1367"/>
      <c r="AI592" s="1367"/>
      <c r="AJ592" s="1367"/>
      <c r="AK592" s="136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471" t="s">
        <v>2657</v>
      </c>
      <c r="H593" s="1436"/>
      <c r="I593" s="1436"/>
      <c r="J593" s="1436"/>
      <c r="K593" s="1436"/>
      <c r="L593" s="1436"/>
      <c r="M593"/>
      <c r="N593"/>
      <c r="O593" s="33" t="s">
        <v>208</v>
      </c>
      <c r="P593" s="1463"/>
      <c r="Q593" s="1463"/>
      <c r="R593" s="1463"/>
      <c r="S593"/>
      <c r="T593" s="22"/>
      <c r="U593" t="s">
        <v>318</v>
      </c>
      <c r="V593"/>
      <c r="W593"/>
      <c r="X593"/>
      <c r="Y593"/>
      <c r="Z593" s="1471" t="s">
        <v>2743</v>
      </c>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95" t="s">
        <v>1923</v>
      </c>
      <c r="I594" s="1395"/>
      <c r="J594" s="1395"/>
      <c r="K594" s="1395"/>
      <c r="L594" s="1395"/>
      <c r="M594" s="1395"/>
      <c r="N594" s="1395"/>
      <c r="O594" s="1395"/>
      <c r="P594" s="1395"/>
      <c r="Q594" s="1395"/>
      <c r="R594" s="1395"/>
      <c r="S594"/>
      <c r="T594" s="22"/>
      <c r="U594" t="s">
        <v>18</v>
      </c>
      <c r="V594"/>
      <c r="W594"/>
      <c r="X594"/>
      <c r="Y594"/>
      <c r="Z594"/>
      <c r="AA594" s="1395" t="s">
        <v>2744</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74" t="s">
        <v>555</v>
      </c>
      <c r="O595" s="1374"/>
      <c r="P595"/>
      <c r="Q595"/>
      <c r="R595"/>
      <c r="S595"/>
      <c r="T595" s="22"/>
      <c r="U595" t="s">
        <v>20</v>
      </c>
      <c r="V595"/>
      <c r="W595"/>
      <c r="X595"/>
      <c r="Y595"/>
      <c r="Z595"/>
      <c r="AA595"/>
      <c r="AB595"/>
      <c r="AC595"/>
      <c r="AD595"/>
      <c r="AE595"/>
      <c r="AF595"/>
      <c r="AG595" s="1374" t="s">
        <v>555</v>
      </c>
      <c r="AH595" s="1374"/>
      <c r="AI595"/>
      <c r="AJ595"/>
      <c r="AK595"/>
      <c r="AL595"/>
      <c r="AM595"/>
      <c r="AN595"/>
      <c r="AO595"/>
      <c r="AP595"/>
      <c r="AQ595"/>
      <c r="AR595"/>
      <c r="AS595"/>
      <c r="AT595"/>
      <c r="AU595"/>
      <c r="AV595"/>
      <c r="AW595"/>
      <c r="AX595"/>
      <c r="AY595"/>
      <c r="BA595" s="4" t="s">
        <v>326</v>
      </c>
      <c r="BB595" s="3"/>
      <c r="BC595" s="3"/>
      <c r="BD595" s="3"/>
      <c r="BE595" s="121" t="s">
        <v>484</v>
      </c>
      <c r="BF595" s="122"/>
      <c r="BG595" s="1494"/>
      <c r="BH595" s="1495"/>
      <c r="BI595" s="121" t="s">
        <v>485</v>
      </c>
      <c r="BJ595" s="122"/>
      <c r="BK595" s="1494"/>
      <c r="BL595" s="1495"/>
      <c r="BM595" s="3"/>
      <c r="BN595" s="1710" t="s">
        <v>643</v>
      </c>
      <c r="BO595" s="1711"/>
      <c r="BP595" s="1711"/>
      <c r="BQ595" s="1711"/>
      <c r="BR595" s="1712"/>
      <c r="BS595" s="1509" t="s">
        <v>327</v>
      </c>
      <c r="BT595" s="1509"/>
      <c r="BU595" s="1509"/>
      <c r="BV595" s="1509"/>
      <c r="BW595" s="1509"/>
      <c r="BX595" s="1509" t="s">
        <v>164</v>
      </c>
      <c r="BY595" s="1509"/>
      <c r="BZ595" s="1509"/>
      <c r="CA595" s="1509"/>
      <c r="CB595" s="1509"/>
      <c r="CC595" s="1509" t="s">
        <v>165</v>
      </c>
      <c r="CD595" s="1509"/>
      <c r="CE595" s="1509"/>
      <c r="CF595" s="1509"/>
      <c r="CG595" s="1509"/>
      <c r="CH595" s="1509" t="s">
        <v>470</v>
      </c>
      <c r="CI595" s="1509"/>
      <c r="CJ595" s="1509"/>
      <c r="CK595" s="1509"/>
      <c r="CL595" s="1509"/>
      <c r="CM595" s="1509" t="s">
        <v>30</v>
      </c>
      <c r="CN595" s="1509"/>
      <c r="CO595" s="1509"/>
      <c r="CP595" s="1509"/>
      <c r="CQ595" s="1509"/>
      <c r="CR595" s="89"/>
      <c r="CS595" s="1509" t="s">
        <v>643</v>
      </c>
      <c r="CT595" s="1509"/>
      <c r="CU595" s="1509"/>
      <c r="CV595" s="1509"/>
      <c r="CW595" s="1509"/>
      <c r="CX595" s="1509" t="s">
        <v>327</v>
      </c>
      <c r="CY595" s="1509"/>
      <c r="CZ595" s="1509"/>
      <c r="DA595" s="1509"/>
      <c r="DB595" s="1509"/>
      <c r="DC595" s="1509" t="s">
        <v>164</v>
      </c>
      <c r="DD595" s="1509"/>
      <c r="DE595" s="1509"/>
      <c r="DF595" s="1509"/>
      <c r="DG595" s="1509"/>
      <c r="DH595" s="1509" t="s">
        <v>165</v>
      </c>
      <c r="DI595" s="1509"/>
      <c r="DJ595" s="1509"/>
      <c r="DK595" s="1509"/>
      <c r="DL595" s="1509"/>
      <c r="DM595" s="1509" t="s">
        <v>470</v>
      </c>
      <c r="DN595" s="1509"/>
      <c r="DO595" s="1509"/>
      <c r="DP595" s="1509"/>
      <c r="DQ595" s="1509"/>
      <c r="DR595" s="1509" t="s">
        <v>30</v>
      </c>
      <c r="DS595" s="1509"/>
      <c r="DT595" s="1509"/>
      <c r="DU595" s="1509"/>
      <c r="DV595" s="1509"/>
      <c r="DX595" s="1509" t="s">
        <v>643</v>
      </c>
      <c r="DY595" s="1509"/>
      <c r="DZ595" s="1509"/>
      <c r="EA595" s="1509"/>
      <c r="EB595" s="1509"/>
      <c r="EC595" s="1509" t="s">
        <v>327</v>
      </c>
      <c r="ED595" s="1509"/>
      <c r="EE595" s="1509"/>
      <c r="EF595" s="1509"/>
      <c r="EG595" s="1509"/>
      <c r="EH595" s="1509" t="s">
        <v>164</v>
      </c>
      <c r="EI595" s="1509"/>
      <c r="EJ595" s="1509"/>
      <c r="EK595" s="1509"/>
      <c r="EL595" s="1509"/>
      <c r="EM595" s="1509" t="s">
        <v>165</v>
      </c>
      <c r="EN595" s="1509"/>
      <c r="EO595" s="1509"/>
      <c r="EP595" s="1509"/>
      <c r="EQ595" s="1509"/>
      <c r="ER595" s="1509" t="s">
        <v>470</v>
      </c>
      <c r="ES595" s="1509"/>
      <c r="ET595" s="1509"/>
      <c r="EU595" s="1509"/>
      <c r="EV595" s="1509"/>
      <c r="EW595" s="1509" t="s">
        <v>30</v>
      </c>
      <c r="EX595" s="1509"/>
      <c r="EY595" s="1509"/>
      <c r="EZ595" s="1509"/>
      <c r="FA595" s="1509"/>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4">
        <f t="shared" ref="BG596:BG620" si="2">IF(BE596=1,G714,0)</f>
        <v>0</v>
      </c>
      <c r="BH596" s="1495"/>
      <c r="BI596" s="1420">
        <f t="shared" ref="BI596:BI620" si="3">IF(AND(AC714&lt;=0.35,AC714&gt;0),1,0)</f>
        <v>1</v>
      </c>
      <c r="BJ596" s="1421"/>
      <c r="BK596" s="1494">
        <f t="shared" ref="BK596:BK620" si="4">IF(BI596=1,G714,0)</f>
        <v>5</v>
      </c>
      <c r="BL596" s="1495"/>
      <c r="BM596" s="3"/>
      <c r="BN596" s="1505">
        <f t="shared" ref="BN596:BN620" si="5">IF(B714="SRO/Studio",G714,0)</f>
        <v>0</v>
      </c>
      <c r="BO596" s="1506"/>
      <c r="BP596" s="1506"/>
      <c r="BQ596" s="1506"/>
      <c r="BR596" s="1507"/>
      <c r="BS596" s="1396">
        <f t="shared" ref="BS596:BS620" si="6">IF(B714="1 Bedroom",G714,0)</f>
        <v>5</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4">
        <f t="shared" ref="CS596:CS620" si="11">IF(AND(B714="SRO/Studio",AC714&lt;=0.3),G714,0)</f>
        <v>0</v>
      </c>
      <c r="CT596" s="1714"/>
      <c r="CU596" s="1714"/>
      <c r="CV596" s="1714"/>
      <c r="CW596" s="1714"/>
      <c r="CX596" s="1714">
        <f t="shared" ref="CX596:CX620" si="12">IF(AND(B714="1 Bedroom",AC714&lt;=0.3),G714,0)</f>
        <v>5</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20" t="str">
        <f t="shared" ref="DX596:DX620" si="17">IF(BN596&gt;0,O714," ")</f>
        <v xml:space="preserve"> </v>
      </c>
      <c r="DY596" s="1843"/>
      <c r="DZ596" s="1843"/>
      <c r="EA596" s="1843"/>
      <c r="EB596" s="1421"/>
      <c r="EC596" s="1420">
        <f t="shared" ref="EC596:EC620" si="18">IF(BS596&gt;0,O714," ")</f>
        <v>974</v>
      </c>
      <c r="ED596" s="1843"/>
      <c r="EE596" s="1843"/>
      <c r="EF596" s="1843"/>
      <c r="EG596" s="1421"/>
      <c r="EH596" s="1420" t="str">
        <f t="shared" ref="EH596:EH620" si="19">IF(BX596&gt;0,O714," ")</f>
        <v xml:space="preserve"> </v>
      </c>
      <c r="EI596" s="1843"/>
      <c r="EJ596" s="1843"/>
      <c r="EK596" s="1843"/>
      <c r="EL596" s="1421"/>
      <c r="EM596" s="1420" t="str">
        <f t="shared" ref="EM596:EM620" si="20">IF(CC596&gt;0,O714," ")</f>
        <v xml:space="preserve"> </v>
      </c>
      <c r="EN596" s="1843"/>
      <c r="EO596" s="1843"/>
      <c r="EP596" s="1843"/>
      <c r="EQ596" s="1421"/>
      <c r="ER596" s="1420" t="str">
        <f t="shared" ref="ER596:ER620" si="21">IF(CH596&gt;0,O714," ")</f>
        <v xml:space="preserve"> </v>
      </c>
      <c r="ES596" s="1843"/>
      <c r="ET596" s="1843"/>
      <c r="EU596" s="1843"/>
      <c r="EV596" s="1421"/>
      <c r="EW596" s="1420" t="str">
        <f t="shared" ref="EW596:EW620" si="22">IF(CM596&gt;0,O714," ")</f>
        <v xml:space="preserve"> </v>
      </c>
      <c r="EX596" s="1843"/>
      <c r="EY596" s="1843"/>
      <c r="EZ596" s="1843"/>
      <c r="FA596" s="1421"/>
    </row>
    <row r="597" spans="1:157" s="4" customFormat="1" ht="12.9" customHeight="1">
      <c r="A597" s="55" t="s">
        <v>471</v>
      </c>
      <c r="B597" t="s">
        <v>473</v>
      </c>
      <c r="C597"/>
      <c r="D597"/>
      <c r="E597"/>
      <c r="F597"/>
      <c r="G597" s="1510" t="str">
        <f>C558</f>
        <v>City of Belmont Loan</v>
      </c>
      <c r="H597" s="1510"/>
      <c r="I597" s="1510"/>
      <c r="J597" s="1510"/>
      <c r="K597" s="1510"/>
      <c r="L597" s="1510"/>
      <c r="M597" s="1510"/>
      <c r="N597" s="1510"/>
      <c r="O597" s="1510"/>
      <c r="P597" s="1510"/>
      <c r="Q597" s="1510"/>
      <c r="R597" s="1510"/>
      <c r="S597"/>
      <c r="T597" s="55" t="s">
        <v>656</v>
      </c>
      <c r="U597" t="s">
        <v>473</v>
      </c>
      <c r="V597"/>
      <c r="W597"/>
      <c r="X597"/>
      <c r="Y597"/>
      <c r="Z597" s="1510">
        <f>C559</f>
        <v>0</v>
      </c>
      <c r="AA597" s="1510"/>
      <c r="AB597" s="1510"/>
      <c r="AC597" s="1510"/>
      <c r="AD597" s="1510"/>
      <c r="AE597" s="1510"/>
      <c r="AF597" s="1510"/>
      <c r="AG597" s="1510"/>
      <c r="AH597" s="1510"/>
      <c r="AI597" s="1510"/>
      <c r="AJ597" s="1510"/>
      <c r="AK597" s="1510"/>
      <c r="AL597"/>
      <c r="AM597"/>
      <c r="AN597"/>
      <c r="AO597"/>
      <c r="AP597"/>
      <c r="AQ597"/>
      <c r="AR597"/>
      <c r="AS597"/>
      <c r="AT597"/>
      <c r="AU597"/>
      <c r="AV597"/>
      <c r="AW597"/>
      <c r="AX597"/>
      <c r="AY597"/>
      <c r="BA597" s="4" t="s">
        <v>164</v>
      </c>
      <c r="BB597" s="3"/>
      <c r="BC597" s="3"/>
      <c r="BD597" s="3"/>
      <c r="BE597" s="1420">
        <f t="shared" si="1"/>
        <v>1</v>
      </c>
      <c r="BF597" s="1421"/>
      <c r="BG597" s="1494">
        <f t="shared" si="2"/>
        <v>14</v>
      </c>
      <c r="BH597" s="1495"/>
      <c r="BI597" s="1420">
        <f t="shared" si="3"/>
        <v>0</v>
      </c>
      <c r="BJ597" s="1421"/>
      <c r="BK597" s="1494">
        <f t="shared" si="4"/>
        <v>0</v>
      </c>
      <c r="BL597" s="1495"/>
      <c r="BM597" s="3"/>
      <c r="BN597" s="1505">
        <f t="shared" si="5"/>
        <v>0</v>
      </c>
      <c r="BO597" s="1506"/>
      <c r="BP597" s="1506"/>
      <c r="BQ597" s="1506"/>
      <c r="BR597" s="1507"/>
      <c r="BS597" s="1396">
        <f t="shared" si="6"/>
        <v>14</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20" t="str">
        <f t="shared" si="17"/>
        <v xml:space="preserve"> </v>
      </c>
      <c r="DY597" s="1843"/>
      <c r="DZ597" s="1843"/>
      <c r="EA597" s="1843"/>
      <c r="EB597" s="1421"/>
      <c r="EC597" s="1420">
        <f t="shared" si="18"/>
        <v>1673</v>
      </c>
      <c r="ED597" s="1843"/>
      <c r="EE597" s="1843"/>
      <c r="EF597" s="1843"/>
      <c r="EG597" s="1421"/>
      <c r="EH597" s="1420" t="str">
        <f t="shared" si="19"/>
        <v xml:space="preserve"> </v>
      </c>
      <c r="EI597" s="1843"/>
      <c r="EJ597" s="1843"/>
      <c r="EK597" s="1843"/>
      <c r="EL597" s="1421"/>
      <c r="EM597" s="1420" t="str">
        <f t="shared" si="20"/>
        <v xml:space="preserve"> </v>
      </c>
      <c r="EN597" s="1843"/>
      <c r="EO597" s="1843"/>
      <c r="EP597" s="1843"/>
      <c r="EQ597" s="1421"/>
      <c r="ER597" s="1420" t="str">
        <f t="shared" si="21"/>
        <v xml:space="preserve"> </v>
      </c>
      <c r="ES597" s="1843"/>
      <c r="ET597" s="1843"/>
      <c r="EU597" s="1843"/>
      <c r="EV597" s="1421"/>
      <c r="EW597" s="1420" t="str">
        <f t="shared" si="22"/>
        <v xml:space="preserve"> </v>
      </c>
      <c r="EX597" s="1843"/>
      <c r="EY597" s="1843"/>
      <c r="EZ597" s="1843"/>
      <c r="FA597" s="1421"/>
    </row>
    <row r="598" spans="1:157" ht="12.9" customHeight="1">
      <c r="A598" s="22"/>
      <c r="B598" t="s">
        <v>86</v>
      </c>
      <c r="G598" s="1395" t="s">
        <v>2741</v>
      </c>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0">
        <f t="shared" si="1"/>
        <v>1</v>
      </c>
      <c r="BF598" s="1421"/>
      <c r="BG598" s="1494">
        <f t="shared" si="2"/>
        <v>19</v>
      </c>
      <c r="BH598" s="1495"/>
      <c r="BI598" s="1420">
        <f t="shared" si="3"/>
        <v>0</v>
      </c>
      <c r="BJ598" s="1421"/>
      <c r="BK598" s="1494">
        <f t="shared" si="4"/>
        <v>0</v>
      </c>
      <c r="BL598" s="1495"/>
      <c r="BM598" s="3"/>
      <c r="BN598" s="1505">
        <f t="shared" si="5"/>
        <v>0</v>
      </c>
      <c r="BO598" s="1506"/>
      <c r="BP598" s="1506"/>
      <c r="BQ598" s="1506"/>
      <c r="BR598" s="1507"/>
      <c r="BS598" s="1396">
        <f t="shared" si="6"/>
        <v>19</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4">
        <f t="shared" si="11"/>
        <v>0</v>
      </c>
      <c r="CT598" s="1714"/>
      <c r="CU598" s="1714"/>
      <c r="CV598" s="1714"/>
      <c r="CW598" s="1714"/>
      <c r="CX598" s="1714">
        <f t="shared" si="12"/>
        <v>0</v>
      </c>
      <c r="CY598" s="1714"/>
      <c r="CZ598" s="1714"/>
      <c r="DA598" s="1714"/>
      <c r="DB598" s="1714"/>
      <c r="DC598" s="1714">
        <f t="shared" si="13"/>
        <v>0</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20" t="str">
        <f t="shared" si="17"/>
        <v xml:space="preserve"> </v>
      </c>
      <c r="DY598" s="1843"/>
      <c r="DZ598" s="1843"/>
      <c r="EA598" s="1843"/>
      <c r="EB598" s="1421"/>
      <c r="EC598" s="1420">
        <f t="shared" si="18"/>
        <v>1673</v>
      </c>
      <c r="ED598" s="1843"/>
      <c r="EE598" s="1843"/>
      <c r="EF598" s="1843"/>
      <c r="EG598" s="1421"/>
      <c r="EH598" s="1420" t="str">
        <f t="shared" si="19"/>
        <v xml:space="preserve"> </v>
      </c>
      <c r="EI598" s="1843"/>
      <c r="EJ598" s="1843"/>
      <c r="EK598" s="1843"/>
      <c r="EL598" s="1421"/>
      <c r="EM598" s="1420" t="str">
        <f t="shared" si="20"/>
        <v xml:space="preserve"> </v>
      </c>
      <c r="EN598" s="1843"/>
      <c r="EO598" s="1843"/>
      <c r="EP598" s="1843"/>
      <c r="EQ598" s="1421"/>
      <c r="ER598" s="1420" t="str">
        <f t="shared" si="21"/>
        <v xml:space="preserve"> </v>
      </c>
      <c r="ES598" s="1843"/>
      <c r="ET598" s="1843"/>
      <c r="EU598" s="1843"/>
      <c r="EV598" s="1421"/>
      <c r="EW598" s="1420" t="str">
        <f t="shared" si="22"/>
        <v xml:space="preserve"> </v>
      </c>
      <c r="EX598" s="1843"/>
      <c r="EY598" s="1843"/>
      <c r="EZ598" s="1843"/>
      <c r="FA598" s="1421"/>
    </row>
    <row r="599" spans="1:157" ht="12.9" customHeight="1">
      <c r="A599" s="22"/>
      <c r="B599" t="s">
        <v>590</v>
      </c>
      <c r="G599" s="1395" t="s">
        <v>2713</v>
      </c>
      <c r="H599" s="1395"/>
      <c r="I599" s="1395"/>
      <c r="J599" s="1395"/>
      <c r="K599" s="1395"/>
      <c r="L599" s="1395"/>
      <c r="M599" s="1395"/>
      <c r="N599" s="1395"/>
      <c r="O599" s="1395"/>
      <c r="P599" s="1395"/>
      <c r="Q599" s="1395"/>
      <c r="R599" s="1395"/>
      <c r="T599" s="22"/>
      <c r="U599" t="s">
        <v>590</v>
      </c>
      <c r="Z599" s="1367"/>
      <c r="AA599" s="1367"/>
      <c r="AB599" s="1367"/>
      <c r="AC599" s="1367"/>
      <c r="AD599" s="1367"/>
      <c r="AE599" s="1367"/>
      <c r="AF599" s="1367"/>
      <c r="AG599" s="1367"/>
      <c r="AH599" s="1367"/>
      <c r="AI599" s="1367"/>
      <c r="AJ599" s="1367"/>
      <c r="AK599" s="1367"/>
      <c r="BA599" s="4" t="s">
        <v>166</v>
      </c>
      <c r="BB599" s="3"/>
      <c r="BC599" s="3"/>
      <c r="BD599" s="3"/>
      <c r="BE599" s="1420">
        <f t="shared" si="1"/>
        <v>0</v>
      </c>
      <c r="BF599" s="1421"/>
      <c r="BG599" s="1494">
        <f t="shared" si="2"/>
        <v>0</v>
      </c>
      <c r="BH599" s="1495"/>
      <c r="BI599" s="1420">
        <f t="shared" si="3"/>
        <v>0</v>
      </c>
      <c r="BJ599" s="1421"/>
      <c r="BK599" s="1494">
        <f t="shared" si="4"/>
        <v>0</v>
      </c>
      <c r="BL599" s="1495"/>
      <c r="BM599" s="3"/>
      <c r="BN599" s="1505">
        <f t="shared" si="5"/>
        <v>0</v>
      </c>
      <c r="BO599" s="1506"/>
      <c r="BP599" s="1506"/>
      <c r="BQ599" s="1506"/>
      <c r="BR599" s="1507"/>
      <c r="BS599" s="1396">
        <f t="shared" si="6"/>
        <v>4</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14">
        <f t="shared" si="11"/>
        <v>0</v>
      </c>
      <c r="CT599" s="1714"/>
      <c r="CU599" s="1714"/>
      <c r="CV599" s="1714"/>
      <c r="CW599" s="1714"/>
      <c r="CX599" s="1714">
        <f t="shared" si="12"/>
        <v>0</v>
      </c>
      <c r="CY599" s="1714"/>
      <c r="CZ599" s="1714"/>
      <c r="DA599" s="1714"/>
      <c r="DB599" s="1714"/>
      <c r="DC599" s="1714">
        <f t="shared" si="13"/>
        <v>0</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20" t="str">
        <f t="shared" si="17"/>
        <v xml:space="preserve"> </v>
      </c>
      <c r="DY599" s="1843"/>
      <c r="DZ599" s="1843"/>
      <c r="EA599" s="1843"/>
      <c r="EB599" s="1421"/>
      <c r="EC599" s="1420">
        <f t="shared" si="18"/>
        <v>2023</v>
      </c>
      <c r="ED599" s="1843"/>
      <c r="EE599" s="1843"/>
      <c r="EF599" s="1843"/>
      <c r="EG599" s="1421"/>
      <c r="EH599" s="1420" t="str">
        <f t="shared" si="19"/>
        <v xml:space="preserve"> </v>
      </c>
      <c r="EI599" s="1843"/>
      <c r="EJ599" s="1843"/>
      <c r="EK599" s="1843"/>
      <c r="EL599" s="1421"/>
      <c r="EM599" s="1420" t="str">
        <f t="shared" si="20"/>
        <v xml:space="preserve"> </v>
      </c>
      <c r="EN599" s="1843"/>
      <c r="EO599" s="1843"/>
      <c r="EP599" s="1843"/>
      <c r="EQ599" s="1421"/>
      <c r="ER599" s="1420" t="str">
        <f t="shared" si="21"/>
        <v xml:space="preserve"> </v>
      </c>
      <c r="ES599" s="1843"/>
      <c r="ET599" s="1843"/>
      <c r="EU599" s="1843"/>
      <c r="EV599" s="1421"/>
      <c r="EW599" s="1420" t="str">
        <f t="shared" si="22"/>
        <v xml:space="preserve"> </v>
      </c>
      <c r="EX599" s="1843"/>
      <c r="EY599" s="1843"/>
      <c r="EZ599" s="1843"/>
      <c r="FA599" s="1421"/>
    </row>
    <row r="600" spans="1:157" ht="12.9" customHeight="1">
      <c r="A600" s="22"/>
      <c r="B600" t="s">
        <v>17</v>
      </c>
      <c r="G600" s="1395" t="s">
        <v>2742</v>
      </c>
      <c r="H600" s="1395"/>
      <c r="I600" s="1395"/>
      <c r="J600" s="1395"/>
      <c r="K600" s="1395"/>
      <c r="L600" s="1395"/>
      <c r="M600" s="1395"/>
      <c r="N600" s="1395"/>
      <c r="O600" s="1395"/>
      <c r="P600" s="1395"/>
      <c r="Q600" s="1395"/>
      <c r="R600" s="1395"/>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0">
        <f t="shared" si="1"/>
        <v>0</v>
      </c>
      <c r="BF600" s="1421"/>
      <c r="BG600" s="1494">
        <f t="shared" si="2"/>
        <v>0</v>
      </c>
      <c r="BH600" s="1495"/>
      <c r="BI600" s="1420">
        <f t="shared" si="3"/>
        <v>0</v>
      </c>
      <c r="BJ600" s="1421"/>
      <c r="BK600" s="1494">
        <f t="shared" si="4"/>
        <v>0</v>
      </c>
      <c r="BL600" s="1495"/>
      <c r="BM600" s="3"/>
      <c r="BN600" s="1505">
        <f t="shared" si="5"/>
        <v>0</v>
      </c>
      <c r="BO600" s="1506"/>
      <c r="BP600" s="1506"/>
      <c r="BQ600" s="1506"/>
      <c r="BR600" s="1507"/>
      <c r="BS600" s="1396">
        <f t="shared" si="6"/>
        <v>10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20" t="str">
        <f t="shared" si="17"/>
        <v xml:space="preserve"> </v>
      </c>
      <c r="DY600" s="1843"/>
      <c r="DZ600" s="1843"/>
      <c r="EA600" s="1843"/>
      <c r="EB600" s="1421"/>
      <c r="EC600" s="1420">
        <f t="shared" si="18"/>
        <v>2372</v>
      </c>
      <c r="ED600" s="1843"/>
      <c r="EE600" s="1843"/>
      <c r="EF600" s="1843"/>
      <c r="EG600" s="1421"/>
      <c r="EH600" s="1420" t="str">
        <f t="shared" si="19"/>
        <v xml:space="preserve"> </v>
      </c>
      <c r="EI600" s="1843"/>
      <c r="EJ600" s="1843"/>
      <c r="EK600" s="1843"/>
      <c r="EL600" s="1421"/>
      <c r="EM600" s="1420" t="str">
        <f t="shared" si="20"/>
        <v xml:space="preserve"> </v>
      </c>
      <c r="EN600" s="1843"/>
      <c r="EO600" s="1843"/>
      <c r="EP600" s="1843"/>
      <c r="EQ600" s="1421"/>
      <c r="ER600" s="1420" t="str">
        <f t="shared" si="21"/>
        <v xml:space="preserve"> </v>
      </c>
      <c r="ES600" s="1843"/>
      <c r="ET600" s="1843"/>
      <c r="EU600" s="1843"/>
      <c r="EV600" s="1421"/>
      <c r="EW600" s="1420" t="str">
        <f t="shared" si="22"/>
        <v xml:space="preserve"> </v>
      </c>
      <c r="EX600" s="1843"/>
      <c r="EY600" s="1843"/>
      <c r="EZ600" s="1843"/>
      <c r="FA600" s="1421"/>
    </row>
    <row r="601" spans="1:157" ht="12.9" customHeight="1">
      <c r="A601" s="22"/>
      <c r="B601" t="s">
        <v>318</v>
      </c>
      <c r="G601" s="1471" t="s">
        <v>2745</v>
      </c>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20">
        <f t="shared" si="1"/>
        <v>0</v>
      </c>
      <c r="BF601" s="1421"/>
      <c r="BG601" s="1494">
        <f t="shared" si="2"/>
        <v>0</v>
      </c>
      <c r="BH601" s="1495"/>
      <c r="BI601" s="1420">
        <f t="shared" si="3"/>
        <v>1</v>
      </c>
      <c r="BJ601" s="1421"/>
      <c r="BK601" s="1494">
        <f t="shared" si="4"/>
        <v>13</v>
      </c>
      <c r="BL601" s="1495"/>
      <c r="BM601" s="3"/>
      <c r="BN601" s="1505">
        <f t="shared" si="5"/>
        <v>0</v>
      </c>
      <c r="BO601" s="1506"/>
      <c r="BP601" s="1506"/>
      <c r="BQ601" s="1506"/>
      <c r="BR601" s="1507"/>
      <c r="BS601" s="1396">
        <f t="shared" si="6"/>
        <v>0</v>
      </c>
      <c r="BT601" s="1396"/>
      <c r="BU601" s="1396"/>
      <c r="BV601" s="1396"/>
      <c r="BW601" s="1396"/>
      <c r="BX601" s="1396">
        <f t="shared" si="7"/>
        <v>13</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4">
        <f t="shared" si="11"/>
        <v>0</v>
      </c>
      <c r="CT601" s="1714"/>
      <c r="CU601" s="1714"/>
      <c r="CV601" s="1714"/>
      <c r="CW601" s="1714"/>
      <c r="CX601" s="1714">
        <f t="shared" si="12"/>
        <v>0</v>
      </c>
      <c r="CY601" s="1714"/>
      <c r="CZ601" s="1714"/>
      <c r="DA601" s="1714"/>
      <c r="DB601" s="1714"/>
      <c r="DC601" s="1714">
        <f t="shared" si="13"/>
        <v>13</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20" t="str">
        <f t="shared" si="17"/>
        <v xml:space="preserve"> </v>
      </c>
      <c r="DY601" s="1843"/>
      <c r="DZ601" s="1843"/>
      <c r="EA601" s="1843"/>
      <c r="EB601" s="1421"/>
      <c r="EC601" s="1420" t="str">
        <f t="shared" si="18"/>
        <v xml:space="preserve"> </v>
      </c>
      <c r="ED601" s="1843"/>
      <c r="EE601" s="1843"/>
      <c r="EF601" s="1843"/>
      <c r="EG601" s="1421"/>
      <c r="EH601" s="1420">
        <f t="shared" si="19"/>
        <v>1156</v>
      </c>
      <c r="EI601" s="1843"/>
      <c r="EJ601" s="1843"/>
      <c r="EK601" s="1843"/>
      <c r="EL601" s="1421"/>
      <c r="EM601" s="1420" t="str">
        <f t="shared" si="20"/>
        <v xml:space="preserve"> </v>
      </c>
      <c r="EN601" s="1843"/>
      <c r="EO601" s="1843"/>
      <c r="EP601" s="1843"/>
      <c r="EQ601" s="1421"/>
      <c r="ER601" s="1420" t="str">
        <f t="shared" si="21"/>
        <v xml:space="preserve"> </v>
      </c>
      <c r="ES601" s="1843"/>
      <c r="ET601" s="1843"/>
      <c r="EU601" s="1843"/>
      <c r="EV601" s="1421"/>
      <c r="EW601" s="1420" t="str">
        <f t="shared" si="22"/>
        <v xml:space="preserve"> </v>
      </c>
      <c r="EX601" s="1843"/>
      <c r="EY601" s="1843"/>
      <c r="EZ601" s="1843"/>
      <c r="FA601" s="1421"/>
    </row>
    <row r="602" spans="1:157" ht="12.9" customHeight="1">
      <c r="A602" s="22"/>
      <c r="B602" t="s">
        <v>18</v>
      </c>
      <c r="H602" s="1395" t="s">
        <v>2746</v>
      </c>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0">
        <f t="shared" si="1"/>
        <v>1</v>
      </c>
      <c r="BF602" s="1421"/>
      <c r="BG602" s="1494">
        <f t="shared" si="2"/>
        <v>1</v>
      </c>
      <c r="BH602" s="1495"/>
      <c r="BI602" s="1420">
        <f t="shared" si="3"/>
        <v>0</v>
      </c>
      <c r="BJ602" s="1421"/>
      <c r="BK602" s="1494">
        <f t="shared" si="4"/>
        <v>0</v>
      </c>
      <c r="BL602" s="1495"/>
      <c r="BM602" s="3"/>
      <c r="BN602" s="1505">
        <f t="shared" si="5"/>
        <v>0</v>
      </c>
      <c r="BO602" s="1506"/>
      <c r="BP602" s="1506"/>
      <c r="BQ602" s="1506"/>
      <c r="BR602" s="1507"/>
      <c r="BS602" s="1396">
        <f t="shared" si="6"/>
        <v>0</v>
      </c>
      <c r="BT602" s="1396"/>
      <c r="BU602" s="1396"/>
      <c r="BV602" s="1396"/>
      <c r="BW602" s="1396"/>
      <c r="BX602" s="1396">
        <f t="shared" si="7"/>
        <v>1</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20" t="str">
        <f t="shared" si="17"/>
        <v xml:space="preserve"> </v>
      </c>
      <c r="DY602" s="1843"/>
      <c r="DZ602" s="1843"/>
      <c r="EA602" s="1843"/>
      <c r="EB602" s="1421"/>
      <c r="EC602" s="1420" t="str">
        <f t="shared" si="18"/>
        <v xml:space="preserve"> </v>
      </c>
      <c r="ED602" s="1843"/>
      <c r="EE602" s="1843"/>
      <c r="EF602" s="1843"/>
      <c r="EG602" s="1421"/>
      <c r="EH602" s="1420">
        <f t="shared" si="19"/>
        <v>1995</v>
      </c>
      <c r="EI602" s="1843"/>
      <c r="EJ602" s="1843"/>
      <c r="EK602" s="1843"/>
      <c r="EL602" s="1421"/>
      <c r="EM602" s="1420" t="str">
        <f t="shared" si="20"/>
        <v xml:space="preserve"> </v>
      </c>
      <c r="EN602" s="1843"/>
      <c r="EO602" s="1843"/>
      <c r="EP602" s="1843"/>
      <c r="EQ602" s="1421"/>
      <c r="ER602" s="1420" t="str">
        <f t="shared" si="21"/>
        <v xml:space="preserve"> </v>
      </c>
      <c r="ES602" s="1843"/>
      <c r="ET602" s="1843"/>
      <c r="EU602" s="1843"/>
      <c r="EV602" s="1421"/>
      <c r="EW602" s="1420" t="str">
        <f t="shared" si="22"/>
        <v xml:space="preserve"> </v>
      </c>
      <c r="EX602" s="1843"/>
      <c r="EY602" s="1843"/>
      <c r="EZ602" s="1843"/>
      <c r="FA602" s="1421"/>
    </row>
    <row r="603" spans="1:157" ht="12.9" customHeight="1">
      <c r="A603" s="22"/>
      <c r="B603" t="s">
        <v>20</v>
      </c>
      <c r="N603" s="1374" t="s">
        <v>555</v>
      </c>
      <c r="O603" s="1374"/>
      <c r="T603" s="22"/>
      <c r="U603" t="s">
        <v>20</v>
      </c>
      <c r="AG603" s="1374" t="s">
        <v>679</v>
      </c>
      <c r="AH603" s="1374"/>
      <c r="AZ603" s="3"/>
      <c r="BA603" s="3"/>
      <c r="BB603" s="3"/>
      <c r="BC603" s="3"/>
      <c r="BD603" s="3"/>
      <c r="BE603" s="1420">
        <f t="shared" si="1"/>
        <v>1</v>
      </c>
      <c r="BF603" s="1421"/>
      <c r="BG603" s="1494">
        <f t="shared" si="2"/>
        <v>6</v>
      </c>
      <c r="BH603" s="1495"/>
      <c r="BI603" s="1420">
        <f t="shared" si="3"/>
        <v>0</v>
      </c>
      <c r="BJ603" s="1421"/>
      <c r="BK603" s="1494">
        <f t="shared" si="4"/>
        <v>0</v>
      </c>
      <c r="BL603" s="1495"/>
      <c r="BM603" s="3"/>
      <c r="BN603" s="1505">
        <f t="shared" si="5"/>
        <v>0</v>
      </c>
      <c r="BO603" s="1506"/>
      <c r="BP603" s="1506"/>
      <c r="BQ603" s="1506"/>
      <c r="BR603" s="1507"/>
      <c r="BS603" s="1396">
        <f t="shared" si="6"/>
        <v>0</v>
      </c>
      <c r="BT603" s="1396"/>
      <c r="BU603" s="1396"/>
      <c r="BV603" s="1396"/>
      <c r="BW603" s="1396"/>
      <c r="BX603" s="1396">
        <f t="shared" si="7"/>
        <v>6</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20" t="str">
        <f t="shared" si="17"/>
        <v xml:space="preserve"> </v>
      </c>
      <c r="DY603" s="1843"/>
      <c r="DZ603" s="1843"/>
      <c r="EA603" s="1843"/>
      <c r="EB603" s="1421"/>
      <c r="EC603" s="1420" t="str">
        <f t="shared" si="18"/>
        <v xml:space="preserve"> </v>
      </c>
      <c r="ED603" s="1843"/>
      <c r="EE603" s="1843"/>
      <c r="EF603" s="1843"/>
      <c r="EG603" s="1421"/>
      <c r="EH603" s="1420">
        <f t="shared" si="19"/>
        <v>1995</v>
      </c>
      <c r="EI603" s="1843"/>
      <c r="EJ603" s="1843"/>
      <c r="EK603" s="1843"/>
      <c r="EL603" s="1421"/>
      <c r="EM603" s="1420" t="str">
        <f t="shared" si="20"/>
        <v xml:space="preserve"> </v>
      </c>
      <c r="EN603" s="1843"/>
      <c r="EO603" s="1843"/>
      <c r="EP603" s="1843"/>
      <c r="EQ603" s="1421"/>
      <c r="ER603" s="1420" t="str">
        <f t="shared" si="21"/>
        <v xml:space="preserve"> </v>
      </c>
      <c r="ES603" s="1843"/>
      <c r="ET603" s="1843"/>
      <c r="EU603" s="1843"/>
      <c r="EV603" s="1421"/>
      <c r="EW603" s="1420" t="str">
        <f t="shared" si="22"/>
        <v xml:space="preserve"> </v>
      </c>
      <c r="EX603" s="1843"/>
      <c r="EY603" s="1843"/>
      <c r="EZ603" s="1843"/>
      <c r="FA603" s="1421"/>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4">
        <f t="shared" si="2"/>
        <v>0</v>
      </c>
      <c r="BH604" s="1495"/>
      <c r="BI604" s="1420">
        <f t="shared" si="3"/>
        <v>0</v>
      </c>
      <c r="BJ604" s="1421"/>
      <c r="BK604" s="1494">
        <f t="shared" si="4"/>
        <v>0</v>
      </c>
      <c r="BL604" s="1495"/>
      <c r="BM604" s="3"/>
      <c r="BN604" s="1505">
        <f t="shared" si="5"/>
        <v>0</v>
      </c>
      <c r="BO604" s="1506"/>
      <c r="BP604" s="1506"/>
      <c r="BQ604" s="1506"/>
      <c r="BR604" s="1507"/>
      <c r="BS604" s="1396">
        <f t="shared" si="6"/>
        <v>0</v>
      </c>
      <c r="BT604" s="1396"/>
      <c r="BU604" s="1396"/>
      <c r="BV604" s="1396"/>
      <c r="BW604" s="1396"/>
      <c r="BX604" s="1396">
        <f t="shared" si="7"/>
        <v>5</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20" t="str">
        <f t="shared" si="17"/>
        <v xml:space="preserve"> </v>
      </c>
      <c r="DY604" s="1843"/>
      <c r="DZ604" s="1843"/>
      <c r="EA604" s="1843"/>
      <c r="EB604" s="1421"/>
      <c r="EC604" s="1420" t="str">
        <f t="shared" si="18"/>
        <v xml:space="preserve"> </v>
      </c>
      <c r="ED604" s="1843"/>
      <c r="EE604" s="1843"/>
      <c r="EF604" s="1843"/>
      <c r="EG604" s="1421"/>
      <c r="EH604" s="1420">
        <f t="shared" si="19"/>
        <v>2414</v>
      </c>
      <c r="EI604" s="1843"/>
      <c r="EJ604" s="1843"/>
      <c r="EK604" s="1843"/>
      <c r="EL604" s="1421"/>
      <c r="EM604" s="1420" t="str">
        <f t="shared" si="20"/>
        <v xml:space="preserve"> </v>
      </c>
      <c r="EN604" s="1843"/>
      <c r="EO604" s="1843"/>
      <c r="EP604" s="1843"/>
      <c r="EQ604" s="1421"/>
      <c r="ER604" s="1420" t="str">
        <f t="shared" si="21"/>
        <v xml:space="preserve"> </v>
      </c>
      <c r="ES604" s="1843"/>
      <c r="ET604" s="1843"/>
      <c r="EU604" s="1843"/>
      <c r="EV604" s="1421"/>
      <c r="EW604" s="1420" t="str">
        <f t="shared" si="22"/>
        <v xml:space="preserve"> </v>
      </c>
      <c r="EX604" s="1843"/>
      <c r="EY604" s="1843"/>
      <c r="EZ604" s="1843"/>
      <c r="FA604" s="1421"/>
    </row>
    <row r="605" spans="1:157" s="4" customFormat="1" ht="12.9" customHeight="1">
      <c r="A605" s="55" t="s">
        <v>364</v>
      </c>
      <c r="B605" t="s">
        <v>473</v>
      </c>
      <c r="C605"/>
      <c r="D605"/>
      <c r="E605"/>
      <c r="F605"/>
      <c r="G605" s="1510">
        <f>C560</f>
        <v>0</v>
      </c>
      <c r="H605" s="1510"/>
      <c r="I605" s="1510"/>
      <c r="J605" s="1510"/>
      <c r="K605" s="1510"/>
      <c r="L605" s="1510"/>
      <c r="M605" s="1510"/>
      <c r="N605" s="1510"/>
      <c r="O605" s="1510"/>
      <c r="P605" s="1510"/>
      <c r="Q605" s="1510"/>
      <c r="R605" s="1510"/>
      <c r="S605"/>
      <c r="T605" s="55" t="s">
        <v>365</v>
      </c>
      <c r="U605" t="s">
        <v>473</v>
      </c>
      <c r="V605"/>
      <c r="W605"/>
      <c r="X605"/>
      <c r="Y605"/>
      <c r="Z605" s="1510">
        <f>C561</f>
        <v>0</v>
      </c>
      <c r="AA605" s="1510"/>
      <c r="AB605" s="1510"/>
      <c r="AC605" s="1510"/>
      <c r="AD605" s="1510"/>
      <c r="AE605" s="1510"/>
      <c r="AF605" s="1510"/>
      <c r="AG605" s="1510"/>
      <c r="AH605" s="1510"/>
      <c r="AI605" s="1510"/>
      <c r="AJ605" s="1510"/>
      <c r="AK605" s="1510"/>
      <c r="AL605"/>
      <c r="AM605"/>
      <c r="AN605"/>
      <c r="AO605"/>
      <c r="AP605"/>
      <c r="AQ605"/>
      <c r="AR605"/>
      <c r="AS605"/>
      <c r="AT605"/>
      <c r="AU605"/>
      <c r="AV605"/>
      <c r="AW605"/>
      <c r="AX605"/>
      <c r="AY605"/>
      <c r="AZ605" s="3"/>
      <c r="BA605" s="3"/>
      <c r="BB605" s="3"/>
      <c r="BC605" s="3"/>
      <c r="BD605" s="3"/>
      <c r="BE605" s="1420">
        <f t="shared" si="1"/>
        <v>0</v>
      </c>
      <c r="BF605" s="1421"/>
      <c r="BG605" s="1494">
        <f t="shared" si="2"/>
        <v>0</v>
      </c>
      <c r="BH605" s="1495"/>
      <c r="BI605" s="1420">
        <f t="shared" si="3"/>
        <v>0</v>
      </c>
      <c r="BJ605" s="1421"/>
      <c r="BK605" s="1494">
        <f t="shared" si="4"/>
        <v>0</v>
      </c>
      <c r="BL605" s="1495"/>
      <c r="BM605" s="3"/>
      <c r="BN605" s="1505">
        <f t="shared" si="5"/>
        <v>0</v>
      </c>
      <c r="BO605" s="1506"/>
      <c r="BP605" s="1506"/>
      <c r="BQ605" s="1506"/>
      <c r="BR605" s="1507"/>
      <c r="BS605" s="1396">
        <f t="shared" si="6"/>
        <v>0</v>
      </c>
      <c r="BT605" s="1396"/>
      <c r="BU605" s="1396"/>
      <c r="BV605" s="1396"/>
      <c r="BW605" s="1396"/>
      <c r="BX605" s="1396">
        <f t="shared" si="7"/>
        <v>15</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20" t="str">
        <f t="shared" si="17"/>
        <v xml:space="preserve"> </v>
      </c>
      <c r="DY605" s="1843"/>
      <c r="DZ605" s="1843"/>
      <c r="EA605" s="1843"/>
      <c r="EB605" s="1421"/>
      <c r="EC605" s="1420" t="str">
        <f t="shared" si="18"/>
        <v xml:space="preserve"> </v>
      </c>
      <c r="ED605" s="1843"/>
      <c r="EE605" s="1843"/>
      <c r="EF605" s="1843"/>
      <c r="EG605" s="1421"/>
      <c r="EH605" s="1420">
        <f t="shared" si="19"/>
        <v>2834</v>
      </c>
      <c r="EI605" s="1843"/>
      <c r="EJ605" s="1843"/>
      <c r="EK605" s="1843"/>
      <c r="EL605" s="1421"/>
      <c r="EM605" s="1420" t="str">
        <f t="shared" si="20"/>
        <v xml:space="preserve"> </v>
      </c>
      <c r="EN605" s="1843"/>
      <c r="EO605" s="1843"/>
      <c r="EP605" s="1843"/>
      <c r="EQ605" s="1421"/>
      <c r="ER605" s="1420" t="str">
        <f t="shared" si="21"/>
        <v xml:space="preserve"> </v>
      </c>
      <c r="ES605" s="1843"/>
      <c r="ET605" s="1843"/>
      <c r="EU605" s="1843"/>
      <c r="EV605" s="1421"/>
      <c r="EW605" s="1420" t="str">
        <f t="shared" si="22"/>
        <v xml:space="preserve"> </v>
      </c>
      <c r="EX605" s="1843"/>
      <c r="EY605" s="1843"/>
      <c r="EZ605" s="1843"/>
      <c r="FA605" s="1421"/>
    </row>
    <row r="606" spans="1:157" s="4" customFormat="1" ht="12.9"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0">
        <f t="shared" si="1"/>
        <v>0</v>
      </c>
      <c r="BF606" s="1421"/>
      <c r="BG606" s="1494">
        <f t="shared" si="2"/>
        <v>0</v>
      </c>
      <c r="BH606" s="1495"/>
      <c r="BI606" s="1420">
        <f t="shared" si="3"/>
        <v>1</v>
      </c>
      <c r="BJ606" s="1421"/>
      <c r="BK606" s="1494">
        <f t="shared" si="4"/>
        <v>29</v>
      </c>
      <c r="BL606" s="1495"/>
      <c r="BM606" s="3"/>
      <c r="BN606" s="1505">
        <f t="shared" si="5"/>
        <v>0</v>
      </c>
      <c r="BO606" s="1506"/>
      <c r="BP606" s="1506"/>
      <c r="BQ606" s="1506"/>
      <c r="BR606" s="1507"/>
      <c r="BS606" s="1396">
        <f t="shared" si="6"/>
        <v>0</v>
      </c>
      <c r="BT606" s="1396"/>
      <c r="BU606" s="1396"/>
      <c r="BV606" s="1396"/>
      <c r="BW606" s="1396"/>
      <c r="BX606" s="1396">
        <f t="shared" si="7"/>
        <v>0</v>
      </c>
      <c r="BY606" s="1396"/>
      <c r="BZ606" s="1396"/>
      <c r="CA606" s="1396"/>
      <c r="CB606" s="1396"/>
      <c r="CC606" s="1396">
        <f t="shared" si="8"/>
        <v>29</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29</v>
      </c>
      <c r="DI606" s="1714"/>
      <c r="DJ606" s="1714"/>
      <c r="DK606" s="1714"/>
      <c r="DL606" s="1714"/>
      <c r="DM606" s="1714">
        <f t="shared" si="15"/>
        <v>0</v>
      </c>
      <c r="DN606" s="1714"/>
      <c r="DO606" s="1714"/>
      <c r="DP606" s="1714"/>
      <c r="DQ606" s="1714"/>
      <c r="DR606" s="1714">
        <f t="shared" si="16"/>
        <v>0</v>
      </c>
      <c r="DS606" s="1714"/>
      <c r="DT606" s="1714"/>
      <c r="DU606" s="1714"/>
      <c r="DV606" s="1714"/>
      <c r="DX606" s="1420" t="str">
        <f t="shared" si="17"/>
        <v xml:space="preserve"> </v>
      </c>
      <c r="DY606" s="1843"/>
      <c r="DZ606" s="1843"/>
      <c r="EA606" s="1843"/>
      <c r="EB606" s="1421"/>
      <c r="EC606" s="1420" t="str">
        <f t="shared" si="18"/>
        <v xml:space="preserve"> </v>
      </c>
      <c r="ED606" s="1843"/>
      <c r="EE606" s="1843"/>
      <c r="EF606" s="1843"/>
      <c r="EG606" s="1421"/>
      <c r="EH606" s="1420" t="str">
        <f t="shared" si="19"/>
        <v xml:space="preserve"> </v>
      </c>
      <c r="EI606" s="1843"/>
      <c r="EJ606" s="1843"/>
      <c r="EK606" s="1843"/>
      <c r="EL606" s="1421"/>
      <c r="EM606" s="1420">
        <f t="shared" si="20"/>
        <v>1318</v>
      </c>
      <c r="EN606" s="1843"/>
      <c r="EO606" s="1843"/>
      <c r="EP606" s="1843"/>
      <c r="EQ606" s="1421"/>
      <c r="ER606" s="1420" t="str">
        <f t="shared" si="21"/>
        <v xml:space="preserve"> </v>
      </c>
      <c r="ES606" s="1843"/>
      <c r="ET606" s="1843"/>
      <c r="EU606" s="1843"/>
      <c r="EV606" s="1421"/>
      <c r="EW606" s="1420" t="str">
        <f t="shared" si="22"/>
        <v xml:space="preserve"> </v>
      </c>
      <c r="EX606" s="1843"/>
      <c r="EY606" s="1843"/>
      <c r="EZ606" s="1843"/>
      <c r="FA606" s="1421"/>
    </row>
    <row r="607" spans="1:157" ht="12.9" customHeight="1">
      <c r="B607" t="s">
        <v>590</v>
      </c>
      <c r="G607" s="1395"/>
      <c r="H607" s="1395"/>
      <c r="I607" s="1395"/>
      <c r="J607" s="1395"/>
      <c r="K607" s="1395"/>
      <c r="L607" s="1395"/>
      <c r="M607" s="1395"/>
      <c r="N607" s="1395"/>
      <c r="O607" s="1395"/>
      <c r="P607" s="1395"/>
      <c r="Q607" s="1395"/>
      <c r="R607" s="1395"/>
      <c r="U607" t="s">
        <v>590</v>
      </c>
      <c r="Z607" s="1367"/>
      <c r="AA607" s="1367"/>
      <c r="AB607" s="1367"/>
      <c r="AC607" s="1367"/>
      <c r="AD607" s="1367"/>
      <c r="AE607" s="1367"/>
      <c r="AF607" s="1367"/>
      <c r="AG607" s="1367"/>
      <c r="AH607" s="1367"/>
      <c r="AI607" s="1367"/>
      <c r="AJ607" s="1367"/>
      <c r="AK607" s="1367"/>
      <c r="AZ607" s="3"/>
      <c r="BA607" s="3"/>
      <c r="BB607" s="3"/>
      <c r="BC607" s="3"/>
      <c r="BD607" s="3"/>
      <c r="BE607" s="1420">
        <f t="shared" si="1"/>
        <v>1</v>
      </c>
      <c r="BF607" s="1421"/>
      <c r="BG607" s="1494">
        <f t="shared" si="2"/>
        <v>1</v>
      </c>
      <c r="BH607" s="1495"/>
      <c r="BI607" s="1420">
        <f t="shared" si="3"/>
        <v>0</v>
      </c>
      <c r="BJ607" s="1421"/>
      <c r="BK607" s="1494">
        <f t="shared" si="4"/>
        <v>0</v>
      </c>
      <c r="BL607" s="1495"/>
      <c r="BM607" s="3"/>
      <c r="BN607" s="1505">
        <f t="shared" si="5"/>
        <v>0</v>
      </c>
      <c r="BO607" s="1506"/>
      <c r="BP607" s="1506"/>
      <c r="BQ607" s="1506"/>
      <c r="BR607" s="1507"/>
      <c r="BS607" s="1396">
        <f t="shared" si="6"/>
        <v>0</v>
      </c>
      <c r="BT607" s="1396"/>
      <c r="BU607" s="1396"/>
      <c r="BV607" s="1396"/>
      <c r="BW607" s="1396"/>
      <c r="BX607" s="1396">
        <f t="shared" si="7"/>
        <v>0</v>
      </c>
      <c r="BY607" s="1396"/>
      <c r="BZ607" s="1396"/>
      <c r="CA607" s="1396"/>
      <c r="CB607" s="1396"/>
      <c r="CC607" s="1396">
        <f t="shared" si="8"/>
        <v>1</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20" t="str">
        <f t="shared" si="17"/>
        <v xml:space="preserve"> </v>
      </c>
      <c r="DY607" s="1843"/>
      <c r="DZ607" s="1843"/>
      <c r="EA607" s="1843"/>
      <c r="EB607" s="1421"/>
      <c r="EC607" s="1420" t="str">
        <f t="shared" si="18"/>
        <v xml:space="preserve"> </v>
      </c>
      <c r="ED607" s="1843"/>
      <c r="EE607" s="1843"/>
      <c r="EF607" s="1843"/>
      <c r="EG607" s="1421"/>
      <c r="EH607" s="1420" t="str">
        <f t="shared" si="19"/>
        <v xml:space="preserve"> </v>
      </c>
      <c r="EI607" s="1843"/>
      <c r="EJ607" s="1843"/>
      <c r="EK607" s="1843"/>
      <c r="EL607" s="1421"/>
      <c r="EM607" s="1420">
        <f t="shared" si="20"/>
        <v>2287</v>
      </c>
      <c r="EN607" s="1843"/>
      <c r="EO607" s="1843"/>
      <c r="EP607" s="1843"/>
      <c r="EQ607" s="1421"/>
      <c r="ER607" s="1420" t="str">
        <f t="shared" si="21"/>
        <v xml:space="preserve"> </v>
      </c>
      <c r="ES607" s="1843"/>
      <c r="ET607" s="1843"/>
      <c r="EU607" s="1843"/>
      <c r="EV607" s="1421"/>
      <c r="EW607" s="1420" t="str">
        <f t="shared" si="22"/>
        <v xml:space="preserve"> </v>
      </c>
      <c r="EX607" s="1843"/>
      <c r="EY607" s="1843"/>
      <c r="EZ607" s="1843"/>
      <c r="FA607" s="1421"/>
    </row>
    <row r="608" spans="1:157" ht="12.9" customHeight="1">
      <c r="B608" t="s">
        <v>17</v>
      </c>
      <c r="G608" s="1395"/>
      <c r="H608" s="1395"/>
      <c r="I608" s="1395"/>
      <c r="J608" s="1395"/>
      <c r="K608" s="1395"/>
      <c r="L608" s="1395"/>
      <c r="M608" s="1395"/>
      <c r="N608" s="1395"/>
      <c r="O608" s="1395"/>
      <c r="P608" s="1395"/>
      <c r="Q608" s="1395"/>
      <c r="R608" s="1395"/>
      <c r="U608" t="s">
        <v>17</v>
      </c>
      <c r="Z608" s="1367"/>
      <c r="AA608" s="1367"/>
      <c r="AB608" s="1367"/>
      <c r="AC608" s="1367"/>
      <c r="AD608" s="1367"/>
      <c r="AE608" s="1367"/>
      <c r="AF608" s="1367"/>
      <c r="AG608" s="1367"/>
      <c r="AH608" s="1367"/>
      <c r="AI608" s="1367"/>
      <c r="AJ608" s="1367"/>
      <c r="AK608" s="1367"/>
      <c r="AZ608" s="3"/>
      <c r="BA608" s="3"/>
      <c r="BB608" s="3"/>
      <c r="BC608" s="3"/>
      <c r="BD608" s="3"/>
      <c r="BE608" s="1420">
        <f t="shared" si="1"/>
        <v>0</v>
      </c>
      <c r="BF608" s="1421"/>
      <c r="BG608" s="1494">
        <f t="shared" si="2"/>
        <v>0</v>
      </c>
      <c r="BH608" s="1495"/>
      <c r="BI608" s="1420">
        <f t="shared" si="3"/>
        <v>0</v>
      </c>
      <c r="BJ608" s="1421"/>
      <c r="BK608" s="1494">
        <f t="shared" si="4"/>
        <v>0</v>
      </c>
      <c r="BL608" s="1495"/>
      <c r="BM608" s="3"/>
      <c r="BN608" s="1505">
        <f t="shared" si="5"/>
        <v>0</v>
      </c>
      <c r="BO608" s="1506"/>
      <c r="BP608" s="1506"/>
      <c r="BQ608" s="1506"/>
      <c r="BR608" s="1507"/>
      <c r="BS608" s="1396">
        <f t="shared" si="6"/>
        <v>0</v>
      </c>
      <c r="BT608" s="1396"/>
      <c r="BU608" s="1396"/>
      <c r="BV608" s="1396"/>
      <c r="BW608" s="1396"/>
      <c r="BX608" s="1396">
        <f t="shared" si="7"/>
        <v>0</v>
      </c>
      <c r="BY608" s="1396"/>
      <c r="BZ608" s="1396"/>
      <c r="CA608" s="1396"/>
      <c r="CB608" s="1396"/>
      <c r="CC608" s="1396">
        <f t="shared" si="8"/>
        <v>1</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20" t="str">
        <f t="shared" si="17"/>
        <v xml:space="preserve"> </v>
      </c>
      <c r="DY608" s="1843"/>
      <c r="DZ608" s="1843"/>
      <c r="EA608" s="1843"/>
      <c r="EB608" s="1421"/>
      <c r="EC608" s="1420" t="str">
        <f t="shared" si="18"/>
        <v xml:space="preserve"> </v>
      </c>
      <c r="ED608" s="1843"/>
      <c r="EE608" s="1843"/>
      <c r="EF608" s="1843"/>
      <c r="EG608" s="1421"/>
      <c r="EH608" s="1420" t="str">
        <f t="shared" si="19"/>
        <v xml:space="preserve"> </v>
      </c>
      <c r="EI608" s="1843"/>
      <c r="EJ608" s="1843"/>
      <c r="EK608" s="1843"/>
      <c r="EL608" s="1421"/>
      <c r="EM608" s="1420">
        <f t="shared" si="20"/>
        <v>2772</v>
      </c>
      <c r="EN608" s="1843"/>
      <c r="EO608" s="1843"/>
      <c r="EP608" s="1843"/>
      <c r="EQ608" s="1421"/>
      <c r="ER608" s="1420" t="str">
        <f t="shared" si="21"/>
        <v xml:space="preserve"> </v>
      </c>
      <c r="ES608" s="1843"/>
      <c r="ET608" s="1843"/>
      <c r="EU608" s="1843"/>
      <c r="EV608" s="1421"/>
      <c r="EW608" s="1420" t="str">
        <f t="shared" si="22"/>
        <v xml:space="preserve"> </v>
      </c>
      <c r="EX608" s="1843"/>
      <c r="EY608" s="1843"/>
      <c r="EZ608" s="1843"/>
      <c r="FA608" s="1421"/>
    </row>
    <row r="609" spans="1:157" ht="12.9"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20">
        <f t="shared" si="1"/>
        <v>0</v>
      </c>
      <c r="BF609" s="1421"/>
      <c r="BG609" s="1494">
        <f t="shared" si="2"/>
        <v>0</v>
      </c>
      <c r="BH609" s="1495"/>
      <c r="BI609" s="1420">
        <f t="shared" si="3"/>
        <v>0</v>
      </c>
      <c r="BJ609" s="1421"/>
      <c r="BK609" s="1494">
        <f t="shared" si="4"/>
        <v>0</v>
      </c>
      <c r="BL609" s="1495"/>
      <c r="BM609" s="3"/>
      <c r="BN609" s="1505">
        <f t="shared" si="5"/>
        <v>0</v>
      </c>
      <c r="BO609" s="1506"/>
      <c r="BP609" s="1506"/>
      <c r="BQ609" s="1506"/>
      <c r="BR609" s="1507"/>
      <c r="BS609" s="1396">
        <f t="shared" si="6"/>
        <v>0</v>
      </c>
      <c r="BT609" s="1396"/>
      <c r="BU609" s="1396"/>
      <c r="BV609" s="1396"/>
      <c r="BW609" s="1396"/>
      <c r="BX609" s="1396">
        <f t="shared" si="7"/>
        <v>0</v>
      </c>
      <c r="BY609" s="1396"/>
      <c r="BZ609" s="1396"/>
      <c r="CA609" s="1396"/>
      <c r="CB609" s="1396"/>
      <c r="CC609" s="1396">
        <f t="shared" si="8"/>
        <v>1</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20" t="str">
        <f t="shared" si="17"/>
        <v xml:space="preserve"> </v>
      </c>
      <c r="DY609" s="1843"/>
      <c r="DZ609" s="1843"/>
      <c r="EA609" s="1843"/>
      <c r="EB609" s="1421"/>
      <c r="EC609" s="1420" t="str">
        <f t="shared" si="18"/>
        <v xml:space="preserve"> </v>
      </c>
      <c r="ED609" s="1843"/>
      <c r="EE609" s="1843"/>
      <c r="EF609" s="1843"/>
      <c r="EG609" s="1421"/>
      <c r="EH609" s="1420" t="str">
        <f t="shared" si="19"/>
        <v xml:space="preserve"> </v>
      </c>
      <c r="EI609" s="1843"/>
      <c r="EJ609" s="1843"/>
      <c r="EK609" s="1843"/>
      <c r="EL609" s="1421"/>
      <c r="EM609" s="1420">
        <f t="shared" si="20"/>
        <v>3256</v>
      </c>
      <c r="EN609" s="1843"/>
      <c r="EO609" s="1843"/>
      <c r="EP609" s="1843"/>
      <c r="EQ609" s="1421"/>
      <c r="ER609" s="1420" t="str">
        <f t="shared" si="21"/>
        <v xml:space="preserve"> </v>
      </c>
      <c r="ES609" s="1843"/>
      <c r="ET609" s="1843"/>
      <c r="EU609" s="1843"/>
      <c r="EV609" s="1421"/>
      <c r="EW609" s="1420" t="str">
        <f t="shared" si="22"/>
        <v xml:space="preserve"> </v>
      </c>
      <c r="EX609" s="1843"/>
      <c r="EY609" s="1843"/>
      <c r="EZ609" s="1843"/>
      <c r="FA609" s="1421"/>
    </row>
    <row r="610" spans="1:157" ht="12.9"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0">
        <f t="shared" si="1"/>
        <v>0</v>
      </c>
      <c r="BF610" s="1421"/>
      <c r="BG610" s="1494">
        <f t="shared" si="2"/>
        <v>0</v>
      </c>
      <c r="BH610" s="1495"/>
      <c r="BI610" s="1420">
        <f t="shared" si="3"/>
        <v>0</v>
      </c>
      <c r="BJ610" s="1421"/>
      <c r="BK610" s="1494">
        <f t="shared" si="4"/>
        <v>0</v>
      </c>
      <c r="BL610" s="1495"/>
      <c r="BM610" s="3"/>
      <c r="BN610" s="1505">
        <f t="shared" si="5"/>
        <v>0</v>
      </c>
      <c r="BO610" s="1506"/>
      <c r="BP610" s="1506"/>
      <c r="BQ610" s="1506"/>
      <c r="BR610" s="1507"/>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20" t="str">
        <f t="shared" si="17"/>
        <v xml:space="preserve"> </v>
      </c>
      <c r="DY610" s="1843"/>
      <c r="DZ610" s="1843"/>
      <c r="EA610" s="1843"/>
      <c r="EB610" s="1421"/>
      <c r="EC610" s="1420" t="str">
        <f t="shared" si="18"/>
        <v xml:space="preserve"> </v>
      </c>
      <c r="ED610" s="1843"/>
      <c r="EE610" s="1843"/>
      <c r="EF610" s="1843"/>
      <c r="EG610" s="1421"/>
      <c r="EH610" s="1420" t="str">
        <f t="shared" si="19"/>
        <v xml:space="preserve"> </v>
      </c>
      <c r="EI610" s="1843"/>
      <c r="EJ610" s="1843"/>
      <c r="EK610" s="1843"/>
      <c r="EL610" s="1421"/>
      <c r="EM610" s="1420" t="str">
        <f t="shared" si="20"/>
        <v xml:space="preserve"> </v>
      </c>
      <c r="EN610" s="1843"/>
      <c r="EO610" s="1843"/>
      <c r="EP610" s="1843"/>
      <c r="EQ610" s="1421"/>
      <c r="ER610" s="1420" t="str">
        <f t="shared" si="21"/>
        <v xml:space="preserve"> </v>
      </c>
      <c r="ES610" s="1843"/>
      <c r="ET610" s="1843"/>
      <c r="EU610" s="1843"/>
      <c r="EV610" s="1421"/>
      <c r="EW610" s="1420" t="str">
        <f t="shared" si="22"/>
        <v xml:space="preserve"> </v>
      </c>
      <c r="EX610" s="1843"/>
      <c r="EY610" s="1843"/>
      <c r="EZ610" s="1843"/>
      <c r="FA610" s="1421"/>
    </row>
    <row r="611" spans="1:157" ht="12.9" customHeight="1">
      <c r="B611" t="s">
        <v>20</v>
      </c>
      <c r="N611" s="1374" t="s">
        <v>679</v>
      </c>
      <c r="O611" s="1374"/>
      <c r="U611" t="s">
        <v>20</v>
      </c>
      <c r="AG611" s="1374" t="s">
        <v>679</v>
      </c>
      <c r="AH611" s="1374"/>
      <c r="AZ611" s="3"/>
      <c r="BA611" s="3"/>
      <c r="BB611" s="3"/>
      <c r="BC611" s="3"/>
      <c r="BD611" s="3"/>
      <c r="BE611" s="1420">
        <f t="shared" si="1"/>
        <v>0</v>
      </c>
      <c r="BF611" s="1421"/>
      <c r="BG611" s="1494">
        <f t="shared" si="2"/>
        <v>0</v>
      </c>
      <c r="BH611" s="1495"/>
      <c r="BI611" s="1420">
        <f t="shared" si="3"/>
        <v>0</v>
      </c>
      <c r="BJ611" s="1421"/>
      <c r="BK611" s="1494">
        <f t="shared" si="4"/>
        <v>0</v>
      </c>
      <c r="BL611" s="1495"/>
      <c r="BM611" s="3"/>
      <c r="BN611" s="1505">
        <f t="shared" si="5"/>
        <v>0</v>
      </c>
      <c r="BO611" s="1506"/>
      <c r="BP611" s="1506"/>
      <c r="BQ611" s="1506"/>
      <c r="BR611" s="1507"/>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20" t="str">
        <f t="shared" si="17"/>
        <v xml:space="preserve"> </v>
      </c>
      <c r="DY611" s="1843"/>
      <c r="DZ611" s="1843"/>
      <c r="EA611" s="1843"/>
      <c r="EB611" s="1421"/>
      <c r="EC611" s="1420" t="str">
        <f t="shared" si="18"/>
        <v xml:space="preserve"> </v>
      </c>
      <c r="ED611" s="1843"/>
      <c r="EE611" s="1843"/>
      <c r="EF611" s="1843"/>
      <c r="EG611" s="1421"/>
      <c r="EH611" s="1420" t="str">
        <f t="shared" si="19"/>
        <v xml:space="preserve"> </v>
      </c>
      <c r="EI611" s="1843"/>
      <c r="EJ611" s="1843"/>
      <c r="EK611" s="1843"/>
      <c r="EL611" s="1421"/>
      <c r="EM611" s="1420" t="str">
        <f t="shared" si="20"/>
        <v xml:space="preserve"> </v>
      </c>
      <c r="EN611" s="1843"/>
      <c r="EO611" s="1843"/>
      <c r="EP611" s="1843"/>
      <c r="EQ611" s="1421"/>
      <c r="ER611" s="1420" t="str">
        <f t="shared" si="21"/>
        <v xml:space="preserve"> </v>
      </c>
      <c r="ES611" s="1843"/>
      <c r="ET611" s="1843"/>
      <c r="EU611" s="1843"/>
      <c r="EV611" s="1421"/>
      <c r="EW611" s="1420" t="str">
        <f t="shared" si="22"/>
        <v xml:space="preserve"> </v>
      </c>
      <c r="EX611" s="1843"/>
      <c r="EY611" s="1843"/>
      <c r="EZ611" s="1843"/>
      <c r="FA611" s="1421"/>
    </row>
    <row r="612" spans="1:157" ht="12.9" customHeight="1">
      <c r="AZ612" s="3"/>
      <c r="BA612" s="3"/>
      <c r="BB612" s="3"/>
      <c r="BC612" s="3"/>
      <c r="BD612" s="3"/>
      <c r="BE612" s="1420">
        <f t="shared" si="1"/>
        <v>0</v>
      </c>
      <c r="BF612" s="1421"/>
      <c r="BG612" s="1494">
        <f t="shared" si="2"/>
        <v>0</v>
      </c>
      <c r="BH612" s="1495"/>
      <c r="BI612" s="1420">
        <f t="shared" si="3"/>
        <v>0</v>
      </c>
      <c r="BJ612" s="1421"/>
      <c r="BK612" s="1494">
        <f t="shared" si="4"/>
        <v>0</v>
      </c>
      <c r="BL612" s="1495"/>
      <c r="BM612" s="3"/>
      <c r="BN612" s="1505">
        <f t="shared" si="5"/>
        <v>0</v>
      </c>
      <c r="BO612" s="1506"/>
      <c r="BP612" s="1506"/>
      <c r="BQ612" s="1506"/>
      <c r="BR612" s="1507"/>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20" t="str">
        <f t="shared" si="17"/>
        <v xml:space="preserve"> </v>
      </c>
      <c r="DY612" s="1843"/>
      <c r="DZ612" s="1843"/>
      <c r="EA612" s="1843"/>
      <c r="EB612" s="1421"/>
      <c r="EC612" s="1420" t="str">
        <f t="shared" si="18"/>
        <v xml:space="preserve"> </v>
      </c>
      <c r="ED612" s="1843"/>
      <c r="EE612" s="1843"/>
      <c r="EF612" s="1843"/>
      <c r="EG612" s="1421"/>
      <c r="EH612" s="1420" t="str">
        <f t="shared" si="19"/>
        <v xml:space="preserve"> </v>
      </c>
      <c r="EI612" s="1843"/>
      <c r="EJ612" s="1843"/>
      <c r="EK612" s="1843"/>
      <c r="EL612" s="1421"/>
      <c r="EM612" s="1420" t="str">
        <f t="shared" si="20"/>
        <v xml:space="preserve"> </v>
      </c>
      <c r="EN612" s="1843"/>
      <c r="EO612" s="1843"/>
      <c r="EP612" s="1843"/>
      <c r="EQ612" s="1421"/>
      <c r="ER612" s="1420" t="str">
        <f t="shared" si="21"/>
        <v xml:space="preserve"> </v>
      </c>
      <c r="ES612" s="1843"/>
      <c r="ET612" s="1843"/>
      <c r="EU612" s="1843"/>
      <c r="EV612" s="1421"/>
      <c r="EW612" s="1420" t="str">
        <f t="shared" si="22"/>
        <v xml:space="preserve"> </v>
      </c>
      <c r="EX612" s="1843"/>
      <c r="EY612" s="1843"/>
      <c r="EZ612" s="1843"/>
      <c r="FA612" s="1421"/>
    </row>
    <row r="613" spans="1:157" ht="12.9"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4">
        <f t="shared" si="2"/>
        <v>0</v>
      </c>
      <c r="BH613" s="1495"/>
      <c r="BI613" s="1420">
        <f t="shared" si="3"/>
        <v>0</v>
      </c>
      <c r="BJ613" s="1421"/>
      <c r="BK613" s="1494">
        <f t="shared" si="4"/>
        <v>0</v>
      </c>
      <c r="BL613" s="1495"/>
      <c r="BM613" s="3"/>
      <c r="BN613" s="1505">
        <f t="shared" si="5"/>
        <v>0</v>
      </c>
      <c r="BO613" s="1506"/>
      <c r="BP613" s="1506"/>
      <c r="BQ613" s="1506"/>
      <c r="BR613" s="1507"/>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20" t="str">
        <f t="shared" si="17"/>
        <v xml:space="preserve"> </v>
      </c>
      <c r="DY613" s="1843"/>
      <c r="DZ613" s="1843"/>
      <c r="EA613" s="1843"/>
      <c r="EB613" s="1421"/>
      <c r="EC613" s="1420" t="str">
        <f t="shared" si="18"/>
        <v xml:space="preserve"> </v>
      </c>
      <c r="ED613" s="1843"/>
      <c r="EE613" s="1843"/>
      <c r="EF613" s="1843"/>
      <c r="EG613" s="1421"/>
      <c r="EH613" s="1420" t="str">
        <f t="shared" si="19"/>
        <v xml:space="preserve"> </v>
      </c>
      <c r="EI613" s="1843"/>
      <c r="EJ613" s="1843"/>
      <c r="EK613" s="1843"/>
      <c r="EL613" s="1421"/>
      <c r="EM613" s="1420" t="str">
        <f t="shared" si="20"/>
        <v xml:space="preserve"> </v>
      </c>
      <c r="EN613" s="1843"/>
      <c r="EO613" s="1843"/>
      <c r="EP613" s="1843"/>
      <c r="EQ613" s="1421"/>
      <c r="ER613" s="1420" t="str">
        <f t="shared" si="21"/>
        <v xml:space="preserve"> </v>
      </c>
      <c r="ES613" s="1843"/>
      <c r="ET613" s="1843"/>
      <c r="EU613" s="1843"/>
      <c r="EV613" s="1421"/>
      <c r="EW613" s="1420" t="str">
        <f t="shared" si="22"/>
        <v xml:space="preserve"> </v>
      </c>
      <c r="EX613" s="1843"/>
      <c r="EY613" s="1843"/>
      <c r="EZ613" s="1843"/>
      <c r="FA613" s="1421"/>
    </row>
    <row r="614" spans="1:157" ht="12.9"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4">
        <f t="shared" si="2"/>
        <v>0</v>
      </c>
      <c r="BH614" s="1495"/>
      <c r="BI614" s="1420">
        <f t="shared" si="3"/>
        <v>0</v>
      </c>
      <c r="BJ614" s="1421"/>
      <c r="BK614" s="1494">
        <f t="shared" si="4"/>
        <v>0</v>
      </c>
      <c r="BL614" s="1495"/>
      <c r="BM614" s="3"/>
      <c r="BN614" s="1505">
        <f t="shared" si="5"/>
        <v>0</v>
      </c>
      <c r="BO614" s="1506"/>
      <c r="BP614" s="1506"/>
      <c r="BQ614" s="1506"/>
      <c r="BR614" s="1507"/>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20" t="str">
        <f t="shared" si="17"/>
        <v xml:space="preserve"> </v>
      </c>
      <c r="DY614" s="1843"/>
      <c r="DZ614" s="1843"/>
      <c r="EA614" s="1843"/>
      <c r="EB614" s="1421"/>
      <c r="EC614" s="1420" t="str">
        <f t="shared" si="18"/>
        <v xml:space="preserve"> </v>
      </c>
      <c r="ED614" s="1843"/>
      <c r="EE614" s="1843"/>
      <c r="EF614" s="1843"/>
      <c r="EG614" s="1421"/>
      <c r="EH614" s="1420" t="str">
        <f t="shared" si="19"/>
        <v xml:space="preserve"> </v>
      </c>
      <c r="EI614" s="1843"/>
      <c r="EJ614" s="1843"/>
      <c r="EK614" s="1843"/>
      <c r="EL614" s="1421"/>
      <c r="EM614" s="1420" t="str">
        <f t="shared" si="20"/>
        <v xml:space="preserve"> </v>
      </c>
      <c r="EN614" s="1843"/>
      <c r="EO614" s="1843"/>
      <c r="EP614" s="1843"/>
      <c r="EQ614" s="1421"/>
      <c r="ER614" s="1420" t="str">
        <f t="shared" si="21"/>
        <v xml:space="preserve"> </v>
      </c>
      <c r="ES614" s="1843"/>
      <c r="ET614" s="1843"/>
      <c r="EU614" s="1843"/>
      <c r="EV614" s="1421"/>
      <c r="EW614" s="1420" t="str">
        <f t="shared" si="22"/>
        <v xml:space="preserve"> </v>
      </c>
      <c r="EX614" s="1843"/>
      <c r="EY614" s="1843"/>
      <c r="EZ614" s="1843"/>
      <c r="FA614" s="1421"/>
    </row>
    <row r="615" spans="1:157" ht="12.9" customHeight="1">
      <c r="AZ615" s="3"/>
      <c r="BA615" s="3"/>
      <c r="BB615" s="3"/>
      <c r="BC615" s="3"/>
      <c r="BD615" s="3"/>
      <c r="BE615" s="1420">
        <f t="shared" si="1"/>
        <v>0</v>
      </c>
      <c r="BF615" s="1421"/>
      <c r="BG615" s="1494">
        <f t="shared" si="2"/>
        <v>0</v>
      </c>
      <c r="BH615" s="1495"/>
      <c r="BI615" s="1420">
        <f t="shared" si="3"/>
        <v>0</v>
      </c>
      <c r="BJ615" s="1421"/>
      <c r="BK615" s="1494">
        <f t="shared" si="4"/>
        <v>0</v>
      </c>
      <c r="BL615" s="1495"/>
      <c r="BM615" s="3"/>
      <c r="BN615" s="1505">
        <f t="shared" si="5"/>
        <v>0</v>
      </c>
      <c r="BO615" s="1506"/>
      <c r="BP615" s="1506"/>
      <c r="BQ615" s="1506"/>
      <c r="BR615" s="1507"/>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20" t="str">
        <f t="shared" si="17"/>
        <v xml:space="preserve"> </v>
      </c>
      <c r="DY615" s="1843"/>
      <c r="DZ615" s="1843"/>
      <c r="EA615" s="1843"/>
      <c r="EB615" s="1421"/>
      <c r="EC615" s="1420" t="str">
        <f t="shared" si="18"/>
        <v xml:space="preserve"> </v>
      </c>
      <c r="ED615" s="1843"/>
      <c r="EE615" s="1843"/>
      <c r="EF615" s="1843"/>
      <c r="EG615" s="1421"/>
      <c r="EH615" s="1420" t="str">
        <f t="shared" si="19"/>
        <v xml:space="preserve"> </v>
      </c>
      <c r="EI615" s="1843"/>
      <c r="EJ615" s="1843"/>
      <c r="EK615" s="1843"/>
      <c r="EL615" s="1421"/>
      <c r="EM615" s="1420" t="str">
        <f t="shared" si="20"/>
        <v xml:space="preserve"> </v>
      </c>
      <c r="EN615" s="1843"/>
      <c r="EO615" s="1843"/>
      <c r="EP615" s="1843"/>
      <c r="EQ615" s="1421"/>
      <c r="ER615" s="1420" t="str">
        <f t="shared" si="21"/>
        <v xml:space="preserve"> </v>
      </c>
      <c r="ES615" s="1843"/>
      <c r="ET615" s="1843"/>
      <c r="EU615" s="1843"/>
      <c r="EV615" s="1421"/>
      <c r="EW615" s="1420" t="str">
        <f t="shared" si="22"/>
        <v xml:space="preserve"> </v>
      </c>
      <c r="EX615" s="1843"/>
      <c r="EY615" s="1843"/>
      <c r="EZ615" s="1843"/>
      <c r="FA615" s="1421"/>
    </row>
    <row r="616" spans="1:157" ht="12.9" customHeight="1">
      <c r="A616" s="2" t="s">
        <v>321</v>
      </c>
      <c r="B616" s="2"/>
      <c r="C616" s="2" t="s">
        <v>21</v>
      </c>
      <c r="AZ616" s="3"/>
      <c r="BA616" s="3"/>
      <c r="BB616" s="3"/>
      <c r="BC616" s="3"/>
      <c r="BD616" s="3"/>
      <c r="BE616" s="1420">
        <f t="shared" si="1"/>
        <v>0</v>
      </c>
      <c r="BF616" s="1421"/>
      <c r="BG616" s="1494">
        <f t="shared" si="2"/>
        <v>0</v>
      </c>
      <c r="BH616" s="1495"/>
      <c r="BI616" s="1420">
        <f t="shared" si="3"/>
        <v>0</v>
      </c>
      <c r="BJ616" s="1421"/>
      <c r="BK616" s="1494">
        <f t="shared" si="4"/>
        <v>0</v>
      </c>
      <c r="BL616" s="1495"/>
      <c r="BM616" s="3"/>
      <c r="BN616" s="1505">
        <f t="shared" si="5"/>
        <v>0</v>
      </c>
      <c r="BO616" s="1506"/>
      <c r="BP616" s="1506"/>
      <c r="BQ616" s="1506"/>
      <c r="BR616" s="1507"/>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20" t="str">
        <f t="shared" si="17"/>
        <v xml:space="preserve"> </v>
      </c>
      <c r="DY616" s="1843"/>
      <c r="DZ616" s="1843"/>
      <c r="EA616" s="1843"/>
      <c r="EB616" s="1421"/>
      <c r="EC616" s="1420" t="str">
        <f t="shared" si="18"/>
        <v xml:space="preserve"> </v>
      </c>
      <c r="ED616" s="1843"/>
      <c r="EE616" s="1843"/>
      <c r="EF616" s="1843"/>
      <c r="EG616" s="1421"/>
      <c r="EH616" s="1420" t="str">
        <f t="shared" si="19"/>
        <v xml:space="preserve"> </v>
      </c>
      <c r="EI616" s="1843"/>
      <c r="EJ616" s="1843"/>
      <c r="EK616" s="1843"/>
      <c r="EL616" s="1421"/>
      <c r="EM616" s="1420" t="str">
        <f t="shared" si="20"/>
        <v xml:space="preserve"> </v>
      </c>
      <c r="EN616" s="1843"/>
      <c r="EO616" s="1843"/>
      <c r="EP616" s="1843"/>
      <c r="EQ616" s="1421"/>
      <c r="ER616" s="1420" t="str">
        <f t="shared" si="21"/>
        <v xml:space="preserve"> </v>
      </c>
      <c r="ES616" s="1843"/>
      <c r="ET616" s="1843"/>
      <c r="EU616" s="1843"/>
      <c r="EV616" s="1421"/>
      <c r="EW616" s="1420" t="str">
        <f t="shared" si="22"/>
        <v xml:space="preserve"> </v>
      </c>
      <c r="EX616" s="1843"/>
      <c r="EY616" s="1843"/>
      <c r="EZ616" s="1843"/>
      <c r="FA616" s="1421"/>
    </row>
    <row r="617" spans="1:157" ht="12.9" customHeight="1">
      <c r="A617" s="2"/>
      <c r="B617" s="2"/>
      <c r="C617" s="2"/>
      <c r="AZ617" s="3"/>
      <c r="BA617" s="3"/>
      <c r="BB617" s="3"/>
      <c r="BC617" s="3"/>
      <c r="BD617" s="3"/>
      <c r="BE617" s="1420">
        <f t="shared" si="1"/>
        <v>0</v>
      </c>
      <c r="BF617" s="1421"/>
      <c r="BG617" s="1494">
        <f t="shared" si="2"/>
        <v>0</v>
      </c>
      <c r="BH617" s="1495"/>
      <c r="BI617" s="1420">
        <f t="shared" si="3"/>
        <v>0</v>
      </c>
      <c r="BJ617" s="1421"/>
      <c r="BK617" s="1494">
        <f t="shared" si="4"/>
        <v>0</v>
      </c>
      <c r="BL617" s="1495"/>
      <c r="BM617" s="3"/>
      <c r="BN617" s="1505">
        <f t="shared" si="5"/>
        <v>0</v>
      </c>
      <c r="BO617" s="1506"/>
      <c r="BP617" s="1506"/>
      <c r="BQ617" s="1506"/>
      <c r="BR617" s="1507"/>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20" t="str">
        <f t="shared" si="17"/>
        <v xml:space="preserve"> </v>
      </c>
      <c r="DY617" s="1843"/>
      <c r="DZ617" s="1843"/>
      <c r="EA617" s="1843"/>
      <c r="EB617" s="1421"/>
      <c r="EC617" s="1420" t="str">
        <f t="shared" si="18"/>
        <v xml:space="preserve"> </v>
      </c>
      <c r="ED617" s="1843"/>
      <c r="EE617" s="1843"/>
      <c r="EF617" s="1843"/>
      <c r="EG617" s="1421"/>
      <c r="EH617" s="1420" t="str">
        <f t="shared" si="19"/>
        <v xml:space="preserve"> </v>
      </c>
      <c r="EI617" s="1843"/>
      <c r="EJ617" s="1843"/>
      <c r="EK617" s="1843"/>
      <c r="EL617" s="1421"/>
      <c r="EM617" s="1420" t="str">
        <f t="shared" si="20"/>
        <v xml:space="preserve"> </v>
      </c>
      <c r="EN617" s="1843"/>
      <c r="EO617" s="1843"/>
      <c r="EP617" s="1843"/>
      <c r="EQ617" s="1421"/>
      <c r="ER617" s="1420" t="str">
        <f t="shared" si="21"/>
        <v xml:space="preserve"> </v>
      </c>
      <c r="ES617" s="1843"/>
      <c r="ET617" s="1843"/>
      <c r="EU617" s="1843"/>
      <c r="EV617" s="1421"/>
      <c r="EW617" s="1420" t="str">
        <f t="shared" si="22"/>
        <v xml:space="preserve"> </v>
      </c>
      <c r="EX617" s="1843"/>
      <c r="EY617" s="1843"/>
      <c r="EZ617" s="1843"/>
      <c r="FA617" s="1421"/>
    </row>
    <row r="618" spans="1:157" ht="12.9" customHeight="1">
      <c r="C618" s="2" t="s">
        <v>2530</v>
      </c>
      <c r="AZ618" s="3"/>
      <c r="BA618" s="3"/>
      <c r="BB618" s="3"/>
      <c r="BC618" s="3"/>
      <c r="BD618" s="3"/>
      <c r="BE618" s="1420">
        <f t="shared" si="1"/>
        <v>0</v>
      </c>
      <c r="BF618" s="1421"/>
      <c r="BG618" s="1494">
        <f t="shared" si="2"/>
        <v>0</v>
      </c>
      <c r="BH618" s="1495"/>
      <c r="BI618" s="1420">
        <f t="shared" si="3"/>
        <v>0</v>
      </c>
      <c r="BJ618" s="1421"/>
      <c r="BK618" s="1494">
        <f t="shared" si="4"/>
        <v>0</v>
      </c>
      <c r="BL618" s="1495"/>
      <c r="BM618" s="3"/>
      <c r="BN618" s="1505">
        <f t="shared" si="5"/>
        <v>0</v>
      </c>
      <c r="BO618" s="1506"/>
      <c r="BP618" s="1506"/>
      <c r="BQ618" s="1506"/>
      <c r="BR618" s="1507"/>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20" t="str">
        <f t="shared" si="17"/>
        <v xml:space="preserve"> </v>
      </c>
      <c r="DY618" s="1843"/>
      <c r="DZ618" s="1843"/>
      <c r="EA618" s="1843"/>
      <c r="EB618" s="1421"/>
      <c r="EC618" s="1420" t="str">
        <f t="shared" si="18"/>
        <v xml:space="preserve"> </v>
      </c>
      <c r="ED618" s="1843"/>
      <c r="EE618" s="1843"/>
      <c r="EF618" s="1843"/>
      <c r="EG618" s="1421"/>
      <c r="EH618" s="1420" t="str">
        <f t="shared" si="19"/>
        <v xml:space="preserve"> </v>
      </c>
      <c r="EI618" s="1843"/>
      <c r="EJ618" s="1843"/>
      <c r="EK618" s="1843"/>
      <c r="EL618" s="1421"/>
      <c r="EM618" s="1420" t="str">
        <f t="shared" si="20"/>
        <v xml:space="preserve"> </v>
      </c>
      <c r="EN618" s="1843"/>
      <c r="EO618" s="1843"/>
      <c r="EP618" s="1843"/>
      <c r="EQ618" s="1421"/>
      <c r="ER618" s="1420" t="str">
        <f t="shared" si="21"/>
        <v xml:space="preserve"> </v>
      </c>
      <c r="ES618" s="1843"/>
      <c r="ET618" s="1843"/>
      <c r="EU618" s="1843"/>
      <c r="EV618" s="1421"/>
      <c r="EW618" s="1420" t="str">
        <f t="shared" si="22"/>
        <v xml:space="preserve"> </v>
      </c>
      <c r="EX618" s="1843"/>
      <c r="EY618" s="1843"/>
      <c r="EZ618" s="1843"/>
      <c r="FA618" s="1421"/>
    </row>
    <row r="619" spans="1:157" ht="12.9" customHeight="1">
      <c r="B619" s="547"/>
      <c r="C619" s="2"/>
      <c r="AZ619" s="3"/>
      <c r="BA619" s="3"/>
      <c r="BB619" s="3"/>
      <c r="BC619" s="3"/>
      <c r="BD619" s="3"/>
      <c r="BE619" s="1420">
        <f t="shared" si="1"/>
        <v>0</v>
      </c>
      <c r="BF619" s="1421"/>
      <c r="BG619" s="1494">
        <f t="shared" si="2"/>
        <v>0</v>
      </c>
      <c r="BH619" s="1495"/>
      <c r="BI619" s="1420">
        <f t="shared" si="3"/>
        <v>0</v>
      </c>
      <c r="BJ619" s="1421"/>
      <c r="BK619" s="1494">
        <f t="shared" si="4"/>
        <v>0</v>
      </c>
      <c r="BL619" s="1495"/>
      <c r="BM619" s="3"/>
      <c r="BN619" s="1505">
        <f t="shared" si="5"/>
        <v>0</v>
      </c>
      <c r="BO619" s="1506"/>
      <c r="BP619" s="1506"/>
      <c r="BQ619" s="1506"/>
      <c r="BR619" s="1507"/>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20" t="str">
        <f t="shared" si="17"/>
        <v xml:space="preserve"> </v>
      </c>
      <c r="DY619" s="1843"/>
      <c r="DZ619" s="1843"/>
      <c r="EA619" s="1843"/>
      <c r="EB619" s="1421"/>
      <c r="EC619" s="1420" t="str">
        <f t="shared" si="18"/>
        <v xml:space="preserve"> </v>
      </c>
      <c r="ED619" s="1843"/>
      <c r="EE619" s="1843"/>
      <c r="EF619" s="1843"/>
      <c r="EG619" s="1421"/>
      <c r="EH619" s="1420" t="str">
        <f t="shared" si="19"/>
        <v xml:space="preserve"> </v>
      </c>
      <c r="EI619" s="1843"/>
      <c r="EJ619" s="1843"/>
      <c r="EK619" s="1843"/>
      <c r="EL619" s="1421"/>
      <c r="EM619" s="1420" t="str">
        <f t="shared" si="20"/>
        <v xml:space="preserve"> </v>
      </c>
      <c r="EN619" s="1843"/>
      <c r="EO619" s="1843"/>
      <c r="EP619" s="1843"/>
      <c r="EQ619" s="1421"/>
      <c r="ER619" s="1420" t="str">
        <f t="shared" si="21"/>
        <v xml:space="preserve"> </v>
      </c>
      <c r="ES619" s="1843"/>
      <c r="ET619" s="1843"/>
      <c r="EU619" s="1843"/>
      <c r="EV619" s="1421"/>
      <c r="EW619" s="1420" t="str">
        <f t="shared" si="22"/>
        <v xml:space="preserve"> </v>
      </c>
      <c r="EX619" s="1843"/>
      <c r="EY619" s="1843"/>
      <c r="EZ619" s="1843"/>
      <c r="FA619" s="1421"/>
    </row>
    <row r="620" spans="1:157" ht="12.9" customHeight="1">
      <c r="B620" s="1602" t="s">
        <v>2532</v>
      </c>
      <c r="C620" s="1602"/>
      <c r="D620" s="1602"/>
      <c r="E620" s="1602"/>
      <c r="F620" s="1602"/>
      <c r="G620" s="1602"/>
      <c r="H620" s="1602"/>
      <c r="I620" s="1602"/>
      <c r="J620" s="1602"/>
      <c r="K620" s="1602"/>
      <c r="L620" s="1602"/>
      <c r="M620" s="1513" t="s">
        <v>2533</v>
      </c>
      <c r="N620" s="1513"/>
      <c r="O620" s="1513"/>
      <c r="P620" s="1513"/>
      <c r="Q620" s="1513" t="s">
        <v>2117</v>
      </c>
      <c r="R620" s="1513"/>
      <c r="S620" s="1513"/>
      <c r="T620" s="1513" t="s">
        <v>2115</v>
      </c>
      <c r="U620" s="1513"/>
      <c r="V620" s="1513"/>
      <c r="W620" s="1851" t="s">
        <v>463</v>
      </c>
      <c r="X620" s="1851"/>
      <c r="Y620" s="1851"/>
      <c r="Z620" s="1410" t="s">
        <v>2562</v>
      </c>
      <c r="AA620" s="1410"/>
      <c r="AB620" s="1411"/>
      <c r="AC620" s="1738" t="s">
        <v>1937</v>
      </c>
      <c r="AD620" s="1739"/>
      <c r="AE620" s="1740"/>
      <c r="AF620" s="1409" t="s">
        <v>2315</v>
      </c>
      <c r="AG620" s="1410"/>
      <c r="AH620" s="1410"/>
      <c r="AI620" s="1410"/>
      <c r="AJ620" s="1411"/>
      <c r="AK620" s="1728" t="s">
        <v>2316</v>
      </c>
      <c r="AL620" s="1729"/>
      <c r="AM620" s="1729"/>
      <c r="AN620" s="1730"/>
      <c r="AO620" s="1513" t="s">
        <v>464</v>
      </c>
      <c r="AP620" s="1513"/>
      <c r="AQ620" s="1513"/>
      <c r="AR620" s="1513"/>
      <c r="AS620" s="1513"/>
      <c r="AZ620" s="3"/>
      <c r="BA620" s="3"/>
      <c r="BB620" s="3"/>
      <c r="BC620" s="3"/>
      <c r="BD620" s="3"/>
      <c r="BE620" s="1420">
        <f t="shared" si="1"/>
        <v>0</v>
      </c>
      <c r="BF620" s="1421"/>
      <c r="BG620" s="1494">
        <f t="shared" si="2"/>
        <v>0</v>
      </c>
      <c r="BH620" s="1495"/>
      <c r="BI620" s="1420">
        <f t="shared" si="3"/>
        <v>0</v>
      </c>
      <c r="BJ620" s="1421"/>
      <c r="BK620" s="1494">
        <f t="shared" si="4"/>
        <v>0</v>
      </c>
      <c r="BL620" s="1495"/>
      <c r="BM620" s="3"/>
      <c r="BN620" s="1505">
        <f t="shared" si="5"/>
        <v>0</v>
      </c>
      <c r="BO620" s="1506"/>
      <c r="BP620" s="1506"/>
      <c r="BQ620" s="1506"/>
      <c r="BR620" s="1507"/>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20" t="str">
        <f t="shared" si="17"/>
        <v xml:space="preserve"> </v>
      </c>
      <c r="DY620" s="1843"/>
      <c r="DZ620" s="1843"/>
      <c r="EA620" s="1843"/>
      <c r="EB620" s="1421"/>
      <c r="EC620" s="1420" t="str">
        <f t="shared" si="18"/>
        <v xml:space="preserve"> </v>
      </c>
      <c r="ED620" s="1843"/>
      <c r="EE620" s="1843"/>
      <c r="EF620" s="1843"/>
      <c r="EG620" s="1421"/>
      <c r="EH620" s="1420" t="str">
        <f t="shared" si="19"/>
        <v xml:space="preserve"> </v>
      </c>
      <c r="EI620" s="1843"/>
      <c r="EJ620" s="1843"/>
      <c r="EK620" s="1843"/>
      <c r="EL620" s="1421"/>
      <c r="EM620" s="1420" t="str">
        <f t="shared" si="20"/>
        <v xml:space="preserve"> </v>
      </c>
      <c r="EN620" s="1843"/>
      <c r="EO620" s="1843"/>
      <c r="EP620" s="1843"/>
      <c r="EQ620" s="1421"/>
      <c r="ER620" s="1420" t="str">
        <f t="shared" si="21"/>
        <v xml:space="preserve"> </v>
      </c>
      <c r="ES620" s="1843"/>
      <c r="ET620" s="1843"/>
      <c r="EU620" s="1843"/>
      <c r="EV620" s="1421"/>
      <c r="EW620" s="1420" t="str">
        <f t="shared" si="22"/>
        <v xml:space="preserve"> </v>
      </c>
      <c r="EX620" s="1843"/>
      <c r="EY620" s="1843"/>
      <c r="EZ620" s="1843"/>
      <c r="FA620" s="1421"/>
    </row>
    <row r="621" spans="1:157" ht="12.9" customHeight="1">
      <c r="B621" s="1602"/>
      <c r="C621" s="1602"/>
      <c r="D621" s="1602"/>
      <c r="E621" s="1602"/>
      <c r="F621" s="1602"/>
      <c r="G621" s="1602"/>
      <c r="H621" s="1602"/>
      <c r="I621" s="1602"/>
      <c r="J621" s="1602"/>
      <c r="K621" s="1602"/>
      <c r="L621" s="1602"/>
      <c r="M621" s="1513"/>
      <c r="N621" s="1513"/>
      <c r="O621" s="1513"/>
      <c r="P621" s="1513"/>
      <c r="Q621" s="1513"/>
      <c r="R621" s="1513"/>
      <c r="S621" s="1513"/>
      <c r="T621" s="1513"/>
      <c r="U621" s="1513"/>
      <c r="V621" s="1513"/>
      <c r="W621" s="1851"/>
      <c r="X621" s="1851"/>
      <c r="Y621" s="1851"/>
      <c r="Z621" s="1413"/>
      <c r="AA621" s="1413"/>
      <c r="AB621" s="1414"/>
      <c r="AC621" s="1741"/>
      <c r="AD621" s="1742"/>
      <c r="AE621" s="1743"/>
      <c r="AF621" s="1412"/>
      <c r="AG621" s="1413"/>
      <c r="AH621" s="1413"/>
      <c r="AI621" s="1413"/>
      <c r="AJ621" s="1414"/>
      <c r="AK621" s="1731"/>
      <c r="AL621" s="1732"/>
      <c r="AM621" s="1732"/>
      <c r="AN621" s="1733"/>
      <c r="AO621" s="1513"/>
      <c r="AP621" s="1513"/>
      <c r="AQ621" s="1513"/>
      <c r="AR621" s="1513"/>
      <c r="AS621" s="1513"/>
      <c r="AZ621" s="3"/>
      <c r="BA621" s="3"/>
      <c r="BB621" s="3"/>
      <c r="BC621" s="3"/>
      <c r="BD621" s="3"/>
      <c r="BE621" s="3"/>
      <c r="BF621" s="3"/>
      <c r="BG621" s="1420">
        <f>SUM(BG596:BH620)</f>
        <v>41</v>
      </c>
      <c r="BH621" s="1421"/>
      <c r="BI621" s="3"/>
      <c r="BJ621" s="3"/>
      <c r="BK621" s="1420">
        <f>SUM(BK596:BL620)</f>
        <v>47</v>
      </c>
      <c r="BL621" s="1421"/>
      <c r="BM621" s="3"/>
      <c r="BN621" s="1420">
        <f>SUM(BN596:BR620)</f>
        <v>0</v>
      </c>
      <c r="BO621" s="1843"/>
      <c r="BP621" s="1843"/>
      <c r="BQ621" s="1843"/>
      <c r="BR621" s="1421"/>
      <c r="BS621" s="1689">
        <f>SUM(BS596:BW620)</f>
        <v>52</v>
      </c>
      <c r="BT621" s="1689"/>
      <c r="BU621" s="1689"/>
      <c r="BV621" s="1689"/>
      <c r="BW621" s="1689"/>
      <c r="BX621" s="1689">
        <f>SUM(BX596:CB620)</f>
        <v>40</v>
      </c>
      <c r="BY621" s="1689"/>
      <c r="BZ621" s="1689"/>
      <c r="CA621" s="1689"/>
      <c r="CB621" s="1689"/>
      <c r="CC621" s="1689">
        <f>SUM(CC596:CG620)</f>
        <v>32</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0</v>
      </c>
      <c r="CT621" s="1689"/>
      <c r="CU621" s="1689"/>
      <c r="CV621" s="1689"/>
      <c r="CW621" s="1689"/>
      <c r="CX621" s="1689">
        <f>SUM(CX596:DB620)</f>
        <v>5</v>
      </c>
      <c r="CY621" s="1689"/>
      <c r="CZ621" s="1689"/>
      <c r="DA621" s="1689"/>
      <c r="DB621" s="1689"/>
      <c r="DC621" s="1689">
        <f>SUM(DC596:DG620)</f>
        <v>13</v>
      </c>
      <c r="DD621" s="1689"/>
      <c r="DE621" s="1689"/>
      <c r="DF621" s="1689"/>
      <c r="DG621" s="1689"/>
      <c r="DH621" s="1689">
        <f>SUM(DH596:DL620)</f>
        <v>29</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0</v>
      </c>
      <c r="DY621" s="1689"/>
      <c r="DZ621" s="1689"/>
      <c r="EA621" s="1689"/>
      <c r="EB621" s="1689"/>
      <c r="EC621" s="1689">
        <f>SUM(EC596:EG620)</f>
        <v>8715</v>
      </c>
      <c r="ED621" s="1689"/>
      <c r="EE621" s="1689"/>
      <c r="EF621" s="1689"/>
      <c r="EG621" s="1689"/>
      <c r="EH621" s="1689">
        <f>SUM(EH596:EL620)</f>
        <v>10394</v>
      </c>
      <c r="EI621" s="1689"/>
      <c r="EJ621" s="1689"/>
      <c r="EK621" s="1689"/>
      <c r="EL621" s="1689"/>
      <c r="EM621" s="1689">
        <f>SUM(EM596:EQ620)</f>
        <v>9633</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2.9" customHeight="1">
      <c r="B622" s="1602"/>
      <c r="C622" s="1602"/>
      <c r="D622" s="1602"/>
      <c r="E622" s="1602"/>
      <c r="F622" s="1602"/>
      <c r="G622" s="1602"/>
      <c r="H622" s="1602"/>
      <c r="I622" s="1602"/>
      <c r="J622" s="1602"/>
      <c r="K622" s="1602"/>
      <c r="L622" s="1602"/>
      <c r="M622" s="1513"/>
      <c r="N622" s="1513"/>
      <c r="O622" s="1513"/>
      <c r="P622" s="1513"/>
      <c r="Q622" s="1513"/>
      <c r="R622" s="1513"/>
      <c r="S622" s="1513"/>
      <c r="T622" s="1513"/>
      <c r="U622" s="1513"/>
      <c r="V622" s="1513"/>
      <c r="W622" s="1851"/>
      <c r="X622" s="1851"/>
      <c r="Y622" s="1851"/>
      <c r="Z622" s="1416"/>
      <c r="AA622" s="1416"/>
      <c r="AB622" s="1417"/>
      <c r="AC622" s="1744"/>
      <c r="AD622" s="1745"/>
      <c r="AE622" s="1746"/>
      <c r="AF622" s="1415"/>
      <c r="AG622" s="1416"/>
      <c r="AH622" s="1416"/>
      <c r="AI622" s="1416"/>
      <c r="AJ622" s="1417"/>
      <c r="AK622" s="1734"/>
      <c r="AL622" s="1735"/>
      <c r="AM622" s="1735"/>
      <c r="AN622" s="1736"/>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0">
        <f>BN621+BS621+BX621+CC621+CH621+CM621</f>
        <v>124</v>
      </c>
      <c r="CN622" s="1843"/>
      <c r="CO622" s="1843"/>
      <c r="CP622" s="1843"/>
      <c r="CQ622" s="1421"/>
      <c r="CR622" s="386"/>
      <c r="CS622" s="3"/>
      <c r="CT622" s="3"/>
      <c r="CU622" s="3"/>
      <c r="CV622" s="3"/>
      <c r="CW622" s="3"/>
      <c r="CX622" s="3"/>
      <c r="CY622" s="3"/>
      <c r="CZ622" s="3"/>
      <c r="DA622" s="3"/>
      <c r="DB622" s="3"/>
      <c r="DC622" s="3"/>
      <c r="DD622" s="3"/>
      <c r="DE622" s="3"/>
      <c r="DF622" s="3"/>
    </row>
    <row r="623" spans="1:157" ht="12.9" customHeight="1">
      <c r="B623" s="51" t="s">
        <v>113</v>
      </c>
      <c r="C623" s="1603" t="s">
        <v>2747</v>
      </c>
      <c r="D623" s="1603"/>
      <c r="E623" s="1603"/>
      <c r="F623" s="1603"/>
      <c r="G623" s="1603"/>
      <c r="H623" s="1603"/>
      <c r="I623" s="1603"/>
      <c r="J623" s="1603"/>
      <c r="K623" s="1603"/>
      <c r="L623" s="1603"/>
      <c r="M623" s="1848" t="s">
        <v>2549</v>
      </c>
      <c r="N623" s="1848"/>
      <c r="O623" s="1848"/>
      <c r="P623" s="1848"/>
      <c r="Q623" s="1547">
        <v>180</v>
      </c>
      <c r="R623" s="1547"/>
      <c r="S623" s="1850"/>
      <c r="T623" s="1849">
        <v>480</v>
      </c>
      <c r="U623" s="1547"/>
      <c r="V623" s="1850"/>
      <c r="W623" s="1593">
        <v>6.0499999999999998E-2</v>
      </c>
      <c r="X623" s="1594"/>
      <c r="Y623" s="1595"/>
      <c r="Z623" s="1707" t="s">
        <v>2561</v>
      </c>
      <c r="AA623" s="1708"/>
      <c r="AB623" s="1709"/>
      <c r="AC623" s="1429">
        <v>1</v>
      </c>
      <c r="AD623" s="1430"/>
      <c r="AE623" s="1431"/>
      <c r="AF623" s="1578">
        <v>2159442</v>
      </c>
      <c r="AG623" s="1579"/>
      <c r="AH623" s="1579"/>
      <c r="AI623" s="1579"/>
      <c r="AJ623" s="1580"/>
      <c r="AK623" s="1596"/>
      <c r="AL623" s="1597"/>
      <c r="AM623" s="1597"/>
      <c r="AN623" s="1598"/>
      <c r="AO623" s="1611">
        <v>32500000</v>
      </c>
      <c r="AP623" s="1611"/>
      <c r="AQ623" s="1611"/>
      <c r="AR623" s="1611"/>
      <c r="AS623" s="1611"/>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52</v>
      </c>
      <c r="BX623" s="3"/>
      <c r="BY623" s="3"/>
      <c r="BZ623" s="3"/>
      <c r="CA623" s="3"/>
      <c r="CB623" s="897">
        <f>BX621*2</f>
        <v>80</v>
      </c>
      <c r="CC623" s="3"/>
      <c r="CD623" s="3"/>
      <c r="CE623" s="3"/>
      <c r="CF623" s="3"/>
      <c r="CG623" s="897">
        <f>CC621*3</f>
        <v>96</v>
      </c>
      <c r="CH623" s="3"/>
      <c r="CI623" s="3"/>
      <c r="CJ623" s="3"/>
      <c r="CK623" s="3"/>
      <c r="CL623" s="897">
        <f>CH621*4</f>
        <v>0</v>
      </c>
      <c r="CM623" s="3"/>
      <c r="CN623" s="3"/>
      <c r="CO623" s="3"/>
      <c r="CP623" s="3"/>
      <c r="CQ623" s="897">
        <f>CM621*5</f>
        <v>0</v>
      </c>
      <c r="CS623" s="897">
        <f>BR623+BW623+CB623+CG623+CL623+CQ623</f>
        <v>228</v>
      </c>
      <c r="CT623" s="57" t="s">
        <v>2127</v>
      </c>
      <c r="CU623" s="3"/>
      <c r="CV623" s="3"/>
      <c r="CW623" s="3"/>
      <c r="CX623" s="3"/>
      <c r="CY623" s="3"/>
      <c r="CZ623" s="3"/>
      <c r="DA623" s="3"/>
      <c r="DB623" s="3"/>
      <c r="DC623" s="3"/>
      <c r="DD623" s="3"/>
      <c r="DE623" s="3"/>
      <c r="DF623" s="3"/>
    </row>
    <row r="624" spans="1:157" ht="12.9" customHeight="1">
      <c r="B624" s="52" t="s">
        <v>114</v>
      </c>
      <c r="C624" s="1603" t="s">
        <v>2724</v>
      </c>
      <c r="D624" s="1603"/>
      <c r="E624" s="1603"/>
      <c r="F624" s="1603"/>
      <c r="G624" s="1603"/>
      <c r="H624" s="1603"/>
      <c r="I624" s="1603"/>
      <c r="J624" s="1603"/>
      <c r="K624" s="1603"/>
      <c r="L624" s="1603"/>
      <c r="M624" s="1848" t="s">
        <v>2552</v>
      </c>
      <c r="N624" s="1848"/>
      <c r="O624" s="1848"/>
      <c r="P624" s="1848"/>
      <c r="Q624" s="1849" t="s">
        <v>601</v>
      </c>
      <c r="R624" s="1547"/>
      <c r="S624" s="1850"/>
      <c r="T624" s="1849" t="s">
        <v>601</v>
      </c>
      <c r="U624" s="1547"/>
      <c r="V624" s="1850"/>
      <c r="W624" s="1593" t="s">
        <v>601</v>
      </c>
      <c r="X624" s="1594"/>
      <c r="Y624" s="1595"/>
      <c r="Z624" s="1707" t="s">
        <v>1328</v>
      </c>
      <c r="AA624" s="1708"/>
      <c r="AB624" s="1709"/>
      <c r="AC624" s="1429" t="s">
        <v>601</v>
      </c>
      <c r="AD624" s="1430"/>
      <c r="AE624" s="1431"/>
      <c r="AF624" s="1578"/>
      <c r="AG624" s="1579"/>
      <c r="AH624" s="1579"/>
      <c r="AI624" s="1579"/>
      <c r="AJ624" s="1580"/>
      <c r="AK624" s="1596"/>
      <c r="AL624" s="1597"/>
      <c r="AM624" s="1597"/>
      <c r="AN624" s="1598"/>
      <c r="AO624" s="1599">
        <v>364282</v>
      </c>
      <c r="AP624" s="1600"/>
      <c r="AQ624" s="1600"/>
      <c r="AR624" s="1600"/>
      <c r="AS624" s="1601"/>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3">DX596*(BN596/$BN$621)</f>
        <v>#VALUE!</v>
      </c>
      <c r="DY624" s="1847"/>
      <c r="DZ624" s="1847"/>
      <c r="EA624" s="1847"/>
      <c r="EB624" s="1847"/>
      <c r="EC624" s="1847">
        <f t="shared" ref="EC624:EC648" si="24">EC596*(BS596/$BS$621)</f>
        <v>93.65384615384616</v>
      </c>
      <c r="ED624" s="1847"/>
      <c r="EE624" s="1847"/>
      <c r="EF624" s="1847"/>
      <c r="EG624" s="1847"/>
      <c r="EH624" s="1847" t="e">
        <f t="shared" ref="EH624:EH648" si="25">EH596*(BX596/$BX$621)</f>
        <v>#VALUE!</v>
      </c>
      <c r="EI624" s="1847"/>
      <c r="EJ624" s="1847"/>
      <c r="EK624" s="1847"/>
      <c r="EL624" s="1847"/>
      <c r="EM624" s="1847" t="e">
        <f t="shared" ref="EM624:EM648" si="26">EM596*(CC596/$CC$621)</f>
        <v>#VALUE!</v>
      </c>
      <c r="EN624" s="1847"/>
      <c r="EO624" s="1847"/>
      <c r="EP624" s="1847"/>
      <c r="EQ624" s="1847"/>
      <c r="ER624" s="1847" t="e">
        <f t="shared" ref="ER624:ER648" si="27">ER596*(CH596/$CH$621)</f>
        <v>#VALUE!</v>
      </c>
      <c r="ES624" s="1847"/>
      <c r="ET624" s="1847"/>
      <c r="EU624" s="1847"/>
      <c r="EV624" s="1847"/>
      <c r="EW624" s="1847" t="e">
        <f t="shared" ref="EW624:EW648" si="28">EW596*(CM596/$CM$621)</f>
        <v>#VALUE!</v>
      </c>
      <c r="EX624" s="1847"/>
      <c r="EY624" s="1847"/>
      <c r="EZ624" s="1847"/>
      <c r="FA624" s="1847"/>
    </row>
    <row r="625" spans="1:157" ht="12.9" customHeight="1">
      <c r="B625" s="52" t="s">
        <v>120</v>
      </c>
      <c r="C625" s="1603" t="s">
        <v>1923</v>
      </c>
      <c r="D625" s="1603"/>
      <c r="E625" s="1603"/>
      <c r="F625" s="1603"/>
      <c r="G625" s="1603"/>
      <c r="H625" s="1603"/>
      <c r="I625" s="1603"/>
      <c r="J625" s="1603"/>
      <c r="K625" s="1603"/>
      <c r="L625" s="1603"/>
      <c r="M625" s="1848" t="s">
        <v>2536</v>
      </c>
      <c r="N625" s="1848"/>
      <c r="O625" s="1848"/>
      <c r="P625" s="1848"/>
      <c r="Q625" s="1849" t="s">
        <v>601</v>
      </c>
      <c r="R625" s="1547"/>
      <c r="S625" s="1850"/>
      <c r="T625" s="1849" t="s">
        <v>601</v>
      </c>
      <c r="U625" s="1547"/>
      <c r="V625" s="1850"/>
      <c r="W625" s="1593" t="s">
        <v>601</v>
      </c>
      <c r="X625" s="1594"/>
      <c r="Y625" s="1595"/>
      <c r="Z625" s="1707" t="s">
        <v>468</v>
      </c>
      <c r="AA625" s="1708"/>
      <c r="AB625" s="1709"/>
      <c r="AC625" s="1429" t="s">
        <v>601</v>
      </c>
      <c r="AD625" s="1430"/>
      <c r="AE625" s="1431"/>
      <c r="AF625" s="1578"/>
      <c r="AG625" s="1579"/>
      <c r="AH625" s="1579"/>
      <c r="AI625" s="1579"/>
      <c r="AJ625" s="1580"/>
      <c r="AK625" s="1596"/>
      <c r="AL625" s="1597"/>
      <c r="AM625" s="1597"/>
      <c r="AN625" s="1598"/>
      <c r="AO625" s="1599">
        <v>4876411</v>
      </c>
      <c r="AP625" s="1600"/>
      <c r="AQ625" s="1600"/>
      <c r="AR625" s="1600"/>
      <c r="AS625" s="1601"/>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3"/>
        <v>#VALUE!</v>
      </c>
      <c r="DY625" s="1847"/>
      <c r="DZ625" s="1847"/>
      <c r="EA625" s="1847"/>
      <c r="EB625" s="1847"/>
      <c r="EC625" s="1847">
        <f t="shared" si="24"/>
        <v>450.42307692307691</v>
      </c>
      <c r="ED625" s="1847"/>
      <c r="EE625" s="1847"/>
      <c r="EF625" s="1847"/>
      <c r="EG625" s="1847"/>
      <c r="EH625" s="1847" t="e">
        <f t="shared" si="25"/>
        <v>#VALUE!</v>
      </c>
      <c r="EI625" s="1847"/>
      <c r="EJ625" s="1847"/>
      <c r="EK625" s="1847"/>
      <c r="EL625" s="1847"/>
      <c r="EM625" s="1847" t="e">
        <f t="shared" si="26"/>
        <v>#VALUE!</v>
      </c>
      <c r="EN625" s="1847"/>
      <c r="EO625" s="1847"/>
      <c r="EP625" s="1847"/>
      <c r="EQ625" s="1847"/>
      <c r="ER625" s="1847" t="e">
        <f t="shared" si="27"/>
        <v>#VALUE!</v>
      </c>
      <c r="ES625" s="1847"/>
      <c r="ET625" s="1847"/>
      <c r="EU625" s="1847"/>
      <c r="EV625" s="1847"/>
      <c r="EW625" s="1847" t="e">
        <f t="shared" si="28"/>
        <v>#VALUE!</v>
      </c>
      <c r="EX625" s="1847"/>
      <c r="EY625" s="1847"/>
      <c r="EZ625" s="1847"/>
      <c r="FA625" s="1847"/>
    </row>
    <row r="626" spans="1:157" ht="12.9" customHeight="1">
      <c r="B626" s="52" t="s">
        <v>591</v>
      </c>
      <c r="C626" s="1603" t="s">
        <v>2727</v>
      </c>
      <c r="D626" s="1604"/>
      <c r="E626" s="1604"/>
      <c r="F626" s="1604"/>
      <c r="G626" s="1604"/>
      <c r="H626" s="1604"/>
      <c r="I626" s="1604"/>
      <c r="J626" s="1604"/>
      <c r="K626" s="1604"/>
      <c r="L626" s="1604"/>
      <c r="M626" s="1848" t="s">
        <v>2545</v>
      </c>
      <c r="N626" s="1848"/>
      <c r="O626" s="1848"/>
      <c r="P626" s="1848"/>
      <c r="Q626" s="1849">
        <v>660</v>
      </c>
      <c r="R626" s="1547"/>
      <c r="S626" s="1850"/>
      <c r="T626" s="1849" t="s">
        <v>601</v>
      </c>
      <c r="U626" s="1547"/>
      <c r="V626" s="1850"/>
      <c r="W626" s="1593">
        <v>0.03</v>
      </c>
      <c r="X626" s="1594"/>
      <c r="Y626" s="1595"/>
      <c r="Z626" s="1707" t="s">
        <v>467</v>
      </c>
      <c r="AA626" s="1708"/>
      <c r="AB626" s="1709"/>
      <c r="AC626" s="1429">
        <v>2</v>
      </c>
      <c r="AD626" s="1430"/>
      <c r="AE626" s="1431"/>
      <c r="AF626" s="1578"/>
      <c r="AG626" s="1579"/>
      <c r="AH626" s="1579"/>
      <c r="AI626" s="1579"/>
      <c r="AJ626" s="1580"/>
      <c r="AK626" s="1596"/>
      <c r="AL626" s="1597"/>
      <c r="AM626" s="1597"/>
      <c r="AN626" s="1598"/>
      <c r="AO626" s="1599">
        <v>13900000</v>
      </c>
      <c r="AP626" s="1600"/>
      <c r="AQ626" s="1600"/>
      <c r="AR626" s="1600"/>
      <c r="AS626" s="1601"/>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505">
        <f>IF(J758="SRO/Studio",O758,0)</f>
        <v>0</v>
      </c>
      <c r="BO626" s="1506"/>
      <c r="BP626" s="1506"/>
      <c r="BQ626" s="1506"/>
      <c r="BR626" s="1507"/>
      <c r="BS626" s="1396">
        <f>IF(J758="1 Bedroom",O758,0)</f>
        <v>0</v>
      </c>
      <c r="BT626" s="1396"/>
      <c r="BU626" s="1396"/>
      <c r="BV626" s="1396"/>
      <c r="BW626" s="1396"/>
      <c r="BX626" s="1396">
        <f>IF(J758="2 Bedrooms",O758,0)</f>
        <v>0</v>
      </c>
      <c r="BY626" s="1396"/>
      <c r="BZ626" s="1396"/>
      <c r="CA626" s="1396"/>
      <c r="CB626" s="1396"/>
      <c r="CC626" s="1396">
        <f>IF(J758="3 Bedrooms",O758,0)</f>
        <v>1</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47" t="e">
        <f t="shared" si="23"/>
        <v>#VALUE!</v>
      </c>
      <c r="DY626" s="1847"/>
      <c r="DZ626" s="1847"/>
      <c r="EA626" s="1847"/>
      <c r="EB626" s="1847"/>
      <c r="EC626" s="1847">
        <f t="shared" si="24"/>
        <v>611.28846153846155</v>
      </c>
      <c r="ED626" s="1847"/>
      <c r="EE626" s="1847"/>
      <c r="EF626" s="1847"/>
      <c r="EG626" s="1847"/>
      <c r="EH626" s="1847" t="e">
        <f t="shared" si="25"/>
        <v>#VALUE!</v>
      </c>
      <c r="EI626" s="1847"/>
      <c r="EJ626" s="1847"/>
      <c r="EK626" s="1847"/>
      <c r="EL626" s="1847"/>
      <c r="EM626" s="1847" t="e">
        <f t="shared" si="26"/>
        <v>#VALUE!</v>
      </c>
      <c r="EN626" s="1847"/>
      <c r="EO626" s="1847"/>
      <c r="EP626" s="1847"/>
      <c r="EQ626" s="1847"/>
      <c r="ER626" s="1847" t="e">
        <f t="shared" si="27"/>
        <v>#VALUE!</v>
      </c>
      <c r="ES626" s="1847"/>
      <c r="ET626" s="1847"/>
      <c r="EU626" s="1847"/>
      <c r="EV626" s="1847"/>
      <c r="EW626" s="1847" t="e">
        <f t="shared" si="28"/>
        <v>#VALUE!</v>
      </c>
      <c r="EX626" s="1847"/>
      <c r="EY626" s="1847"/>
      <c r="EZ626" s="1847"/>
      <c r="FA626" s="1847"/>
    </row>
    <row r="627" spans="1:157" ht="12.9" customHeight="1">
      <c r="B627" s="52" t="s">
        <v>788</v>
      </c>
      <c r="C627" s="1603" t="s">
        <v>2728</v>
      </c>
      <c r="D627" s="1604"/>
      <c r="E627" s="1604"/>
      <c r="F627" s="1604"/>
      <c r="G627" s="1604"/>
      <c r="H627" s="1604"/>
      <c r="I627" s="1604"/>
      <c r="J627" s="1604"/>
      <c r="K627" s="1604"/>
      <c r="L627" s="1604"/>
      <c r="M627" s="1848" t="s">
        <v>2545</v>
      </c>
      <c r="N627" s="1848"/>
      <c r="O627" s="1848"/>
      <c r="P627" s="1848"/>
      <c r="Q627" s="1849">
        <v>660</v>
      </c>
      <c r="R627" s="1547"/>
      <c r="S627" s="1850"/>
      <c r="T627" s="1849" t="s">
        <v>601</v>
      </c>
      <c r="U627" s="1547"/>
      <c r="V627" s="1850"/>
      <c r="W627" s="1593">
        <v>0.03</v>
      </c>
      <c r="X627" s="1594"/>
      <c r="Y627" s="1595"/>
      <c r="Z627" s="1707" t="s">
        <v>467</v>
      </c>
      <c r="AA627" s="1708"/>
      <c r="AB627" s="1709"/>
      <c r="AC627" s="1429">
        <v>2</v>
      </c>
      <c r="AD627" s="1430"/>
      <c r="AE627" s="1431"/>
      <c r="AF627" s="1578"/>
      <c r="AG627" s="1579"/>
      <c r="AH627" s="1579"/>
      <c r="AI627" s="1579"/>
      <c r="AJ627" s="1580"/>
      <c r="AK627" s="1596"/>
      <c r="AL627" s="1597"/>
      <c r="AM627" s="1597"/>
      <c r="AN627" s="1598"/>
      <c r="AO627" s="1599">
        <v>2500000</v>
      </c>
      <c r="AP627" s="1600"/>
      <c r="AQ627" s="1600"/>
      <c r="AR627" s="1600"/>
      <c r="AS627" s="1601"/>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5">
        <f>IF(J759="SRO/Studio",O759,0)</f>
        <v>0</v>
      </c>
      <c r="BO627" s="1506"/>
      <c r="BP627" s="1506"/>
      <c r="BQ627" s="1506"/>
      <c r="BR627" s="1507"/>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47" t="e">
        <f t="shared" si="23"/>
        <v>#VALUE!</v>
      </c>
      <c r="DY627" s="1847"/>
      <c r="DZ627" s="1847"/>
      <c r="EA627" s="1847"/>
      <c r="EB627" s="1847"/>
      <c r="EC627" s="1847">
        <f t="shared" si="24"/>
        <v>155.61538461538461</v>
      </c>
      <c r="ED627" s="1847"/>
      <c r="EE627" s="1847"/>
      <c r="EF627" s="1847"/>
      <c r="EG627" s="1847"/>
      <c r="EH627" s="1847" t="e">
        <f t="shared" si="25"/>
        <v>#VALUE!</v>
      </c>
      <c r="EI627" s="1847"/>
      <c r="EJ627" s="1847"/>
      <c r="EK627" s="1847"/>
      <c r="EL627" s="1847"/>
      <c r="EM627" s="1847" t="e">
        <f t="shared" si="26"/>
        <v>#VALUE!</v>
      </c>
      <c r="EN627" s="1847"/>
      <c r="EO627" s="1847"/>
      <c r="EP627" s="1847"/>
      <c r="EQ627" s="1847"/>
      <c r="ER627" s="1847" t="e">
        <f t="shared" si="27"/>
        <v>#VALUE!</v>
      </c>
      <c r="ES627" s="1847"/>
      <c r="ET627" s="1847"/>
      <c r="EU627" s="1847"/>
      <c r="EV627" s="1847"/>
      <c r="EW627" s="1847" t="e">
        <f t="shared" si="28"/>
        <v>#VALUE!</v>
      </c>
      <c r="EX627" s="1847"/>
      <c r="EY627" s="1847"/>
      <c r="EZ627" s="1847"/>
      <c r="FA627" s="1847"/>
    </row>
    <row r="628" spans="1:157" ht="12.9" customHeight="1">
      <c r="B628" s="52" t="s">
        <v>594</v>
      </c>
      <c r="C628" s="1604"/>
      <c r="D628" s="1604"/>
      <c r="E628" s="1604"/>
      <c r="F628" s="1604"/>
      <c r="G628" s="1604"/>
      <c r="H628" s="1604"/>
      <c r="I628" s="1604"/>
      <c r="J628" s="1604"/>
      <c r="K628" s="1604"/>
      <c r="L628" s="1604"/>
      <c r="M628" s="1848" t="s">
        <v>1328</v>
      </c>
      <c r="N628" s="1848"/>
      <c r="O628" s="1848"/>
      <c r="P628" s="1848"/>
      <c r="Q628" s="1849"/>
      <c r="R628" s="1547"/>
      <c r="S628" s="1850"/>
      <c r="T628" s="1849"/>
      <c r="U628" s="1547"/>
      <c r="V628" s="1850"/>
      <c r="W628" s="1593"/>
      <c r="X628" s="1594"/>
      <c r="Y628" s="1595"/>
      <c r="Z628" s="1707" t="s">
        <v>1328</v>
      </c>
      <c r="AA628" s="1708"/>
      <c r="AB628" s="1709"/>
      <c r="AC628" s="1429"/>
      <c r="AD628" s="1430"/>
      <c r="AE628" s="1431"/>
      <c r="AF628" s="1578"/>
      <c r="AG628" s="1579"/>
      <c r="AH628" s="1579"/>
      <c r="AI628" s="1579"/>
      <c r="AJ628" s="1580"/>
      <c r="AK628" s="1596"/>
      <c r="AL628" s="1597"/>
      <c r="AM628" s="1597"/>
      <c r="AN628" s="1598"/>
      <c r="AO628" s="1599"/>
      <c r="AP628" s="1600"/>
      <c r="AQ628" s="1600"/>
      <c r="AR628" s="1600"/>
      <c r="AS628" s="160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5">
        <f>IF(J760="SRO/Studio",O760,0)</f>
        <v>0</v>
      </c>
      <c r="BO628" s="1506"/>
      <c r="BP628" s="1506"/>
      <c r="BQ628" s="1506"/>
      <c r="BR628" s="1507"/>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47" t="e">
        <f t="shared" si="23"/>
        <v>#VALUE!</v>
      </c>
      <c r="DY628" s="1847"/>
      <c r="DZ628" s="1847"/>
      <c r="EA628" s="1847"/>
      <c r="EB628" s="1847"/>
      <c r="EC628" s="1847">
        <f t="shared" si="24"/>
        <v>456.15384615384619</v>
      </c>
      <c r="ED628" s="1847"/>
      <c r="EE628" s="1847"/>
      <c r="EF628" s="1847"/>
      <c r="EG628" s="1847"/>
      <c r="EH628" s="1847" t="e">
        <f t="shared" si="25"/>
        <v>#VALUE!</v>
      </c>
      <c r="EI628" s="1847"/>
      <c r="EJ628" s="1847"/>
      <c r="EK628" s="1847"/>
      <c r="EL628" s="1847"/>
      <c r="EM628" s="1847" t="e">
        <f t="shared" si="26"/>
        <v>#VALUE!</v>
      </c>
      <c r="EN628" s="1847"/>
      <c r="EO628" s="1847"/>
      <c r="EP628" s="1847"/>
      <c r="EQ628" s="1847"/>
      <c r="ER628" s="1847" t="e">
        <f t="shared" si="27"/>
        <v>#VALUE!</v>
      </c>
      <c r="ES628" s="1847"/>
      <c r="ET628" s="1847"/>
      <c r="EU628" s="1847"/>
      <c r="EV628" s="1847"/>
      <c r="EW628" s="1847" t="e">
        <f t="shared" si="28"/>
        <v>#VALUE!</v>
      </c>
      <c r="EX628" s="1847"/>
      <c r="EY628" s="1847"/>
      <c r="EZ628" s="1847"/>
      <c r="FA628" s="1847"/>
    </row>
    <row r="629" spans="1:157" ht="12.9" customHeight="1">
      <c r="B629" s="52" t="s">
        <v>465</v>
      </c>
      <c r="C629" s="1604"/>
      <c r="D629" s="1604"/>
      <c r="E629" s="1604"/>
      <c r="F629" s="1604"/>
      <c r="G629" s="1604"/>
      <c r="H629" s="1604"/>
      <c r="I629" s="1604"/>
      <c r="J629" s="1604"/>
      <c r="K629" s="1604"/>
      <c r="L629" s="1604"/>
      <c r="M629" s="1848" t="s">
        <v>1328</v>
      </c>
      <c r="N629" s="1848"/>
      <c r="O629" s="1848"/>
      <c r="P629" s="1848"/>
      <c r="Q629" s="1849"/>
      <c r="R629" s="1547"/>
      <c r="S629" s="1850"/>
      <c r="T629" s="1849"/>
      <c r="U629" s="1547"/>
      <c r="V629" s="1850"/>
      <c r="W629" s="1593"/>
      <c r="X629" s="1594"/>
      <c r="Y629" s="1595"/>
      <c r="Z629" s="1707" t="s">
        <v>1328</v>
      </c>
      <c r="AA629" s="1708"/>
      <c r="AB629" s="1709"/>
      <c r="AC629" s="1429"/>
      <c r="AD629" s="1430"/>
      <c r="AE629" s="1431"/>
      <c r="AF629" s="1578"/>
      <c r="AG629" s="1579"/>
      <c r="AH629" s="1579"/>
      <c r="AI629" s="1579"/>
      <c r="AJ629" s="1580"/>
      <c r="AK629" s="1596"/>
      <c r="AL629" s="1597"/>
      <c r="AM629" s="1597"/>
      <c r="AN629" s="1598"/>
      <c r="AO629" s="1599"/>
      <c r="AP629" s="1600"/>
      <c r="AQ629" s="1600"/>
      <c r="AR629" s="1600"/>
      <c r="AS629" s="160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5">
        <f>IF(J761="SRO/Studio",O761,0)</f>
        <v>0</v>
      </c>
      <c r="BO629" s="1506"/>
      <c r="BP629" s="1506"/>
      <c r="BQ629" s="1506"/>
      <c r="BR629" s="1507"/>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47" t="e">
        <f t="shared" si="23"/>
        <v>#VALUE!</v>
      </c>
      <c r="DY629" s="1847"/>
      <c r="DZ629" s="1847"/>
      <c r="EA629" s="1847"/>
      <c r="EB629" s="1847"/>
      <c r="EC629" s="1847" t="e">
        <f t="shared" si="24"/>
        <v>#VALUE!</v>
      </c>
      <c r="ED629" s="1847"/>
      <c r="EE629" s="1847"/>
      <c r="EF629" s="1847"/>
      <c r="EG629" s="1847"/>
      <c r="EH629" s="1847">
        <f t="shared" si="25"/>
        <v>375.7</v>
      </c>
      <c r="EI629" s="1847"/>
      <c r="EJ629" s="1847"/>
      <c r="EK629" s="1847"/>
      <c r="EL629" s="1847"/>
      <c r="EM629" s="1847" t="e">
        <f t="shared" si="26"/>
        <v>#VALUE!</v>
      </c>
      <c r="EN629" s="1847"/>
      <c r="EO629" s="1847"/>
      <c r="EP629" s="1847"/>
      <c r="EQ629" s="1847"/>
      <c r="ER629" s="1847" t="e">
        <f t="shared" si="27"/>
        <v>#VALUE!</v>
      </c>
      <c r="ES629" s="1847"/>
      <c r="ET629" s="1847"/>
      <c r="EU629" s="1847"/>
      <c r="EV629" s="1847"/>
      <c r="EW629" s="1847" t="e">
        <f t="shared" si="28"/>
        <v>#VALUE!</v>
      </c>
      <c r="EX629" s="1847"/>
      <c r="EY629" s="1847"/>
      <c r="EZ629" s="1847"/>
      <c r="FA629" s="1847"/>
    </row>
    <row r="630" spans="1:157" ht="12.9" customHeight="1">
      <c r="B630" s="52" t="s">
        <v>466</v>
      </c>
      <c r="C630" s="1604"/>
      <c r="D630" s="1604"/>
      <c r="E630" s="1604"/>
      <c r="F630" s="1604"/>
      <c r="G630" s="1604"/>
      <c r="H630" s="1604"/>
      <c r="I630" s="1604"/>
      <c r="J630" s="1604"/>
      <c r="K630" s="1604"/>
      <c r="L630" s="1604"/>
      <c r="M630" s="1848" t="s">
        <v>1328</v>
      </c>
      <c r="N630" s="1848"/>
      <c r="O630" s="1848"/>
      <c r="P630" s="1848"/>
      <c r="Q630" s="1849"/>
      <c r="R630" s="1547"/>
      <c r="S630" s="1850"/>
      <c r="T630" s="1849"/>
      <c r="U630" s="1547"/>
      <c r="V630" s="1850"/>
      <c r="W630" s="1593"/>
      <c r="X630" s="1594"/>
      <c r="Y630" s="1595"/>
      <c r="Z630" s="1707" t="s">
        <v>1328</v>
      </c>
      <c r="AA630" s="1708"/>
      <c r="AB630" s="1709"/>
      <c r="AC630" s="1429"/>
      <c r="AD630" s="1430"/>
      <c r="AE630" s="1431"/>
      <c r="AF630" s="1578"/>
      <c r="AG630" s="1579"/>
      <c r="AH630" s="1579"/>
      <c r="AI630" s="1579"/>
      <c r="AJ630" s="1580"/>
      <c r="AK630" s="1596"/>
      <c r="AL630" s="1597"/>
      <c r="AM630" s="1597"/>
      <c r="AN630" s="1598"/>
      <c r="AO630" s="1599"/>
      <c r="AP630" s="1600"/>
      <c r="AQ630" s="1600"/>
      <c r="AR630" s="1600"/>
      <c r="AS630" s="160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4">
        <f>SUM(BN626:BR629)</f>
        <v>0</v>
      </c>
      <c r="BO630" s="1508"/>
      <c r="BP630" s="1508"/>
      <c r="BQ630" s="1508"/>
      <c r="BR630" s="1495"/>
      <c r="BS630" s="1701">
        <f>SUM(BS626:BW629)</f>
        <v>0</v>
      </c>
      <c r="BT630" s="1702"/>
      <c r="BU630" s="1702"/>
      <c r="BV630" s="1702"/>
      <c r="BW630" s="1703"/>
      <c r="BX630" s="1701">
        <f>SUM(BX626:CB629)</f>
        <v>0</v>
      </c>
      <c r="BY630" s="1702"/>
      <c r="BZ630" s="1702"/>
      <c r="CA630" s="1702"/>
      <c r="CB630" s="1703"/>
      <c r="CC630" s="1701">
        <f>SUM(CC626:CG629)</f>
        <v>1</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47" t="e">
        <f t="shared" si="23"/>
        <v>#VALUE!</v>
      </c>
      <c r="DY630" s="1847"/>
      <c r="DZ630" s="1847"/>
      <c r="EA630" s="1847"/>
      <c r="EB630" s="1847"/>
      <c r="EC630" s="1847" t="e">
        <f t="shared" si="24"/>
        <v>#VALUE!</v>
      </c>
      <c r="ED630" s="1847"/>
      <c r="EE630" s="1847"/>
      <c r="EF630" s="1847"/>
      <c r="EG630" s="1847"/>
      <c r="EH630" s="1847">
        <f t="shared" si="25"/>
        <v>49.875</v>
      </c>
      <c r="EI630" s="1847"/>
      <c r="EJ630" s="1847"/>
      <c r="EK630" s="1847"/>
      <c r="EL630" s="1847"/>
      <c r="EM630" s="1847" t="e">
        <f t="shared" si="26"/>
        <v>#VALUE!</v>
      </c>
      <c r="EN630" s="1847"/>
      <c r="EO630" s="1847"/>
      <c r="EP630" s="1847"/>
      <c r="EQ630" s="1847"/>
      <c r="ER630" s="1847" t="e">
        <f t="shared" si="27"/>
        <v>#VALUE!</v>
      </c>
      <c r="ES630" s="1847"/>
      <c r="ET630" s="1847"/>
      <c r="EU630" s="1847"/>
      <c r="EV630" s="1847"/>
      <c r="EW630" s="1847" t="e">
        <f t="shared" si="28"/>
        <v>#VALUE!</v>
      </c>
      <c r="EX630" s="1847"/>
      <c r="EY630" s="1847"/>
      <c r="EZ630" s="1847"/>
      <c r="FA630" s="1847"/>
    </row>
    <row r="631" spans="1:157" ht="12.9" customHeight="1">
      <c r="B631" s="52" t="s">
        <v>471</v>
      </c>
      <c r="C631" s="1604"/>
      <c r="D631" s="1604"/>
      <c r="E631" s="1604"/>
      <c r="F631" s="1604"/>
      <c r="G631" s="1604"/>
      <c r="H631" s="1604"/>
      <c r="I631" s="1604"/>
      <c r="J631" s="1604"/>
      <c r="K631" s="1604"/>
      <c r="L631" s="1604"/>
      <c r="M631" s="1848" t="s">
        <v>1328</v>
      </c>
      <c r="N631" s="1848"/>
      <c r="O631" s="1848"/>
      <c r="P631" s="1848"/>
      <c r="Q631" s="1849"/>
      <c r="R631" s="1547"/>
      <c r="S631" s="1850"/>
      <c r="T631" s="1849"/>
      <c r="U631" s="1547"/>
      <c r="V631" s="1850"/>
      <c r="W631" s="1593"/>
      <c r="X631" s="1594"/>
      <c r="Y631" s="1595"/>
      <c r="Z631" s="1707" t="s">
        <v>1328</v>
      </c>
      <c r="AA631" s="1708"/>
      <c r="AB631" s="1709"/>
      <c r="AC631" s="1429"/>
      <c r="AD631" s="1430"/>
      <c r="AE631" s="1431"/>
      <c r="AF631" s="1578"/>
      <c r="AG631" s="1579"/>
      <c r="AH631" s="1579"/>
      <c r="AI631" s="1579"/>
      <c r="AJ631" s="1580"/>
      <c r="AK631" s="1596"/>
      <c r="AL631" s="1597"/>
      <c r="AM631" s="1597"/>
      <c r="AN631" s="1598"/>
      <c r="AO631" s="1599"/>
      <c r="AP631" s="1600"/>
      <c r="AQ631" s="1600"/>
      <c r="AR631" s="1600"/>
      <c r="AS631" s="160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2126</v>
      </c>
      <c r="CU631" s="3"/>
      <c r="CV631" s="3"/>
      <c r="CW631" s="3"/>
      <c r="CX631" s="3"/>
      <c r="CY631" s="3"/>
      <c r="CZ631" s="3"/>
      <c r="DA631" s="3"/>
      <c r="DB631" s="3"/>
      <c r="DC631" s="3"/>
      <c r="DD631" s="3"/>
      <c r="DE631" s="3"/>
      <c r="DF631" s="3"/>
      <c r="DX631" s="1847" t="e">
        <f t="shared" si="23"/>
        <v>#VALUE!</v>
      </c>
      <c r="DY631" s="1847"/>
      <c r="DZ631" s="1847"/>
      <c r="EA631" s="1847"/>
      <c r="EB631" s="1847"/>
      <c r="EC631" s="1847" t="e">
        <f t="shared" si="24"/>
        <v>#VALUE!</v>
      </c>
      <c r="ED631" s="1847"/>
      <c r="EE631" s="1847"/>
      <c r="EF631" s="1847"/>
      <c r="EG631" s="1847"/>
      <c r="EH631" s="1847">
        <f t="shared" si="25"/>
        <v>299.25</v>
      </c>
      <c r="EI631" s="1847"/>
      <c r="EJ631" s="1847"/>
      <c r="EK631" s="1847"/>
      <c r="EL631" s="1847"/>
      <c r="EM631" s="1847" t="e">
        <f t="shared" si="26"/>
        <v>#VALUE!</v>
      </c>
      <c r="EN631" s="1847"/>
      <c r="EO631" s="1847"/>
      <c r="EP631" s="1847"/>
      <c r="EQ631" s="1847"/>
      <c r="ER631" s="1847" t="e">
        <f t="shared" si="27"/>
        <v>#VALUE!</v>
      </c>
      <c r="ES631" s="1847"/>
      <c r="ET631" s="1847"/>
      <c r="EU631" s="1847"/>
      <c r="EV631" s="1847"/>
      <c r="EW631" s="1847" t="e">
        <f t="shared" si="28"/>
        <v>#VALUE!</v>
      </c>
      <c r="EX631" s="1847"/>
      <c r="EY631" s="1847"/>
      <c r="EZ631" s="1847"/>
      <c r="FA631" s="1847"/>
    </row>
    <row r="632" spans="1:157" ht="12.9" customHeight="1">
      <c r="B632" s="52" t="s">
        <v>656</v>
      </c>
      <c r="C632" s="1604"/>
      <c r="D632" s="1604"/>
      <c r="E632" s="1604"/>
      <c r="F632" s="1604"/>
      <c r="G632" s="1604"/>
      <c r="H632" s="1604"/>
      <c r="I632" s="1604"/>
      <c r="J632" s="1604"/>
      <c r="K632" s="1604"/>
      <c r="L632" s="1604"/>
      <c r="M632" s="1848" t="s">
        <v>1328</v>
      </c>
      <c r="N632" s="1848"/>
      <c r="O632" s="1848"/>
      <c r="P632" s="1848"/>
      <c r="Q632" s="1849"/>
      <c r="R632" s="1547"/>
      <c r="S632" s="1850"/>
      <c r="T632" s="1849"/>
      <c r="U632" s="1547"/>
      <c r="V632" s="1850"/>
      <c r="W632" s="1593"/>
      <c r="X632" s="1594"/>
      <c r="Y632" s="1595"/>
      <c r="Z632" s="1707" t="s">
        <v>1328</v>
      </c>
      <c r="AA632" s="1708"/>
      <c r="AB632" s="1709"/>
      <c r="AC632" s="1429"/>
      <c r="AD632" s="1430"/>
      <c r="AE632" s="1431"/>
      <c r="AF632" s="1578"/>
      <c r="AG632" s="1579"/>
      <c r="AH632" s="1579"/>
      <c r="AI632" s="1579"/>
      <c r="AJ632" s="1580"/>
      <c r="AK632" s="1596"/>
      <c r="AL632" s="1597"/>
      <c r="AM632" s="1597"/>
      <c r="AN632" s="1598"/>
      <c r="AO632" s="1599"/>
      <c r="AP632" s="1600"/>
      <c r="AQ632" s="1600"/>
      <c r="AR632" s="1600"/>
      <c r="AS632" s="160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3"/>
        <v>#VALUE!</v>
      </c>
      <c r="DY632" s="1847"/>
      <c r="DZ632" s="1847"/>
      <c r="EA632" s="1847"/>
      <c r="EB632" s="1847"/>
      <c r="EC632" s="1847" t="e">
        <f t="shared" si="24"/>
        <v>#VALUE!</v>
      </c>
      <c r="ED632" s="1847"/>
      <c r="EE632" s="1847"/>
      <c r="EF632" s="1847"/>
      <c r="EG632" s="1847"/>
      <c r="EH632" s="1847">
        <f t="shared" si="25"/>
        <v>301.75</v>
      </c>
      <c r="EI632" s="1847"/>
      <c r="EJ632" s="1847"/>
      <c r="EK632" s="1847"/>
      <c r="EL632" s="1847"/>
      <c r="EM632" s="1847" t="e">
        <f t="shared" si="26"/>
        <v>#VALUE!</v>
      </c>
      <c r="EN632" s="1847"/>
      <c r="EO632" s="1847"/>
      <c r="EP632" s="1847"/>
      <c r="EQ632" s="1847"/>
      <c r="ER632" s="1847" t="e">
        <f t="shared" si="27"/>
        <v>#VALUE!</v>
      </c>
      <c r="ES632" s="1847"/>
      <c r="ET632" s="1847"/>
      <c r="EU632" s="1847"/>
      <c r="EV632" s="1847"/>
      <c r="EW632" s="1847" t="e">
        <f t="shared" si="28"/>
        <v>#VALUE!</v>
      </c>
      <c r="EX632" s="1847"/>
      <c r="EY632" s="1847"/>
      <c r="EZ632" s="1847"/>
      <c r="FA632" s="1847"/>
    </row>
    <row r="633" spans="1:157" ht="12.9" customHeight="1">
      <c r="B633" s="52" t="s">
        <v>364</v>
      </c>
      <c r="C633" s="1604"/>
      <c r="D633" s="1604"/>
      <c r="E633" s="1604"/>
      <c r="F633" s="1604"/>
      <c r="G633" s="1604"/>
      <c r="H633" s="1604"/>
      <c r="I633" s="1604"/>
      <c r="J633" s="1604"/>
      <c r="K633" s="1604"/>
      <c r="L633" s="1604"/>
      <c r="M633" s="1848" t="s">
        <v>1328</v>
      </c>
      <c r="N633" s="1848"/>
      <c r="O633" s="1848"/>
      <c r="P633" s="1848"/>
      <c r="Q633" s="1849"/>
      <c r="R633" s="1547"/>
      <c r="S633" s="1850"/>
      <c r="T633" s="1849"/>
      <c r="U633" s="1547"/>
      <c r="V633" s="1850"/>
      <c r="W633" s="1593"/>
      <c r="X633" s="1594"/>
      <c r="Y633" s="1595"/>
      <c r="Z633" s="1707" t="s">
        <v>1328</v>
      </c>
      <c r="AA633" s="1708"/>
      <c r="AB633" s="1709"/>
      <c r="AC633" s="1429"/>
      <c r="AD633" s="1430"/>
      <c r="AE633" s="1431"/>
      <c r="AF633" s="1578"/>
      <c r="AG633" s="1579"/>
      <c r="AH633" s="1579"/>
      <c r="AI633" s="1579"/>
      <c r="AJ633" s="1580"/>
      <c r="AK633" s="1596"/>
      <c r="AL633" s="1597"/>
      <c r="AM633" s="1597"/>
      <c r="AN633" s="1598"/>
      <c r="AO633" s="1599"/>
      <c r="AP633" s="1600"/>
      <c r="AQ633" s="1600"/>
      <c r="AR633" s="1600"/>
      <c r="AS633" s="160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7" t="e">
        <f t="shared" si="23"/>
        <v>#VALUE!</v>
      </c>
      <c r="DY633" s="1847"/>
      <c r="DZ633" s="1847"/>
      <c r="EA633" s="1847"/>
      <c r="EB633" s="1847"/>
      <c r="EC633" s="1847" t="e">
        <f t="shared" si="24"/>
        <v>#VALUE!</v>
      </c>
      <c r="ED633" s="1847"/>
      <c r="EE633" s="1847"/>
      <c r="EF633" s="1847"/>
      <c r="EG633" s="1847"/>
      <c r="EH633" s="1847">
        <f t="shared" si="25"/>
        <v>1062.75</v>
      </c>
      <c r="EI633" s="1847"/>
      <c r="EJ633" s="1847"/>
      <c r="EK633" s="1847"/>
      <c r="EL633" s="1847"/>
      <c r="EM633" s="1847" t="e">
        <f t="shared" si="26"/>
        <v>#VALUE!</v>
      </c>
      <c r="EN633" s="1847"/>
      <c r="EO633" s="1847"/>
      <c r="EP633" s="1847"/>
      <c r="EQ633" s="1847"/>
      <c r="ER633" s="1847" t="e">
        <f t="shared" si="27"/>
        <v>#VALUE!</v>
      </c>
      <c r="ES633" s="1847"/>
      <c r="ET633" s="1847"/>
      <c r="EU633" s="1847"/>
      <c r="EV633" s="1847"/>
      <c r="EW633" s="1847" t="e">
        <f t="shared" si="28"/>
        <v>#VALUE!</v>
      </c>
      <c r="EX633" s="1847"/>
      <c r="EY633" s="1847"/>
      <c r="EZ633" s="1847"/>
      <c r="FA633" s="1847"/>
    </row>
    <row r="634" spans="1:157" ht="12.9" customHeight="1">
      <c r="B634" s="52" t="s">
        <v>365</v>
      </c>
      <c r="C634" s="1604"/>
      <c r="D634" s="1604"/>
      <c r="E634" s="1604"/>
      <c r="F634" s="1604"/>
      <c r="G634" s="1604"/>
      <c r="H634" s="1604"/>
      <c r="I634" s="1604"/>
      <c r="J634" s="1604"/>
      <c r="K634" s="1604"/>
      <c r="L634" s="1604"/>
      <c r="M634" s="1848" t="s">
        <v>1328</v>
      </c>
      <c r="N634" s="1848"/>
      <c r="O634" s="1848"/>
      <c r="P634" s="1848"/>
      <c r="Q634" s="1849"/>
      <c r="R634" s="1547"/>
      <c r="S634" s="1850"/>
      <c r="T634" s="1849"/>
      <c r="U634" s="1547"/>
      <c r="V634" s="1850"/>
      <c r="W634" s="1593"/>
      <c r="X634" s="1594"/>
      <c r="Y634" s="1595"/>
      <c r="Z634" s="1707" t="s">
        <v>1328</v>
      </c>
      <c r="AA634" s="1708"/>
      <c r="AB634" s="1709"/>
      <c r="AC634" s="1429"/>
      <c r="AD634" s="1430"/>
      <c r="AE634" s="1431"/>
      <c r="AF634" s="1578"/>
      <c r="AG634" s="1579"/>
      <c r="AH634" s="1579"/>
      <c r="AI634" s="1579"/>
      <c r="AJ634" s="1580"/>
      <c r="AK634" s="1596"/>
      <c r="AL634" s="1597"/>
      <c r="AM634" s="1597"/>
      <c r="AN634" s="1598"/>
      <c r="AO634" s="1599"/>
      <c r="AP634" s="1600"/>
      <c r="AQ634" s="1600"/>
      <c r="AR634" s="1600"/>
      <c r="AS634" s="160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5">
        <f t="shared" ref="BN634:BN643" si="30">IF(J772="SRO/Studio",O772,0)</f>
        <v>0</v>
      </c>
      <c r="BO634" s="1506"/>
      <c r="BP634" s="1506"/>
      <c r="BQ634" s="1506"/>
      <c r="BR634" s="1507"/>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5">
        <f>IF(AND(BN634&gt;=1,AH772&gt;=0.1,AH772&lt;=1),O772,0)</f>
        <v>0</v>
      </c>
      <c r="CT634" s="1506"/>
      <c r="CU634" s="1506"/>
      <c r="CV634" s="1506"/>
      <c r="CW634" s="1507"/>
      <c r="CX634" s="1505">
        <f>IF(AND(BS634&gt;=1,AH772&gt;=0.1,AH772&lt;=1),O772,0)</f>
        <v>0</v>
      </c>
      <c r="CY634" s="1506"/>
      <c r="CZ634" s="1506"/>
      <c r="DA634" s="1506"/>
      <c r="DB634" s="1507"/>
      <c r="DC634" s="1505">
        <f>IF(AND(BX634&gt;=1,AH772&gt;=0.1,AH772&lt;=1),O772,0)</f>
        <v>0</v>
      </c>
      <c r="DD634" s="1506"/>
      <c r="DE634" s="1506"/>
      <c r="DF634" s="1506"/>
      <c r="DG634" s="1507"/>
      <c r="DH634" s="1505">
        <f>IF(AND(CC634&gt;=1,AH772&gt;=0.1,AH772&lt;=1),O772,0)</f>
        <v>0</v>
      </c>
      <c r="DI634" s="1506"/>
      <c r="DJ634" s="1506"/>
      <c r="DK634" s="1506"/>
      <c r="DL634" s="1507"/>
      <c r="DM634" s="1505">
        <f>IF(AND(CH634&gt;=1,AH772&gt;=0.1,AH772&lt;=1),O772,0)</f>
        <v>0</v>
      </c>
      <c r="DN634" s="1506"/>
      <c r="DO634" s="1506"/>
      <c r="DP634" s="1506"/>
      <c r="DQ634" s="1507"/>
      <c r="DR634" s="1505">
        <f>IF(AND(CM634&gt;=1,AH772&gt;=0.1,AH772&lt;=1),O772,0)</f>
        <v>0</v>
      </c>
      <c r="DS634" s="1506"/>
      <c r="DT634" s="1506"/>
      <c r="DU634" s="1506"/>
      <c r="DV634" s="1507"/>
      <c r="DX634" s="1847" t="e">
        <f t="shared" si="23"/>
        <v>#VALUE!</v>
      </c>
      <c r="DY634" s="1847"/>
      <c r="DZ634" s="1847"/>
      <c r="EA634" s="1847"/>
      <c r="EB634" s="1847"/>
      <c r="EC634" s="1847" t="e">
        <f t="shared" si="24"/>
        <v>#VALUE!</v>
      </c>
      <c r="ED634" s="1847"/>
      <c r="EE634" s="1847"/>
      <c r="EF634" s="1847"/>
      <c r="EG634" s="1847"/>
      <c r="EH634" s="1847" t="e">
        <f t="shared" si="25"/>
        <v>#VALUE!</v>
      </c>
      <c r="EI634" s="1847"/>
      <c r="EJ634" s="1847"/>
      <c r="EK634" s="1847"/>
      <c r="EL634" s="1847"/>
      <c r="EM634" s="1847">
        <f t="shared" si="26"/>
        <v>1194.4375</v>
      </c>
      <c r="EN634" s="1847"/>
      <c r="EO634" s="1847"/>
      <c r="EP634" s="1847"/>
      <c r="EQ634" s="1847"/>
      <c r="ER634" s="1847" t="e">
        <f t="shared" si="27"/>
        <v>#VALUE!</v>
      </c>
      <c r="ES634" s="1847"/>
      <c r="ET634" s="1847"/>
      <c r="EU634" s="1847"/>
      <c r="EV634" s="1847"/>
      <c r="EW634" s="1847" t="e">
        <f t="shared" si="28"/>
        <v>#VALUE!</v>
      </c>
      <c r="EX634" s="1847"/>
      <c r="EY634" s="1847"/>
      <c r="EZ634" s="1847"/>
      <c r="FA634" s="1847"/>
    </row>
    <row r="635" spans="1:157" ht="12.9"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54140693</v>
      </c>
      <c r="AP635" s="1516"/>
      <c r="AQ635" s="1516"/>
      <c r="AR635" s="1516"/>
      <c r="AS635" s="1517"/>
      <c r="AZ635" s="3"/>
      <c r="BA635" s="3"/>
      <c r="BB635" s="3"/>
      <c r="BC635" s="3"/>
      <c r="BD635" s="3"/>
      <c r="BE635" s="3"/>
      <c r="BF635" s="3"/>
      <c r="BG635" s="3"/>
      <c r="BH635" s="3"/>
      <c r="BI635" s="3"/>
      <c r="BJ635" s="3"/>
      <c r="BK635" s="3"/>
      <c r="BL635" s="3"/>
      <c r="BM635" s="3"/>
      <c r="BN635" s="1505">
        <f t="shared" si="30"/>
        <v>0</v>
      </c>
      <c r="BO635" s="1506"/>
      <c r="BP635" s="1506"/>
      <c r="BQ635" s="1506"/>
      <c r="BR635" s="1507"/>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5">
        <f t="shared" ref="CS635:CS643" si="36">IF(AND(BN635&gt;=1,AH773&gt;=0.1,AH773&lt;=1),O773,0)</f>
        <v>0</v>
      </c>
      <c r="CT635" s="1506"/>
      <c r="CU635" s="1506"/>
      <c r="CV635" s="1506"/>
      <c r="CW635" s="1507"/>
      <c r="CX635" s="1505">
        <f t="shared" ref="CX635:CX643" si="37">IF(AND(BS635&gt;=1,AH773&gt;=0.1,AH773&lt;=1),O773,0)</f>
        <v>0</v>
      </c>
      <c r="CY635" s="1506"/>
      <c r="CZ635" s="1506"/>
      <c r="DA635" s="1506"/>
      <c r="DB635" s="1507"/>
      <c r="DC635" s="1505">
        <f t="shared" ref="DC635:DC643" si="38">IF(AND(BX635&gt;=1,AH773&gt;=0.1,AH773&lt;=1),O773,0)</f>
        <v>0</v>
      </c>
      <c r="DD635" s="1506"/>
      <c r="DE635" s="1506"/>
      <c r="DF635" s="1506"/>
      <c r="DG635" s="1507"/>
      <c r="DH635" s="1505">
        <f t="shared" ref="DH635:DH643" si="39">IF(AND(CC635&gt;=1,AH773&gt;=0.1,AH773&lt;=1),O773,0)</f>
        <v>0</v>
      </c>
      <c r="DI635" s="1506"/>
      <c r="DJ635" s="1506"/>
      <c r="DK635" s="1506"/>
      <c r="DL635" s="1507"/>
      <c r="DM635" s="1505">
        <f t="shared" ref="DM635:DM643" si="40">IF(AND(CH635&gt;=1,AH773&gt;=0.1,AH773&lt;=1),O773,0)</f>
        <v>0</v>
      </c>
      <c r="DN635" s="1506"/>
      <c r="DO635" s="1506"/>
      <c r="DP635" s="1506"/>
      <c r="DQ635" s="1507"/>
      <c r="DR635" s="1505">
        <f t="shared" ref="DR635:DR643" si="41">IF(AND(CM635&gt;=1,AH773&gt;=0.1,AH773&lt;=1),O773,0)</f>
        <v>0</v>
      </c>
      <c r="DS635" s="1506"/>
      <c r="DT635" s="1506"/>
      <c r="DU635" s="1506"/>
      <c r="DV635" s="1507"/>
      <c r="DX635" s="1847" t="e">
        <f t="shared" si="23"/>
        <v>#VALUE!</v>
      </c>
      <c r="DY635" s="1847"/>
      <c r="DZ635" s="1847"/>
      <c r="EA635" s="1847"/>
      <c r="EB635" s="1847"/>
      <c r="EC635" s="1847" t="e">
        <f t="shared" si="24"/>
        <v>#VALUE!</v>
      </c>
      <c r="ED635" s="1847"/>
      <c r="EE635" s="1847"/>
      <c r="EF635" s="1847"/>
      <c r="EG635" s="1847"/>
      <c r="EH635" s="1847" t="e">
        <f t="shared" si="25"/>
        <v>#VALUE!</v>
      </c>
      <c r="EI635" s="1847"/>
      <c r="EJ635" s="1847"/>
      <c r="EK635" s="1847"/>
      <c r="EL635" s="1847"/>
      <c r="EM635" s="1847">
        <f t="shared" si="26"/>
        <v>71.46875</v>
      </c>
      <c r="EN635" s="1847"/>
      <c r="EO635" s="1847"/>
      <c r="EP635" s="1847"/>
      <c r="EQ635" s="1847"/>
      <c r="ER635" s="1847" t="e">
        <f t="shared" si="27"/>
        <v>#VALUE!</v>
      </c>
      <c r="ES635" s="1847"/>
      <c r="ET635" s="1847"/>
      <c r="EU635" s="1847"/>
      <c r="EV635" s="1847"/>
      <c r="EW635" s="1847" t="e">
        <f t="shared" si="28"/>
        <v>#VALUE!</v>
      </c>
      <c r="EX635" s="1847"/>
      <c r="EY635" s="1847"/>
      <c r="EZ635" s="1847"/>
      <c r="FA635" s="1847"/>
    </row>
    <row r="636" spans="1:157" ht="12.9"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599">
        <v>75926350</v>
      </c>
      <c r="AP636" s="1600"/>
      <c r="AQ636" s="1600"/>
      <c r="AR636" s="1600"/>
      <c r="AS636" s="1601"/>
      <c r="AZ636" s="34"/>
      <c r="BA636" s="34"/>
      <c r="BB636" s="34"/>
      <c r="BC636" s="34"/>
      <c r="BD636" s="34"/>
      <c r="BE636" s="34"/>
      <c r="BF636" s="34"/>
      <c r="BG636" s="34"/>
      <c r="BH636" s="34"/>
      <c r="BI636" s="34"/>
      <c r="BJ636" s="34"/>
      <c r="BK636" s="34"/>
      <c r="BL636" s="34"/>
      <c r="BM636" s="34"/>
      <c r="BN636" s="1505">
        <f t="shared" si="30"/>
        <v>0</v>
      </c>
      <c r="BO636" s="1506"/>
      <c r="BP636" s="1506"/>
      <c r="BQ636" s="1506"/>
      <c r="BR636" s="1507"/>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5">
        <f t="shared" si="36"/>
        <v>0</v>
      </c>
      <c r="CT636" s="1506"/>
      <c r="CU636" s="1506"/>
      <c r="CV636" s="1506"/>
      <c r="CW636" s="1507"/>
      <c r="CX636" s="1505">
        <f t="shared" si="37"/>
        <v>0</v>
      </c>
      <c r="CY636" s="1506"/>
      <c r="CZ636" s="1506"/>
      <c r="DA636" s="1506"/>
      <c r="DB636" s="1507"/>
      <c r="DC636" s="1505">
        <f t="shared" si="38"/>
        <v>0</v>
      </c>
      <c r="DD636" s="1506"/>
      <c r="DE636" s="1506"/>
      <c r="DF636" s="1506"/>
      <c r="DG636" s="1507"/>
      <c r="DH636" s="1505">
        <f t="shared" si="39"/>
        <v>0</v>
      </c>
      <c r="DI636" s="1506"/>
      <c r="DJ636" s="1506"/>
      <c r="DK636" s="1506"/>
      <c r="DL636" s="1507"/>
      <c r="DM636" s="1505">
        <f t="shared" si="40"/>
        <v>0</v>
      </c>
      <c r="DN636" s="1506"/>
      <c r="DO636" s="1506"/>
      <c r="DP636" s="1506"/>
      <c r="DQ636" s="1507"/>
      <c r="DR636" s="1505">
        <f t="shared" si="41"/>
        <v>0</v>
      </c>
      <c r="DS636" s="1506"/>
      <c r="DT636" s="1506"/>
      <c r="DU636" s="1506"/>
      <c r="DV636" s="1507"/>
      <c r="DX636" s="1847" t="e">
        <f t="shared" si="23"/>
        <v>#VALUE!</v>
      </c>
      <c r="DY636" s="1847"/>
      <c r="DZ636" s="1847"/>
      <c r="EA636" s="1847"/>
      <c r="EB636" s="1847"/>
      <c r="EC636" s="1847" t="e">
        <f t="shared" si="24"/>
        <v>#VALUE!</v>
      </c>
      <c r="ED636" s="1847"/>
      <c r="EE636" s="1847"/>
      <c r="EF636" s="1847"/>
      <c r="EG636" s="1847"/>
      <c r="EH636" s="1847" t="e">
        <f t="shared" si="25"/>
        <v>#VALUE!</v>
      </c>
      <c r="EI636" s="1847"/>
      <c r="EJ636" s="1847"/>
      <c r="EK636" s="1847"/>
      <c r="EL636" s="1847"/>
      <c r="EM636" s="1847">
        <f t="shared" si="26"/>
        <v>86.625</v>
      </c>
      <c r="EN636" s="1847"/>
      <c r="EO636" s="1847"/>
      <c r="EP636" s="1847"/>
      <c r="EQ636" s="1847"/>
      <c r="ER636" s="1847" t="e">
        <f t="shared" si="27"/>
        <v>#VALUE!</v>
      </c>
      <c r="ES636" s="1847"/>
      <c r="ET636" s="1847"/>
      <c r="EU636" s="1847"/>
      <c r="EV636" s="1847"/>
      <c r="EW636" s="1847" t="e">
        <f t="shared" si="28"/>
        <v>#VALUE!</v>
      </c>
      <c r="EX636" s="1847"/>
      <c r="EY636" s="1847"/>
      <c r="EZ636" s="1847"/>
      <c r="FA636" s="1847"/>
    </row>
    <row r="637" spans="1:157" ht="12.9" customHeight="1">
      <c r="B637" s="1576"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7"/>
      <c r="AO637" s="1515">
        <f>AO635+AO636</f>
        <v>130067043</v>
      </c>
      <c r="AP637" s="1516"/>
      <c r="AQ637" s="1516"/>
      <c r="AR637" s="1516"/>
      <c r="AS637" s="1517"/>
      <c r="AZ637" s="34"/>
      <c r="BA637" s="34"/>
      <c r="BB637" s="34"/>
      <c r="BC637" s="34"/>
      <c r="BD637" s="34"/>
      <c r="BE637" s="34"/>
      <c r="BF637" s="34"/>
      <c r="BG637" s="34"/>
      <c r="BH637" s="34"/>
      <c r="BI637" s="34"/>
      <c r="BJ637" s="34"/>
      <c r="BK637" s="34"/>
      <c r="BL637" s="34"/>
      <c r="BM637" s="34"/>
      <c r="BN637" s="1505">
        <f t="shared" si="30"/>
        <v>0</v>
      </c>
      <c r="BO637" s="1506"/>
      <c r="BP637" s="1506"/>
      <c r="BQ637" s="1506"/>
      <c r="BR637" s="1507"/>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5">
        <f t="shared" si="36"/>
        <v>0</v>
      </c>
      <c r="CT637" s="1506"/>
      <c r="CU637" s="1506"/>
      <c r="CV637" s="1506"/>
      <c r="CW637" s="1507"/>
      <c r="CX637" s="1505">
        <f t="shared" si="37"/>
        <v>0</v>
      </c>
      <c r="CY637" s="1506"/>
      <c r="CZ637" s="1506"/>
      <c r="DA637" s="1506"/>
      <c r="DB637" s="1507"/>
      <c r="DC637" s="1505">
        <f t="shared" si="38"/>
        <v>0</v>
      </c>
      <c r="DD637" s="1506"/>
      <c r="DE637" s="1506"/>
      <c r="DF637" s="1506"/>
      <c r="DG637" s="1507"/>
      <c r="DH637" s="1505">
        <f t="shared" si="39"/>
        <v>0</v>
      </c>
      <c r="DI637" s="1506"/>
      <c r="DJ637" s="1506"/>
      <c r="DK637" s="1506"/>
      <c r="DL637" s="1507"/>
      <c r="DM637" s="1505">
        <f t="shared" si="40"/>
        <v>0</v>
      </c>
      <c r="DN637" s="1506"/>
      <c r="DO637" s="1506"/>
      <c r="DP637" s="1506"/>
      <c r="DQ637" s="1507"/>
      <c r="DR637" s="1505">
        <f t="shared" si="41"/>
        <v>0</v>
      </c>
      <c r="DS637" s="1506"/>
      <c r="DT637" s="1506"/>
      <c r="DU637" s="1506"/>
      <c r="DV637" s="1507"/>
      <c r="DX637" s="1847" t="e">
        <f t="shared" si="23"/>
        <v>#VALUE!</v>
      </c>
      <c r="DY637" s="1847"/>
      <c r="DZ637" s="1847"/>
      <c r="EA637" s="1847"/>
      <c r="EB637" s="1847"/>
      <c r="EC637" s="1847" t="e">
        <f t="shared" si="24"/>
        <v>#VALUE!</v>
      </c>
      <c r="ED637" s="1847"/>
      <c r="EE637" s="1847"/>
      <c r="EF637" s="1847"/>
      <c r="EG637" s="1847"/>
      <c r="EH637" s="1847" t="e">
        <f t="shared" si="25"/>
        <v>#VALUE!</v>
      </c>
      <c r="EI637" s="1847"/>
      <c r="EJ637" s="1847"/>
      <c r="EK637" s="1847"/>
      <c r="EL637" s="1847"/>
      <c r="EM637" s="1847">
        <f t="shared" si="26"/>
        <v>101.75</v>
      </c>
      <c r="EN637" s="1847"/>
      <c r="EO637" s="1847"/>
      <c r="EP637" s="1847"/>
      <c r="EQ637" s="1847"/>
      <c r="ER637" s="1847" t="e">
        <f t="shared" si="27"/>
        <v>#VALUE!</v>
      </c>
      <c r="ES637" s="1847"/>
      <c r="ET637" s="1847"/>
      <c r="EU637" s="1847"/>
      <c r="EV637" s="1847"/>
      <c r="EW637" s="1847" t="e">
        <f t="shared" si="28"/>
        <v>#VALUE!</v>
      </c>
      <c r="EX637" s="1847"/>
      <c r="EY637" s="1847"/>
      <c r="EZ637" s="1847"/>
      <c r="FA637" s="1847"/>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5">
        <f t="shared" si="30"/>
        <v>0</v>
      </c>
      <c r="BO638" s="1506"/>
      <c r="BP638" s="1506"/>
      <c r="BQ638" s="1506"/>
      <c r="BR638" s="1507"/>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5">
        <f t="shared" si="36"/>
        <v>0</v>
      </c>
      <c r="CT638" s="1506"/>
      <c r="CU638" s="1506"/>
      <c r="CV638" s="1506"/>
      <c r="CW638" s="1507"/>
      <c r="CX638" s="1505">
        <f t="shared" si="37"/>
        <v>0</v>
      </c>
      <c r="CY638" s="1506"/>
      <c r="CZ638" s="1506"/>
      <c r="DA638" s="1506"/>
      <c r="DB638" s="1507"/>
      <c r="DC638" s="1505">
        <f t="shared" si="38"/>
        <v>0</v>
      </c>
      <c r="DD638" s="1506"/>
      <c r="DE638" s="1506"/>
      <c r="DF638" s="1506"/>
      <c r="DG638" s="1507"/>
      <c r="DH638" s="1505">
        <f t="shared" si="39"/>
        <v>0</v>
      </c>
      <c r="DI638" s="1506"/>
      <c r="DJ638" s="1506"/>
      <c r="DK638" s="1506"/>
      <c r="DL638" s="1507"/>
      <c r="DM638" s="1505">
        <f t="shared" si="40"/>
        <v>0</v>
      </c>
      <c r="DN638" s="1506"/>
      <c r="DO638" s="1506"/>
      <c r="DP638" s="1506"/>
      <c r="DQ638" s="1507"/>
      <c r="DR638" s="1505">
        <f t="shared" si="41"/>
        <v>0</v>
      </c>
      <c r="DS638" s="1506"/>
      <c r="DT638" s="1506"/>
      <c r="DU638" s="1506"/>
      <c r="DV638" s="1507"/>
      <c r="DX638" s="1847" t="e">
        <f t="shared" si="23"/>
        <v>#VALUE!</v>
      </c>
      <c r="DY638" s="1847"/>
      <c r="DZ638" s="1847"/>
      <c r="EA638" s="1847"/>
      <c r="EB638" s="1847"/>
      <c r="EC638" s="1847" t="e">
        <f t="shared" si="24"/>
        <v>#VALUE!</v>
      </c>
      <c r="ED638" s="1847"/>
      <c r="EE638" s="1847"/>
      <c r="EF638" s="1847"/>
      <c r="EG638" s="1847"/>
      <c r="EH638" s="1847" t="e">
        <f t="shared" si="25"/>
        <v>#VALUE!</v>
      </c>
      <c r="EI638" s="1847"/>
      <c r="EJ638" s="1847"/>
      <c r="EK638" s="1847"/>
      <c r="EL638" s="1847"/>
      <c r="EM638" s="1847" t="e">
        <f t="shared" si="26"/>
        <v>#VALUE!</v>
      </c>
      <c r="EN638" s="1847"/>
      <c r="EO638" s="1847"/>
      <c r="EP638" s="1847"/>
      <c r="EQ638" s="1847"/>
      <c r="ER638" s="1847" t="e">
        <f t="shared" si="27"/>
        <v>#VALUE!</v>
      </c>
      <c r="ES638" s="1847"/>
      <c r="ET638" s="1847"/>
      <c r="EU638" s="1847"/>
      <c r="EV638" s="1847"/>
      <c r="EW638" s="1847" t="e">
        <f t="shared" si="28"/>
        <v>#VALUE!</v>
      </c>
      <c r="EX638" s="1847"/>
      <c r="EY638" s="1847"/>
      <c r="EZ638" s="1847"/>
      <c r="FA638" s="1847"/>
    </row>
    <row r="639" spans="1:157" ht="12.9" customHeight="1">
      <c r="A639" s="55" t="s">
        <v>113</v>
      </c>
      <c r="B639" t="s">
        <v>473</v>
      </c>
      <c r="G639" s="1510" t="str">
        <f>C623</f>
        <v>Permanent Loan</v>
      </c>
      <c r="H639" s="1510"/>
      <c r="I639" s="1510"/>
      <c r="J639" s="1510"/>
      <c r="K639" s="1510"/>
      <c r="L639" s="1510"/>
      <c r="M639" s="1510"/>
      <c r="N639" s="1510"/>
      <c r="O639" s="1510"/>
      <c r="P639" s="1510"/>
      <c r="Q639" s="1510"/>
      <c r="R639" s="1510"/>
      <c r="S639" s="8"/>
      <c r="T639" s="55" t="s">
        <v>114</v>
      </c>
      <c r="U639" t="s">
        <v>473</v>
      </c>
      <c r="Z639" s="1510" t="str">
        <f>C624</f>
        <v>Lease-Up NOI</v>
      </c>
      <c r="AA639" s="1510"/>
      <c r="AB639" s="1510"/>
      <c r="AC639" s="1510"/>
      <c r="AD639" s="1510"/>
      <c r="AE639" s="1510"/>
      <c r="AF639" s="1510"/>
      <c r="AG639" s="1510"/>
      <c r="AH639" s="1510"/>
      <c r="AI639" s="1510"/>
      <c r="AJ639" s="1510"/>
      <c r="AK639" s="1510"/>
      <c r="AZ639" s="34"/>
      <c r="BA639" s="34"/>
      <c r="BB639" s="34"/>
      <c r="BC639" s="34"/>
      <c r="BD639" s="34"/>
      <c r="BE639" s="34"/>
      <c r="BF639" s="34"/>
      <c r="BG639" s="34"/>
      <c r="BH639" s="34"/>
      <c r="BI639" s="34"/>
      <c r="BJ639" s="34"/>
      <c r="BK639" s="34"/>
      <c r="BL639" s="34"/>
      <c r="BM639" s="34"/>
      <c r="BN639" s="1505">
        <f t="shared" si="30"/>
        <v>0</v>
      </c>
      <c r="BO639" s="1506"/>
      <c r="BP639" s="1506"/>
      <c r="BQ639" s="1506"/>
      <c r="BR639" s="1507"/>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5">
        <f t="shared" si="36"/>
        <v>0</v>
      </c>
      <c r="CT639" s="1506"/>
      <c r="CU639" s="1506"/>
      <c r="CV639" s="1506"/>
      <c r="CW639" s="1507"/>
      <c r="CX639" s="1505">
        <f t="shared" si="37"/>
        <v>0</v>
      </c>
      <c r="CY639" s="1506"/>
      <c r="CZ639" s="1506"/>
      <c r="DA639" s="1506"/>
      <c r="DB639" s="1507"/>
      <c r="DC639" s="1505">
        <f t="shared" si="38"/>
        <v>0</v>
      </c>
      <c r="DD639" s="1506"/>
      <c r="DE639" s="1506"/>
      <c r="DF639" s="1506"/>
      <c r="DG639" s="1507"/>
      <c r="DH639" s="1505">
        <f t="shared" si="39"/>
        <v>0</v>
      </c>
      <c r="DI639" s="1506"/>
      <c r="DJ639" s="1506"/>
      <c r="DK639" s="1506"/>
      <c r="DL639" s="1507"/>
      <c r="DM639" s="1505">
        <f t="shared" si="40"/>
        <v>0</v>
      </c>
      <c r="DN639" s="1506"/>
      <c r="DO639" s="1506"/>
      <c r="DP639" s="1506"/>
      <c r="DQ639" s="1507"/>
      <c r="DR639" s="1505">
        <f t="shared" si="41"/>
        <v>0</v>
      </c>
      <c r="DS639" s="1506"/>
      <c r="DT639" s="1506"/>
      <c r="DU639" s="1506"/>
      <c r="DV639" s="1507"/>
      <c r="DX639" s="1847" t="e">
        <f t="shared" si="23"/>
        <v>#VALUE!</v>
      </c>
      <c r="DY639" s="1847"/>
      <c r="DZ639" s="1847"/>
      <c r="EA639" s="1847"/>
      <c r="EB639" s="1847"/>
      <c r="EC639" s="1847" t="e">
        <f t="shared" si="24"/>
        <v>#VALUE!</v>
      </c>
      <c r="ED639" s="1847"/>
      <c r="EE639" s="1847"/>
      <c r="EF639" s="1847"/>
      <c r="EG639" s="1847"/>
      <c r="EH639" s="1847" t="e">
        <f t="shared" si="25"/>
        <v>#VALUE!</v>
      </c>
      <c r="EI639" s="1847"/>
      <c r="EJ639" s="1847"/>
      <c r="EK639" s="1847"/>
      <c r="EL639" s="1847"/>
      <c r="EM639" s="1847" t="e">
        <f t="shared" si="26"/>
        <v>#VALUE!</v>
      </c>
      <c r="EN639" s="1847"/>
      <c r="EO639" s="1847"/>
      <c r="EP639" s="1847"/>
      <c r="EQ639" s="1847"/>
      <c r="ER639" s="1847" t="e">
        <f t="shared" si="27"/>
        <v>#VALUE!</v>
      </c>
      <c r="ES639" s="1847"/>
      <c r="ET639" s="1847"/>
      <c r="EU639" s="1847"/>
      <c r="EV639" s="1847"/>
      <c r="EW639" s="1847" t="e">
        <f t="shared" si="28"/>
        <v>#VALUE!</v>
      </c>
      <c r="EX639" s="1847"/>
      <c r="EY639" s="1847"/>
      <c r="EZ639" s="1847"/>
      <c r="FA639" s="1847"/>
    </row>
    <row r="640" spans="1:157" ht="12.9" customHeight="1">
      <c r="A640" s="22"/>
      <c r="B640" t="s">
        <v>86</v>
      </c>
      <c r="G640" s="1395" t="s">
        <v>2730</v>
      </c>
      <c r="H640" s="1395"/>
      <c r="I640" s="1395"/>
      <c r="J640" s="1395"/>
      <c r="K640" s="1395"/>
      <c r="L640" s="1395"/>
      <c r="M640" s="1395"/>
      <c r="N640" s="1395"/>
      <c r="O640" s="1395"/>
      <c r="P640" s="1395"/>
      <c r="Q640" s="1395"/>
      <c r="R640" s="1395"/>
      <c r="S640" s="8"/>
      <c r="T640" s="22"/>
      <c r="U640" t="s">
        <v>86</v>
      </c>
      <c r="Z640" s="1395" t="s">
        <v>2733</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5">
        <f t="shared" si="30"/>
        <v>0</v>
      </c>
      <c r="BO640" s="1506"/>
      <c r="BP640" s="1506"/>
      <c r="BQ640" s="1506"/>
      <c r="BR640" s="1507"/>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5">
        <f t="shared" si="36"/>
        <v>0</v>
      </c>
      <c r="CT640" s="1506"/>
      <c r="CU640" s="1506"/>
      <c r="CV640" s="1506"/>
      <c r="CW640" s="1507"/>
      <c r="CX640" s="1505">
        <f t="shared" si="37"/>
        <v>0</v>
      </c>
      <c r="CY640" s="1506"/>
      <c r="CZ640" s="1506"/>
      <c r="DA640" s="1506"/>
      <c r="DB640" s="1507"/>
      <c r="DC640" s="1505">
        <f t="shared" si="38"/>
        <v>0</v>
      </c>
      <c r="DD640" s="1506"/>
      <c r="DE640" s="1506"/>
      <c r="DF640" s="1506"/>
      <c r="DG640" s="1507"/>
      <c r="DH640" s="1505">
        <f t="shared" si="39"/>
        <v>0</v>
      </c>
      <c r="DI640" s="1506"/>
      <c r="DJ640" s="1506"/>
      <c r="DK640" s="1506"/>
      <c r="DL640" s="1507"/>
      <c r="DM640" s="1505">
        <f t="shared" si="40"/>
        <v>0</v>
      </c>
      <c r="DN640" s="1506"/>
      <c r="DO640" s="1506"/>
      <c r="DP640" s="1506"/>
      <c r="DQ640" s="1507"/>
      <c r="DR640" s="1505">
        <f t="shared" si="41"/>
        <v>0</v>
      </c>
      <c r="DS640" s="1506"/>
      <c r="DT640" s="1506"/>
      <c r="DU640" s="1506"/>
      <c r="DV640" s="1507"/>
      <c r="DX640" s="1847" t="e">
        <f t="shared" si="23"/>
        <v>#VALUE!</v>
      </c>
      <c r="DY640" s="1847"/>
      <c r="DZ640" s="1847"/>
      <c r="EA640" s="1847"/>
      <c r="EB640" s="1847"/>
      <c r="EC640" s="1847" t="e">
        <f t="shared" si="24"/>
        <v>#VALUE!</v>
      </c>
      <c r="ED640" s="1847"/>
      <c r="EE640" s="1847"/>
      <c r="EF640" s="1847"/>
      <c r="EG640" s="1847"/>
      <c r="EH640" s="1847" t="e">
        <f t="shared" si="25"/>
        <v>#VALUE!</v>
      </c>
      <c r="EI640" s="1847"/>
      <c r="EJ640" s="1847"/>
      <c r="EK640" s="1847"/>
      <c r="EL640" s="1847"/>
      <c r="EM640" s="1847" t="e">
        <f t="shared" si="26"/>
        <v>#VALUE!</v>
      </c>
      <c r="EN640" s="1847"/>
      <c r="EO640" s="1847"/>
      <c r="EP640" s="1847"/>
      <c r="EQ640" s="1847"/>
      <c r="ER640" s="1847" t="e">
        <f t="shared" si="27"/>
        <v>#VALUE!</v>
      </c>
      <c r="ES640" s="1847"/>
      <c r="ET640" s="1847"/>
      <c r="EU640" s="1847"/>
      <c r="EV640" s="1847"/>
      <c r="EW640" s="1847" t="e">
        <f t="shared" si="28"/>
        <v>#VALUE!</v>
      </c>
      <c r="EX640" s="1847"/>
      <c r="EY640" s="1847"/>
      <c r="EZ640" s="1847"/>
      <c r="FA640" s="1847"/>
    </row>
    <row r="641" spans="1:157" ht="12.9" customHeight="1">
      <c r="A641" s="22"/>
      <c r="B641" t="s">
        <v>590</v>
      </c>
      <c r="G641" s="1395" t="s">
        <v>2731</v>
      </c>
      <c r="H641" s="1395"/>
      <c r="I641" s="1395"/>
      <c r="J641" s="1395"/>
      <c r="K641" s="1395"/>
      <c r="L641" s="1395"/>
      <c r="M641" s="1395"/>
      <c r="N641" s="1395"/>
      <c r="O641" s="1395"/>
      <c r="P641" s="1395"/>
      <c r="Q641" s="1395"/>
      <c r="R641" s="1395"/>
      <c r="T641" s="22"/>
      <c r="U641" t="s">
        <v>590</v>
      </c>
      <c r="Z641" s="1367" t="s">
        <v>194</v>
      </c>
      <c r="AA641" s="1367"/>
      <c r="AB641" s="1367"/>
      <c r="AC641" s="1367"/>
      <c r="AD641" s="1367"/>
      <c r="AE641" s="1367"/>
      <c r="AF641" s="1367"/>
      <c r="AG641" s="1367"/>
      <c r="AH641" s="1367"/>
      <c r="AI641" s="1367"/>
      <c r="AJ641" s="1367"/>
      <c r="AK641" s="1367"/>
      <c r="AZ641" s="34"/>
      <c r="BA641" s="34"/>
      <c r="BB641" s="34"/>
      <c r="BC641" s="34"/>
      <c r="BD641" s="34"/>
      <c r="BE641" s="34"/>
      <c r="BF641" s="34"/>
      <c r="BG641" s="34"/>
      <c r="BH641" s="34"/>
      <c r="BI641" s="34"/>
      <c r="BJ641" s="34"/>
      <c r="BK641" s="34"/>
      <c r="BL641" s="34"/>
      <c r="BM641" s="34"/>
      <c r="BN641" s="1505">
        <f t="shared" si="30"/>
        <v>0</v>
      </c>
      <c r="BO641" s="1506"/>
      <c r="BP641" s="1506"/>
      <c r="BQ641" s="1506"/>
      <c r="BR641" s="1507"/>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5">
        <f t="shared" si="36"/>
        <v>0</v>
      </c>
      <c r="CT641" s="1506"/>
      <c r="CU641" s="1506"/>
      <c r="CV641" s="1506"/>
      <c r="CW641" s="1507"/>
      <c r="CX641" s="1505">
        <f t="shared" si="37"/>
        <v>0</v>
      </c>
      <c r="CY641" s="1506"/>
      <c r="CZ641" s="1506"/>
      <c r="DA641" s="1506"/>
      <c r="DB641" s="1507"/>
      <c r="DC641" s="1505">
        <f t="shared" si="38"/>
        <v>0</v>
      </c>
      <c r="DD641" s="1506"/>
      <c r="DE641" s="1506"/>
      <c r="DF641" s="1506"/>
      <c r="DG641" s="1507"/>
      <c r="DH641" s="1505">
        <f t="shared" si="39"/>
        <v>0</v>
      </c>
      <c r="DI641" s="1506"/>
      <c r="DJ641" s="1506"/>
      <c r="DK641" s="1506"/>
      <c r="DL641" s="1507"/>
      <c r="DM641" s="1505">
        <f t="shared" si="40"/>
        <v>0</v>
      </c>
      <c r="DN641" s="1506"/>
      <c r="DO641" s="1506"/>
      <c r="DP641" s="1506"/>
      <c r="DQ641" s="1507"/>
      <c r="DR641" s="1505">
        <f t="shared" si="41"/>
        <v>0</v>
      </c>
      <c r="DS641" s="1506"/>
      <c r="DT641" s="1506"/>
      <c r="DU641" s="1506"/>
      <c r="DV641" s="1507"/>
      <c r="DX641" s="1847" t="e">
        <f t="shared" si="23"/>
        <v>#VALUE!</v>
      </c>
      <c r="DY641" s="1847"/>
      <c r="DZ641" s="1847"/>
      <c r="EA641" s="1847"/>
      <c r="EB641" s="1847"/>
      <c r="EC641" s="1847" t="e">
        <f t="shared" si="24"/>
        <v>#VALUE!</v>
      </c>
      <c r="ED641" s="1847"/>
      <c r="EE641" s="1847"/>
      <c r="EF641" s="1847"/>
      <c r="EG641" s="1847"/>
      <c r="EH641" s="1847" t="e">
        <f t="shared" si="25"/>
        <v>#VALUE!</v>
      </c>
      <c r="EI641" s="1847"/>
      <c r="EJ641" s="1847"/>
      <c r="EK641" s="1847"/>
      <c r="EL641" s="1847"/>
      <c r="EM641" s="1847" t="e">
        <f t="shared" si="26"/>
        <v>#VALUE!</v>
      </c>
      <c r="EN641" s="1847"/>
      <c r="EO641" s="1847"/>
      <c r="EP641" s="1847"/>
      <c r="EQ641" s="1847"/>
      <c r="ER641" s="1847" t="e">
        <f t="shared" si="27"/>
        <v>#VALUE!</v>
      </c>
      <c r="ES641" s="1847"/>
      <c r="ET641" s="1847"/>
      <c r="EU641" s="1847"/>
      <c r="EV641" s="1847"/>
      <c r="EW641" s="1847" t="e">
        <f t="shared" si="28"/>
        <v>#VALUE!</v>
      </c>
      <c r="EX641" s="1847"/>
      <c r="EY641" s="1847"/>
      <c r="EZ641" s="1847"/>
      <c r="FA641" s="1847"/>
    </row>
    <row r="642" spans="1:157" ht="12.9" customHeight="1">
      <c r="A642" s="22"/>
      <c r="B642" t="s">
        <v>17</v>
      </c>
      <c r="G642" s="1395" t="s">
        <v>2732</v>
      </c>
      <c r="H642" s="1395"/>
      <c r="I642" s="1395"/>
      <c r="J642" s="1395"/>
      <c r="K642" s="1395"/>
      <c r="L642" s="1395"/>
      <c r="M642" s="1395"/>
      <c r="N642" s="1395"/>
      <c r="O642" s="1395"/>
      <c r="P642" s="1395"/>
      <c r="Q642" s="1395"/>
      <c r="R642" s="1395"/>
      <c r="S642" s="8"/>
      <c r="T642" s="22"/>
      <c r="U642" t="s">
        <v>17</v>
      </c>
      <c r="Z642" s="1367" t="s">
        <v>2639</v>
      </c>
      <c r="AA642" s="1367"/>
      <c r="AB642" s="1367"/>
      <c r="AC642" s="1367"/>
      <c r="AD642" s="1367"/>
      <c r="AE642" s="1367"/>
      <c r="AF642" s="1367"/>
      <c r="AG642" s="1367"/>
      <c r="AH642" s="1367"/>
      <c r="AI642" s="1367"/>
      <c r="AJ642" s="1367"/>
      <c r="AK642" s="1367"/>
      <c r="AZ642" s="34"/>
      <c r="BA642" s="34"/>
      <c r="BB642" s="34"/>
      <c r="BC642" s="34"/>
      <c r="BD642" s="34"/>
      <c r="BE642" s="34"/>
      <c r="BF642" s="34"/>
      <c r="BG642" s="34"/>
      <c r="BH642" s="34"/>
      <c r="BI642" s="34"/>
      <c r="BJ642" s="34"/>
      <c r="BK642" s="34"/>
      <c r="BL642" s="34"/>
      <c r="BM642" s="34"/>
      <c r="BN642" s="1505">
        <f t="shared" si="30"/>
        <v>0</v>
      </c>
      <c r="BO642" s="1506"/>
      <c r="BP642" s="1506"/>
      <c r="BQ642" s="1506"/>
      <c r="BR642" s="1507"/>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5">
        <f t="shared" si="36"/>
        <v>0</v>
      </c>
      <c r="CT642" s="1506"/>
      <c r="CU642" s="1506"/>
      <c r="CV642" s="1506"/>
      <c r="CW642" s="1507"/>
      <c r="CX642" s="1505">
        <f t="shared" si="37"/>
        <v>0</v>
      </c>
      <c r="CY642" s="1506"/>
      <c r="CZ642" s="1506"/>
      <c r="DA642" s="1506"/>
      <c r="DB642" s="1507"/>
      <c r="DC642" s="1505">
        <f t="shared" si="38"/>
        <v>0</v>
      </c>
      <c r="DD642" s="1506"/>
      <c r="DE642" s="1506"/>
      <c r="DF642" s="1506"/>
      <c r="DG642" s="1507"/>
      <c r="DH642" s="1505">
        <f t="shared" si="39"/>
        <v>0</v>
      </c>
      <c r="DI642" s="1506"/>
      <c r="DJ642" s="1506"/>
      <c r="DK642" s="1506"/>
      <c r="DL642" s="1507"/>
      <c r="DM642" s="1505">
        <f t="shared" si="40"/>
        <v>0</v>
      </c>
      <c r="DN642" s="1506"/>
      <c r="DO642" s="1506"/>
      <c r="DP642" s="1506"/>
      <c r="DQ642" s="1507"/>
      <c r="DR642" s="1505">
        <f t="shared" si="41"/>
        <v>0</v>
      </c>
      <c r="DS642" s="1506"/>
      <c r="DT642" s="1506"/>
      <c r="DU642" s="1506"/>
      <c r="DV642" s="1507"/>
      <c r="DX642" s="1847" t="e">
        <f t="shared" si="23"/>
        <v>#VALUE!</v>
      </c>
      <c r="DY642" s="1847"/>
      <c r="DZ642" s="1847"/>
      <c r="EA642" s="1847"/>
      <c r="EB642" s="1847"/>
      <c r="EC642" s="1847" t="e">
        <f t="shared" si="24"/>
        <v>#VALUE!</v>
      </c>
      <c r="ED642" s="1847"/>
      <c r="EE642" s="1847"/>
      <c r="EF642" s="1847"/>
      <c r="EG642" s="1847"/>
      <c r="EH642" s="1847" t="e">
        <f t="shared" si="25"/>
        <v>#VALUE!</v>
      </c>
      <c r="EI642" s="1847"/>
      <c r="EJ642" s="1847"/>
      <c r="EK642" s="1847"/>
      <c r="EL642" s="1847"/>
      <c r="EM642" s="1847" t="e">
        <f t="shared" si="26"/>
        <v>#VALUE!</v>
      </c>
      <c r="EN642" s="1847"/>
      <c r="EO642" s="1847"/>
      <c r="EP642" s="1847"/>
      <c r="EQ642" s="1847"/>
      <c r="ER642" s="1847" t="e">
        <f t="shared" si="27"/>
        <v>#VALUE!</v>
      </c>
      <c r="ES642" s="1847"/>
      <c r="ET642" s="1847"/>
      <c r="EU642" s="1847"/>
      <c r="EV642" s="1847"/>
      <c r="EW642" s="1847" t="e">
        <f t="shared" si="28"/>
        <v>#VALUE!</v>
      </c>
      <c r="EX642" s="1847"/>
      <c r="EY642" s="1847"/>
      <c r="EZ642" s="1847"/>
      <c r="FA642" s="1847"/>
    </row>
    <row r="643" spans="1:157" ht="12.9" customHeight="1">
      <c r="A643" s="22"/>
      <c r="B643" t="s">
        <v>318</v>
      </c>
      <c r="G643" s="1436" t="s">
        <v>2739</v>
      </c>
      <c r="H643" s="1436"/>
      <c r="I643" s="1436"/>
      <c r="J643" s="1436"/>
      <c r="K643" s="1436"/>
      <c r="L643" s="1436"/>
      <c r="O643" s="33" t="s">
        <v>208</v>
      </c>
      <c r="P643" s="1463"/>
      <c r="Q643" s="1463"/>
      <c r="R643" s="1463"/>
      <c r="S643" s="10"/>
      <c r="T643" s="22"/>
      <c r="U643" t="s">
        <v>318</v>
      </c>
      <c r="Z643" s="1436" t="s">
        <v>2657</v>
      </c>
      <c r="AA643" s="1436"/>
      <c r="AB643" s="1436"/>
      <c r="AC643" s="1436"/>
      <c r="AD643" s="1436"/>
      <c r="AE643" s="1436"/>
      <c r="AH643" s="33" t="s">
        <v>208</v>
      </c>
      <c r="AI643" s="1463"/>
      <c r="AJ643" s="1463"/>
      <c r="AK643" s="1463"/>
      <c r="AZ643" s="34"/>
      <c r="BA643" s="34"/>
      <c r="BB643" s="34"/>
      <c r="BC643" s="34"/>
      <c r="BD643" s="34"/>
      <c r="BE643" s="34"/>
      <c r="BF643" s="34"/>
      <c r="BG643" s="34"/>
      <c r="BH643" s="34"/>
      <c r="BI643" s="34"/>
      <c r="BJ643" s="34"/>
      <c r="BK643" s="34"/>
      <c r="BL643" s="34"/>
      <c r="BM643" s="34"/>
      <c r="BN643" s="1505">
        <f t="shared" si="30"/>
        <v>0</v>
      </c>
      <c r="BO643" s="1506"/>
      <c r="BP643" s="1506"/>
      <c r="BQ643" s="1506"/>
      <c r="BR643" s="1507"/>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5">
        <f t="shared" si="36"/>
        <v>0</v>
      </c>
      <c r="CT643" s="1506"/>
      <c r="CU643" s="1506"/>
      <c r="CV643" s="1506"/>
      <c r="CW643" s="1507"/>
      <c r="CX643" s="1505">
        <f t="shared" si="37"/>
        <v>0</v>
      </c>
      <c r="CY643" s="1506"/>
      <c r="CZ643" s="1506"/>
      <c r="DA643" s="1506"/>
      <c r="DB643" s="1507"/>
      <c r="DC643" s="1505">
        <f t="shared" si="38"/>
        <v>0</v>
      </c>
      <c r="DD643" s="1506"/>
      <c r="DE643" s="1506"/>
      <c r="DF643" s="1506"/>
      <c r="DG643" s="1507"/>
      <c r="DH643" s="1505">
        <f t="shared" si="39"/>
        <v>0</v>
      </c>
      <c r="DI643" s="1506"/>
      <c r="DJ643" s="1506"/>
      <c r="DK643" s="1506"/>
      <c r="DL643" s="1507"/>
      <c r="DM643" s="1505">
        <f t="shared" si="40"/>
        <v>0</v>
      </c>
      <c r="DN643" s="1506"/>
      <c r="DO643" s="1506"/>
      <c r="DP643" s="1506"/>
      <c r="DQ643" s="1507"/>
      <c r="DR643" s="1505">
        <f t="shared" si="41"/>
        <v>0</v>
      </c>
      <c r="DS643" s="1506"/>
      <c r="DT643" s="1506"/>
      <c r="DU643" s="1506"/>
      <c r="DV643" s="1507"/>
      <c r="DX643" s="1847" t="e">
        <f t="shared" si="23"/>
        <v>#VALUE!</v>
      </c>
      <c r="DY643" s="1847"/>
      <c r="DZ643" s="1847"/>
      <c r="EA643" s="1847"/>
      <c r="EB643" s="1847"/>
      <c r="EC643" s="1847" t="e">
        <f t="shared" si="24"/>
        <v>#VALUE!</v>
      </c>
      <c r="ED643" s="1847"/>
      <c r="EE643" s="1847"/>
      <c r="EF643" s="1847"/>
      <c r="EG643" s="1847"/>
      <c r="EH643" s="1847" t="e">
        <f t="shared" si="25"/>
        <v>#VALUE!</v>
      </c>
      <c r="EI643" s="1847"/>
      <c r="EJ643" s="1847"/>
      <c r="EK643" s="1847"/>
      <c r="EL643" s="1847"/>
      <c r="EM643" s="1847" t="e">
        <f t="shared" si="26"/>
        <v>#VALUE!</v>
      </c>
      <c r="EN643" s="1847"/>
      <c r="EO643" s="1847"/>
      <c r="EP643" s="1847"/>
      <c r="EQ643" s="1847"/>
      <c r="ER643" s="1847" t="e">
        <f t="shared" si="27"/>
        <v>#VALUE!</v>
      </c>
      <c r="ES643" s="1847"/>
      <c r="ET643" s="1847"/>
      <c r="EU643" s="1847"/>
      <c r="EV643" s="1847"/>
      <c r="EW643" s="1847" t="e">
        <f t="shared" si="28"/>
        <v>#VALUE!</v>
      </c>
      <c r="EX643" s="1847"/>
      <c r="EY643" s="1847"/>
      <c r="EZ643" s="1847"/>
      <c r="FA643" s="1847"/>
    </row>
    <row r="644" spans="1:157" ht="12.9" customHeight="1">
      <c r="A644" s="22"/>
      <c r="B644" t="s">
        <v>18</v>
      </c>
      <c r="H644" s="1395" t="s">
        <v>2747</v>
      </c>
      <c r="I644" s="1395"/>
      <c r="J644" s="1395"/>
      <c r="K644" s="1395"/>
      <c r="L644" s="1395"/>
      <c r="M644" s="1395"/>
      <c r="N644" s="1395"/>
      <c r="O644" s="1395"/>
      <c r="P644" s="1395"/>
      <c r="Q644" s="1395"/>
      <c r="R644" s="1395"/>
      <c r="S644" s="8"/>
      <c r="T644" s="22"/>
      <c r="U644" t="s">
        <v>18</v>
      </c>
      <c r="AA644" s="1395" t="s">
        <v>302</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4">
        <f>SUM(BN634:BR643)</f>
        <v>0</v>
      </c>
      <c r="BO644" s="1508"/>
      <c r="BP644" s="1508"/>
      <c r="BQ644" s="1508"/>
      <c r="BR644" s="1495"/>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20">
        <f>SUM(CS634:CW643)</f>
        <v>0</v>
      </c>
      <c r="CT644" s="1620"/>
      <c r="CU644" s="1620"/>
      <c r="CV644" s="1620"/>
      <c r="CW644" s="1620"/>
      <c r="CX644" s="1620">
        <f>SUM(CX634:DB643)</f>
        <v>0</v>
      </c>
      <c r="CY644" s="1620"/>
      <c r="CZ644" s="1620"/>
      <c r="DA644" s="1620"/>
      <c r="DB644" s="1620"/>
      <c r="DC644" s="1620">
        <f>SUM(DC634:DG643)</f>
        <v>0</v>
      </c>
      <c r="DD644" s="1620"/>
      <c r="DE644" s="1620"/>
      <c r="DF644" s="1620"/>
      <c r="DG644" s="1620"/>
      <c r="DH644" s="1620">
        <f>SUM(DH634:DL643)</f>
        <v>0</v>
      </c>
      <c r="DI644" s="1620"/>
      <c r="DJ644" s="1620"/>
      <c r="DK644" s="1620"/>
      <c r="DL644" s="1620"/>
      <c r="DM644" s="1620">
        <f>SUM(DM634:DQ643)</f>
        <v>0</v>
      </c>
      <c r="DN644" s="1620"/>
      <c r="DO644" s="1620"/>
      <c r="DP644" s="1620"/>
      <c r="DQ644" s="1620"/>
      <c r="DR644" s="1620">
        <f>SUM(DR634:DV643)</f>
        <v>0</v>
      </c>
      <c r="DS644" s="1620"/>
      <c r="DT644" s="1620"/>
      <c r="DU644" s="1620"/>
      <c r="DV644" s="1620"/>
      <c r="DX644" s="1847" t="e">
        <f t="shared" si="23"/>
        <v>#VALUE!</v>
      </c>
      <c r="DY644" s="1847"/>
      <c r="DZ644" s="1847"/>
      <c r="EA644" s="1847"/>
      <c r="EB644" s="1847"/>
      <c r="EC644" s="1847" t="e">
        <f t="shared" si="24"/>
        <v>#VALUE!</v>
      </c>
      <c r="ED644" s="1847"/>
      <c r="EE644" s="1847"/>
      <c r="EF644" s="1847"/>
      <c r="EG644" s="1847"/>
      <c r="EH644" s="1847" t="e">
        <f t="shared" si="25"/>
        <v>#VALUE!</v>
      </c>
      <c r="EI644" s="1847"/>
      <c r="EJ644" s="1847"/>
      <c r="EK644" s="1847"/>
      <c r="EL644" s="1847"/>
      <c r="EM644" s="1847" t="e">
        <f t="shared" si="26"/>
        <v>#VALUE!</v>
      </c>
      <c r="EN644" s="1847"/>
      <c r="EO644" s="1847"/>
      <c r="EP644" s="1847"/>
      <c r="EQ644" s="1847"/>
      <c r="ER644" s="1847" t="e">
        <f t="shared" si="27"/>
        <v>#VALUE!</v>
      </c>
      <c r="ES644" s="1847"/>
      <c r="ET644" s="1847"/>
      <c r="EU644" s="1847"/>
      <c r="EV644" s="1847"/>
      <c r="EW644" s="1847" t="e">
        <f t="shared" si="28"/>
        <v>#VALUE!</v>
      </c>
      <c r="EX644" s="1847"/>
      <c r="EY644" s="1847"/>
      <c r="EZ644" s="1847"/>
      <c r="FA644" s="1847"/>
    </row>
    <row r="645" spans="1:157" ht="12.9" customHeight="1">
      <c r="A645" s="22"/>
      <c r="B645" t="s">
        <v>20</v>
      </c>
      <c r="N645" s="1374" t="s">
        <v>555</v>
      </c>
      <c r="O645" s="1374"/>
      <c r="T645" s="22"/>
      <c r="U645" t="s">
        <v>20</v>
      </c>
      <c r="AG645" s="1374" t="s">
        <v>555</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3"/>
        <v>#VALUE!</v>
      </c>
      <c r="DY645" s="1847"/>
      <c r="DZ645" s="1847"/>
      <c r="EA645" s="1847"/>
      <c r="EB645" s="1847"/>
      <c r="EC645" s="1847" t="e">
        <f t="shared" si="24"/>
        <v>#VALUE!</v>
      </c>
      <c r="ED645" s="1847"/>
      <c r="EE645" s="1847"/>
      <c r="EF645" s="1847"/>
      <c r="EG645" s="1847"/>
      <c r="EH645" s="1847" t="e">
        <f t="shared" si="25"/>
        <v>#VALUE!</v>
      </c>
      <c r="EI645" s="1847"/>
      <c r="EJ645" s="1847"/>
      <c r="EK645" s="1847"/>
      <c r="EL645" s="1847"/>
      <c r="EM645" s="1847" t="e">
        <f t="shared" si="26"/>
        <v>#VALUE!</v>
      </c>
      <c r="EN645" s="1847"/>
      <c r="EO645" s="1847"/>
      <c r="EP645" s="1847"/>
      <c r="EQ645" s="1847"/>
      <c r="ER645" s="1847" t="e">
        <f t="shared" si="27"/>
        <v>#VALUE!</v>
      </c>
      <c r="ES645" s="1847"/>
      <c r="ET645" s="1847"/>
      <c r="EU645" s="1847"/>
      <c r="EV645" s="1847"/>
      <c r="EW645" s="1847" t="e">
        <f t="shared" si="28"/>
        <v>#VALUE!</v>
      </c>
      <c r="EX645" s="1847"/>
      <c r="EY645" s="1847"/>
      <c r="EZ645" s="1847"/>
      <c r="FA645" s="1847"/>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47">
        <f>SUM(CS644:DV644)</f>
        <v>0</v>
      </c>
      <c r="DS646" s="1847"/>
      <c r="DT646" s="1847"/>
      <c r="DU646" s="1847"/>
      <c r="DV646" s="1847"/>
      <c r="DX646" s="1847" t="e">
        <f t="shared" si="23"/>
        <v>#VALUE!</v>
      </c>
      <c r="DY646" s="1847"/>
      <c r="DZ646" s="1847"/>
      <c r="EA646" s="1847"/>
      <c r="EB646" s="1847"/>
      <c r="EC646" s="1847" t="e">
        <f t="shared" si="24"/>
        <v>#VALUE!</v>
      </c>
      <c r="ED646" s="1847"/>
      <c r="EE646" s="1847"/>
      <c r="EF646" s="1847"/>
      <c r="EG646" s="1847"/>
      <c r="EH646" s="1847" t="e">
        <f t="shared" si="25"/>
        <v>#VALUE!</v>
      </c>
      <c r="EI646" s="1847"/>
      <c r="EJ646" s="1847"/>
      <c r="EK646" s="1847"/>
      <c r="EL646" s="1847"/>
      <c r="EM646" s="1847" t="e">
        <f t="shared" si="26"/>
        <v>#VALUE!</v>
      </c>
      <c r="EN646" s="1847"/>
      <c r="EO646" s="1847"/>
      <c r="EP646" s="1847"/>
      <c r="EQ646" s="1847"/>
      <c r="ER646" s="1847" t="e">
        <f t="shared" si="27"/>
        <v>#VALUE!</v>
      </c>
      <c r="ES646" s="1847"/>
      <c r="ET646" s="1847"/>
      <c r="EU646" s="1847"/>
      <c r="EV646" s="1847"/>
      <c r="EW646" s="1847" t="e">
        <f t="shared" si="28"/>
        <v>#VALUE!</v>
      </c>
      <c r="EX646" s="1847"/>
      <c r="EY646" s="1847"/>
      <c r="EZ646" s="1847"/>
      <c r="FA646" s="1847"/>
    </row>
    <row r="647" spans="1:157" ht="12.9" customHeight="1">
      <c r="A647" s="55" t="s">
        <v>120</v>
      </c>
      <c r="B647" t="s">
        <v>473</v>
      </c>
      <c r="G647" s="1510" t="str">
        <f>C625</f>
        <v>Deferred Developer Fee</v>
      </c>
      <c r="H647" s="1510"/>
      <c r="I647" s="1510"/>
      <c r="J647" s="1510"/>
      <c r="K647" s="1510"/>
      <c r="L647" s="1510"/>
      <c r="M647" s="1510"/>
      <c r="N647" s="1510"/>
      <c r="O647" s="1510"/>
      <c r="P647" s="1510"/>
      <c r="Q647" s="1510"/>
      <c r="R647" s="1510"/>
      <c r="T647" s="55" t="s">
        <v>591</v>
      </c>
      <c r="U647" t="s">
        <v>473</v>
      </c>
      <c r="Z647" s="1510" t="str">
        <f>C626</f>
        <v>HASMC AHF Loan</v>
      </c>
      <c r="AA647" s="1510"/>
      <c r="AB647" s="1510"/>
      <c r="AC647" s="1510"/>
      <c r="AD647" s="1510"/>
      <c r="AE647" s="1510"/>
      <c r="AF647" s="1510"/>
      <c r="AG647" s="1510"/>
      <c r="AH647" s="1510"/>
      <c r="AI647" s="1510"/>
      <c r="AJ647" s="1510"/>
      <c r="AK647" s="1510"/>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47" t="e">
        <f t="shared" si="23"/>
        <v>#VALUE!</v>
      </c>
      <c r="DY647" s="1847"/>
      <c r="DZ647" s="1847"/>
      <c r="EA647" s="1847"/>
      <c r="EB647" s="1847"/>
      <c r="EC647" s="1847" t="e">
        <f t="shared" si="24"/>
        <v>#VALUE!</v>
      </c>
      <c r="ED647" s="1847"/>
      <c r="EE647" s="1847"/>
      <c r="EF647" s="1847"/>
      <c r="EG647" s="1847"/>
      <c r="EH647" s="1847" t="e">
        <f t="shared" si="25"/>
        <v>#VALUE!</v>
      </c>
      <c r="EI647" s="1847"/>
      <c r="EJ647" s="1847"/>
      <c r="EK647" s="1847"/>
      <c r="EL647" s="1847"/>
      <c r="EM647" s="1847" t="e">
        <f t="shared" si="26"/>
        <v>#VALUE!</v>
      </c>
      <c r="EN647" s="1847"/>
      <c r="EO647" s="1847"/>
      <c r="EP647" s="1847"/>
      <c r="EQ647" s="1847"/>
      <c r="ER647" s="1847" t="e">
        <f t="shared" si="27"/>
        <v>#VALUE!</v>
      </c>
      <c r="ES647" s="1847"/>
      <c r="ET647" s="1847"/>
      <c r="EU647" s="1847"/>
      <c r="EV647" s="1847"/>
      <c r="EW647" s="1847" t="e">
        <f t="shared" si="28"/>
        <v>#VALUE!</v>
      </c>
      <c r="EX647" s="1847"/>
      <c r="EY647" s="1847"/>
      <c r="EZ647" s="1847"/>
      <c r="FA647" s="1847"/>
    </row>
    <row r="648" spans="1:157" ht="12.9" customHeight="1">
      <c r="A648" s="22"/>
      <c r="B648" t="s">
        <v>86</v>
      </c>
      <c r="G648" s="1395" t="s">
        <v>2733</v>
      </c>
      <c r="H648" s="1395"/>
      <c r="I648" s="1395"/>
      <c r="J648" s="1395"/>
      <c r="K648" s="1395"/>
      <c r="L648" s="1395"/>
      <c r="M648" s="1395"/>
      <c r="N648" s="1395"/>
      <c r="O648" s="1395"/>
      <c r="P648" s="1395"/>
      <c r="Q648" s="1395"/>
      <c r="R648" s="1395"/>
      <c r="T648" s="22"/>
      <c r="U648" t="s">
        <v>86</v>
      </c>
      <c r="Z648" s="1395" t="s">
        <v>2736</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3"/>
        <v>#VALUE!</v>
      </c>
      <c r="DY648" s="1847"/>
      <c r="DZ648" s="1847"/>
      <c r="EA648" s="1847"/>
      <c r="EB648" s="1847"/>
      <c r="EC648" s="1847" t="e">
        <f t="shared" si="24"/>
        <v>#VALUE!</v>
      </c>
      <c r="ED648" s="1847"/>
      <c r="EE648" s="1847"/>
      <c r="EF648" s="1847"/>
      <c r="EG648" s="1847"/>
      <c r="EH648" s="1847" t="e">
        <f t="shared" si="25"/>
        <v>#VALUE!</v>
      </c>
      <c r="EI648" s="1847"/>
      <c r="EJ648" s="1847"/>
      <c r="EK648" s="1847"/>
      <c r="EL648" s="1847"/>
      <c r="EM648" s="1847" t="e">
        <f t="shared" si="26"/>
        <v>#VALUE!</v>
      </c>
      <c r="EN648" s="1847"/>
      <c r="EO648" s="1847"/>
      <c r="EP648" s="1847"/>
      <c r="EQ648" s="1847"/>
      <c r="ER648" s="1847" t="e">
        <f t="shared" si="27"/>
        <v>#VALUE!</v>
      </c>
      <c r="ES648" s="1847"/>
      <c r="ET648" s="1847"/>
      <c r="EU648" s="1847"/>
      <c r="EV648" s="1847"/>
      <c r="EW648" s="1847" t="e">
        <f t="shared" si="28"/>
        <v>#VALUE!</v>
      </c>
      <c r="EX648" s="1847"/>
      <c r="EY648" s="1847"/>
      <c r="EZ648" s="1847"/>
      <c r="FA648" s="1847"/>
    </row>
    <row r="649" spans="1:157" ht="12.9" customHeight="1">
      <c r="A649" s="22"/>
      <c r="B649" t="s">
        <v>590</v>
      </c>
      <c r="G649" s="1367" t="s">
        <v>194</v>
      </c>
      <c r="H649" s="1367"/>
      <c r="I649" s="1367"/>
      <c r="J649" s="1367"/>
      <c r="K649" s="1367"/>
      <c r="L649" s="1367"/>
      <c r="M649" s="1367"/>
      <c r="N649" s="1367"/>
      <c r="O649" s="1367"/>
      <c r="P649" s="1367"/>
      <c r="Q649" s="1367"/>
      <c r="R649" s="1367"/>
      <c r="T649" s="22"/>
      <c r="U649" t="s">
        <v>590</v>
      </c>
      <c r="Z649" s="1367" t="s">
        <v>2737</v>
      </c>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52</v>
      </c>
      <c r="BT649" s="1702"/>
      <c r="BU649" s="1702"/>
      <c r="BV649" s="1702"/>
      <c r="BW649" s="1703"/>
      <c r="BX649" s="1701">
        <f>BX621+BX630+BX644</f>
        <v>40</v>
      </c>
      <c r="BY649" s="1702"/>
      <c r="BZ649" s="1702"/>
      <c r="CA649" s="1702"/>
      <c r="CB649" s="1703"/>
      <c r="CC649" s="1701">
        <f>CC621+CC630+CC644</f>
        <v>33</v>
      </c>
      <c r="CD649" s="1702"/>
      <c r="CE649" s="1702"/>
      <c r="CF649" s="1702"/>
      <c r="CG649" s="1703"/>
      <c r="CH649" s="1701">
        <f>CH621+CH630+CH644</f>
        <v>0</v>
      </c>
      <c r="CI649" s="1702"/>
      <c r="CJ649" s="1702"/>
      <c r="CK649" s="1702"/>
      <c r="CL649" s="1703"/>
      <c r="CM649" s="1420">
        <f>CM644+CM630+CM621</f>
        <v>0</v>
      </c>
      <c r="CN649" s="1843"/>
      <c r="CO649" s="1843"/>
      <c r="CP649" s="1843"/>
      <c r="CQ649" s="1421"/>
      <c r="CR649" s="3"/>
      <c r="CS649" s="897">
        <f>CS623+CS647</f>
        <v>228</v>
      </c>
      <c r="CT649" s="57" t="s">
        <v>2128</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1767.1346153846155</v>
      </c>
      <c r="ED649" s="1847"/>
      <c r="EE649" s="1847"/>
      <c r="EF649" s="1847"/>
      <c r="EG649" s="1847"/>
      <c r="EH649" s="1847">
        <f>SUMIF(EH624:EL648,"&gt;0")</f>
        <v>2089.3249999999998</v>
      </c>
      <c r="EI649" s="1847"/>
      <c r="EJ649" s="1847"/>
      <c r="EK649" s="1847"/>
      <c r="EL649" s="1847"/>
      <c r="EM649" s="1847">
        <f>SUMIF(EM624:EQ648,"&gt;0")</f>
        <v>1454.28125</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2.9" customHeight="1">
      <c r="A650" s="22"/>
      <c r="B650" t="s">
        <v>17</v>
      </c>
      <c r="G650" s="1367" t="s">
        <v>2639</v>
      </c>
      <c r="H650" s="1367"/>
      <c r="I650" s="1367"/>
      <c r="J650" s="1367"/>
      <c r="K650" s="1367"/>
      <c r="L650" s="1367"/>
      <c r="M650" s="1367"/>
      <c r="N650" s="1367"/>
      <c r="O650" s="1367"/>
      <c r="P650" s="1367"/>
      <c r="Q650" s="1367"/>
      <c r="R650" s="1367"/>
      <c r="T650" s="22"/>
      <c r="U650" t="s">
        <v>17</v>
      </c>
      <c r="Z650" s="1367" t="s">
        <v>2738</v>
      </c>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436" t="s">
        <v>2640</v>
      </c>
      <c r="H651" s="1436"/>
      <c r="I651" s="1436"/>
      <c r="J651" s="1436"/>
      <c r="K651" s="1436"/>
      <c r="L651" s="1436"/>
      <c r="O651" s="33" t="s">
        <v>208</v>
      </c>
      <c r="P651" s="1463"/>
      <c r="Q651" s="1463"/>
      <c r="R651" s="1463"/>
      <c r="T651" s="22"/>
      <c r="U651" t="s">
        <v>318</v>
      </c>
      <c r="Z651" s="1436" t="s">
        <v>2748</v>
      </c>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95" t="s">
        <v>1923</v>
      </c>
      <c r="I652" s="1395"/>
      <c r="J652" s="1395"/>
      <c r="K652" s="1395"/>
      <c r="L652" s="1395"/>
      <c r="M652" s="1395"/>
      <c r="N652" s="1395"/>
      <c r="O652" s="1395"/>
      <c r="P652" s="1395"/>
      <c r="Q652" s="1395"/>
      <c r="R652" s="1395"/>
      <c r="T652" s="22"/>
      <c r="U652" t="s">
        <v>18</v>
      </c>
      <c r="AA652" s="1395" t="s">
        <v>2744</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74" t="s">
        <v>555</v>
      </c>
      <c r="O653" s="1374"/>
      <c r="T653" s="22"/>
      <c r="U653" t="s">
        <v>20</v>
      </c>
      <c r="AG653" s="1374" t="s">
        <v>555</v>
      </c>
      <c r="AH653" s="137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510" t="str">
        <f>C627</f>
        <v>City of Belmont Loan</v>
      </c>
      <c r="H655" s="1510"/>
      <c r="I655" s="1510"/>
      <c r="J655" s="1510"/>
      <c r="K655" s="1510"/>
      <c r="L655" s="1510"/>
      <c r="M655" s="1510"/>
      <c r="N655" s="1510"/>
      <c r="O655" s="1510"/>
      <c r="P655" s="1510"/>
      <c r="Q655" s="1510"/>
      <c r="R655" s="1510"/>
      <c r="T655" s="55" t="s">
        <v>594</v>
      </c>
      <c r="U655" t="s">
        <v>473</v>
      </c>
      <c r="Z655" s="1510">
        <f>C628</f>
        <v>0</v>
      </c>
      <c r="AA655" s="1510"/>
      <c r="AB655" s="1510"/>
      <c r="AC655" s="1510"/>
      <c r="AD655" s="1510"/>
      <c r="AE655" s="1510"/>
      <c r="AF655" s="1510"/>
      <c r="AG655" s="1510"/>
      <c r="AH655" s="1510"/>
      <c r="AI655" s="1510"/>
      <c r="AJ655" s="1510"/>
      <c r="AK655" s="1510"/>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95" t="s">
        <v>2741</v>
      </c>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3496</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395" t="s">
        <v>2713</v>
      </c>
      <c r="H657" s="1395"/>
      <c r="I657" s="1395"/>
      <c r="J657" s="1395"/>
      <c r="K657" s="1395"/>
      <c r="L657" s="1395"/>
      <c r="M657" s="1395"/>
      <c r="N657" s="1395"/>
      <c r="O657" s="1395"/>
      <c r="P657" s="1395"/>
      <c r="Q657" s="1395"/>
      <c r="R657" s="1395"/>
      <c r="T657" s="22"/>
      <c r="U657" t="s">
        <v>590</v>
      </c>
      <c r="Z657" s="1367"/>
      <c r="AA657" s="1367"/>
      <c r="AB657" s="1367"/>
      <c r="AC657" s="1367"/>
      <c r="AD657" s="1367"/>
      <c r="AE657" s="1367"/>
      <c r="AF657" s="1367"/>
      <c r="AG657" s="1367"/>
      <c r="AH657" s="1367"/>
      <c r="AI657" s="1367"/>
      <c r="AJ657" s="1367"/>
      <c r="AK657" s="1367"/>
      <c r="AZ657" s="3"/>
      <c r="BA657" s="118">
        <f t="shared" si="42"/>
        <v>3496</v>
      </c>
      <c r="BB657" s="3"/>
      <c r="BC657" s="3"/>
      <c r="BD657" s="3"/>
      <c r="BE657" s="3"/>
      <c r="BF657" s="218"/>
      <c r="BG657" s="315">
        <f t="shared" ref="BG657:BG681" si="43">G714</f>
        <v>5</v>
      </c>
      <c r="BH657" s="319">
        <f>BG657/$BG$682</f>
        <v>4.0322580645161289E-2</v>
      </c>
      <c r="BI657" s="320">
        <f t="shared" ref="BI657:BI681" si="44">IF(BH657=0," ",BH657*AC714)</f>
        <v>1.2096774193548387E-2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95" t="s">
        <v>2742</v>
      </c>
      <c r="H658" s="1395"/>
      <c r="I658" s="1395"/>
      <c r="J658" s="1395"/>
      <c r="K658" s="1395"/>
      <c r="L658" s="1395"/>
      <c r="M658" s="1395"/>
      <c r="N658" s="1395"/>
      <c r="O658" s="1395"/>
      <c r="P658" s="1395"/>
      <c r="Q658" s="1395"/>
      <c r="R658" s="1395"/>
      <c r="T658" s="22"/>
      <c r="U658" t="s">
        <v>17</v>
      </c>
      <c r="Z658" s="1367"/>
      <c r="AA658" s="1367"/>
      <c r="AB658" s="1367"/>
      <c r="AC658" s="1367"/>
      <c r="AD658" s="1367"/>
      <c r="AE658" s="1367"/>
      <c r="AF658" s="1367"/>
      <c r="AG658" s="1367"/>
      <c r="AH658" s="1367"/>
      <c r="AI658" s="1367"/>
      <c r="AJ658" s="1367"/>
      <c r="AK658" s="1367"/>
      <c r="AZ658" s="3"/>
      <c r="BA658" s="118">
        <f t="shared" si="42"/>
        <v>3496</v>
      </c>
      <c r="BB658" s="3"/>
      <c r="BC658" s="3"/>
      <c r="BD658" s="3"/>
      <c r="BE658" s="3"/>
      <c r="BF658" s="218"/>
      <c r="BG658" s="316">
        <f t="shared" si="43"/>
        <v>14</v>
      </c>
      <c r="BH658" s="319">
        <f t="shared" ref="BH658:BH681" si="45">BG658/$BG$682</f>
        <v>0.11290322580645161</v>
      </c>
      <c r="BI658" s="320">
        <f t="shared" si="44"/>
        <v>5.6451612903225805E-2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436" t="s">
        <v>2749</v>
      </c>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42"/>
        <v>3496</v>
      </c>
      <c r="BB659" s="3"/>
      <c r="BC659" s="3"/>
      <c r="BD659" s="3"/>
      <c r="BE659" s="3"/>
      <c r="BF659" s="218"/>
      <c r="BG659" s="316">
        <f t="shared" si="43"/>
        <v>19</v>
      </c>
      <c r="BH659" s="319">
        <f t="shared" si="45"/>
        <v>0.15322580645161291</v>
      </c>
      <c r="BI659" s="320">
        <f t="shared" si="44"/>
        <v>7.6612903225806453E-2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95" t="s">
        <v>2746</v>
      </c>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3496</v>
      </c>
      <c r="BB660" s="3"/>
      <c r="BC660" s="3"/>
      <c r="BD660" s="3"/>
      <c r="BE660" s="3"/>
      <c r="BF660" s="218"/>
      <c r="BG660" s="316">
        <f t="shared" si="43"/>
        <v>4</v>
      </c>
      <c r="BH660" s="319">
        <f t="shared" si="45"/>
        <v>3.2258064516129031E-2</v>
      </c>
      <c r="BI660" s="320">
        <f t="shared" si="44"/>
        <v>1.9354838709677417E-2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74" t="s">
        <v>555</v>
      </c>
      <c r="O661" s="1374"/>
      <c r="T661" s="22"/>
      <c r="U661" t="s">
        <v>20</v>
      </c>
      <c r="AG661" s="1374" t="s">
        <v>679</v>
      </c>
      <c r="AH661" s="1374"/>
      <c r="AZ661" s="3"/>
      <c r="BA661" s="118">
        <f t="shared" si="42"/>
        <v>4194</v>
      </c>
      <c r="BB661" s="3"/>
      <c r="BC661" s="3"/>
      <c r="BD661" s="3"/>
      <c r="BE661" s="3"/>
      <c r="BF661" s="218"/>
      <c r="BG661" s="316">
        <f t="shared" si="43"/>
        <v>10</v>
      </c>
      <c r="BH661" s="319">
        <f t="shared" si="45"/>
        <v>8.0645161290322578E-2</v>
      </c>
      <c r="BI661" s="320">
        <f t="shared" si="44"/>
        <v>5.6451612903225798E-2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2"/>
        <v>4194</v>
      </c>
      <c r="BB662" s="3"/>
      <c r="BC662" s="3"/>
      <c r="BD662" s="3"/>
      <c r="BE662" s="3"/>
      <c r="BF662" s="218"/>
      <c r="BG662" s="316">
        <f t="shared" si="43"/>
        <v>13</v>
      </c>
      <c r="BH662" s="319">
        <f t="shared" si="45"/>
        <v>0.10483870967741936</v>
      </c>
      <c r="BI662" s="320">
        <f t="shared" si="44"/>
        <v>3.1451612903225803E-2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510">
        <f>C629</f>
        <v>0</v>
      </c>
      <c r="H663" s="1510"/>
      <c r="I663" s="1510"/>
      <c r="J663" s="1510"/>
      <c r="K663" s="1510"/>
      <c r="L663" s="1510"/>
      <c r="M663" s="1510"/>
      <c r="N663" s="1510"/>
      <c r="O663" s="1510"/>
      <c r="P663" s="1510"/>
      <c r="Q663" s="1510"/>
      <c r="R663" s="1510"/>
      <c r="T663" s="55" t="s">
        <v>466</v>
      </c>
      <c r="U663" t="s">
        <v>473</v>
      </c>
      <c r="Z663" s="1510">
        <f>C630</f>
        <v>0</v>
      </c>
      <c r="AA663" s="1510"/>
      <c r="AB663" s="1510"/>
      <c r="AC663" s="1510"/>
      <c r="AD663" s="1510"/>
      <c r="AE663" s="1510"/>
      <c r="AF663" s="1510"/>
      <c r="AG663" s="1510"/>
      <c r="AH663" s="1510"/>
      <c r="AI663" s="1510"/>
      <c r="AJ663" s="1510"/>
      <c r="AK663" s="1510"/>
      <c r="AZ663" s="3"/>
      <c r="BA663" s="118">
        <f t="shared" si="42"/>
        <v>4194</v>
      </c>
      <c r="BB663" s="3"/>
      <c r="BC663" s="3"/>
      <c r="BD663" s="3"/>
      <c r="BE663" s="3"/>
      <c r="BF663" s="218"/>
      <c r="BG663" s="316">
        <f t="shared" si="43"/>
        <v>1</v>
      </c>
      <c r="BH663" s="319">
        <f t="shared" si="45"/>
        <v>8.0645161290322578E-3</v>
      </c>
      <c r="BI663" s="320">
        <f t="shared" si="44"/>
        <v>4.0322580645161289E-3</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4194</v>
      </c>
      <c r="BB664" s="3"/>
      <c r="BC664" s="3"/>
      <c r="BD664" s="3"/>
      <c r="BE664" s="3"/>
      <c r="BF664" s="218"/>
      <c r="BG664" s="316">
        <f t="shared" si="43"/>
        <v>6</v>
      </c>
      <c r="BH664" s="319">
        <f t="shared" si="45"/>
        <v>4.8387096774193547E-2</v>
      </c>
      <c r="BI664" s="320">
        <f t="shared" si="44"/>
        <v>2.4193548387096774E-2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395"/>
      <c r="H665" s="1395"/>
      <c r="I665" s="1395"/>
      <c r="J665" s="1395"/>
      <c r="K665" s="1395"/>
      <c r="L665" s="1395"/>
      <c r="M665" s="1395"/>
      <c r="N665" s="1395"/>
      <c r="O665" s="1395"/>
      <c r="P665" s="1395"/>
      <c r="Q665" s="1395"/>
      <c r="R665" s="1395"/>
      <c r="T665" s="22"/>
      <c r="U665" t="s">
        <v>590</v>
      </c>
      <c r="Z665" s="1367"/>
      <c r="AA665" s="1367"/>
      <c r="AB665" s="1367"/>
      <c r="AC665" s="1367"/>
      <c r="AD665" s="1367"/>
      <c r="AE665" s="1367"/>
      <c r="AF665" s="1367"/>
      <c r="AG665" s="1367"/>
      <c r="AH665" s="1367"/>
      <c r="AI665" s="1367"/>
      <c r="AJ665" s="1367"/>
      <c r="AK665" s="1367"/>
      <c r="AZ665" s="3"/>
      <c r="BA665" s="118">
        <f t="shared" si="42"/>
        <v>4194</v>
      </c>
      <c r="BB665" s="3"/>
      <c r="BC665" s="3"/>
      <c r="BD665" s="3"/>
      <c r="BE665" s="3"/>
      <c r="BF665" s="218"/>
      <c r="BG665" s="316">
        <f t="shared" si="43"/>
        <v>5</v>
      </c>
      <c r="BH665" s="319">
        <f t="shared" si="45"/>
        <v>4.0322580645161289E-2</v>
      </c>
      <c r="BI665" s="320">
        <f t="shared" si="44"/>
        <v>2.4193548387096774E-2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95"/>
      <c r="H666" s="1395"/>
      <c r="I666" s="1395"/>
      <c r="J666" s="1395"/>
      <c r="K666" s="1395"/>
      <c r="L666" s="1395"/>
      <c r="M666" s="1395"/>
      <c r="N666" s="1395"/>
      <c r="O666" s="1395"/>
      <c r="P666" s="1395"/>
      <c r="Q666" s="1395"/>
      <c r="R666" s="1395"/>
      <c r="T666" s="22"/>
      <c r="U666" t="s">
        <v>17</v>
      </c>
      <c r="Z666" s="1367"/>
      <c r="AA666" s="1367"/>
      <c r="AB666" s="1367"/>
      <c r="AC666" s="1367"/>
      <c r="AD666" s="1367"/>
      <c r="AE666" s="1367"/>
      <c r="AF666" s="1367"/>
      <c r="AG666" s="1367"/>
      <c r="AH666" s="1367"/>
      <c r="AI666" s="1367"/>
      <c r="AJ666" s="1367"/>
      <c r="AK666" s="1367"/>
      <c r="AZ666" s="3"/>
      <c r="BA666" s="118">
        <f t="shared" si="42"/>
        <v>4846</v>
      </c>
      <c r="BB666" s="3"/>
      <c r="BC666" s="3"/>
      <c r="BD666" s="3"/>
      <c r="BE666" s="3"/>
      <c r="BF666" s="218"/>
      <c r="BG666" s="316">
        <f t="shared" si="43"/>
        <v>15</v>
      </c>
      <c r="BH666" s="319">
        <f t="shared" si="45"/>
        <v>0.12096774193548387</v>
      </c>
      <c r="BI666" s="320">
        <f t="shared" si="44"/>
        <v>8.4677419354838704E-2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f t="shared" si="42"/>
        <v>4846</v>
      </c>
      <c r="BB667" s="3"/>
      <c r="BC667" s="3"/>
      <c r="BD667" s="3"/>
      <c r="BE667" s="3"/>
      <c r="BF667" s="218"/>
      <c r="BG667" s="316">
        <f t="shared" si="43"/>
        <v>29</v>
      </c>
      <c r="BH667" s="319">
        <f t="shared" si="45"/>
        <v>0.23387096774193547</v>
      </c>
      <c r="BI667" s="320">
        <f t="shared" si="44"/>
        <v>7.0161290322580644E-2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f t="shared" si="42"/>
        <v>4846</v>
      </c>
      <c r="BB668" s="3"/>
      <c r="BC668" s="3"/>
      <c r="BD668" s="3"/>
      <c r="BE668" s="3"/>
      <c r="BF668" s="218"/>
      <c r="BG668" s="316">
        <f t="shared" si="43"/>
        <v>1</v>
      </c>
      <c r="BH668" s="319">
        <f t="shared" si="45"/>
        <v>8.0645161290322578E-3</v>
      </c>
      <c r="BI668" s="320">
        <f t="shared" si="44"/>
        <v>4.0322580645161289E-3</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74" t="s">
        <v>679</v>
      </c>
      <c r="O669" s="1374"/>
      <c r="T669" s="22"/>
      <c r="U669" t="s">
        <v>20</v>
      </c>
      <c r="AG669" s="1374" t="s">
        <v>679</v>
      </c>
      <c r="AH669" s="1374"/>
      <c r="AZ669" s="3"/>
      <c r="BA669" s="118">
        <f t="shared" si="42"/>
        <v>4846</v>
      </c>
      <c r="BB669" s="3"/>
      <c r="BC669" s="3"/>
      <c r="BD669" s="3"/>
      <c r="BE669" s="3"/>
      <c r="BF669" s="218"/>
      <c r="BG669" s="316">
        <f t="shared" si="43"/>
        <v>1</v>
      </c>
      <c r="BH669" s="319">
        <f t="shared" si="45"/>
        <v>8.0645161290322578E-3</v>
      </c>
      <c r="BI669" s="320">
        <f t="shared" si="44"/>
        <v>4.8387096774193542E-3</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1</v>
      </c>
      <c r="BH670" s="319">
        <f t="shared" si="45"/>
        <v>8.0645161290322578E-3</v>
      </c>
      <c r="BI670" s="320">
        <f t="shared" si="44"/>
        <v>5.6451612903225803E-3</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510">
        <f>C631</f>
        <v>0</v>
      </c>
      <c r="H671" s="1510"/>
      <c r="I671" s="1510"/>
      <c r="J671" s="1510"/>
      <c r="K671" s="1510"/>
      <c r="L671" s="1510"/>
      <c r="M671" s="1510"/>
      <c r="N671" s="1510"/>
      <c r="O671" s="1510"/>
      <c r="P671" s="1510"/>
      <c r="Q671" s="1510"/>
      <c r="R671" s="1510"/>
      <c r="T671" s="55" t="s">
        <v>656</v>
      </c>
      <c r="U671" t="s">
        <v>473</v>
      </c>
      <c r="Z671" s="1510">
        <f>C632</f>
        <v>0</v>
      </c>
      <c r="AA671" s="1510"/>
      <c r="AB671" s="1510"/>
      <c r="AC671" s="1510"/>
      <c r="AD671" s="1510"/>
      <c r="AE671" s="1510"/>
      <c r="AF671" s="1510"/>
      <c r="AG671" s="1510"/>
      <c r="AH671" s="1510"/>
      <c r="AI671" s="1510"/>
      <c r="AJ671" s="1510"/>
      <c r="AK671" s="1510"/>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395"/>
      <c r="H673" s="1395"/>
      <c r="I673" s="1395"/>
      <c r="J673" s="1395"/>
      <c r="K673" s="1395"/>
      <c r="L673" s="1395"/>
      <c r="M673" s="1395"/>
      <c r="N673" s="1395"/>
      <c r="O673" s="1395"/>
      <c r="P673" s="1395"/>
      <c r="Q673" s="1395"/>
      <c r="R673" s="1395"/>
      <c r="T673" s="22"/>
      <c r="U673" t="s">
        <v>590</v>
      </c>
      <c r="Z673" s="1367"/>
      <c r="AA673" s="1367"/>
      <c r="AB673" s="1367"/>
      <c r="AC673" s="1367"/>
      <c r="AD673" s="1367"/>
      <c r="AE673" s="1367"/>
      <c r="AF673" s="1367"/>
      <c r="AG673" s="1367"/>
      <c r="AH673" s="1367"/>
      <c r="AI673" s="1367"/>
      <c r="AJ673" s="1367"/>
      <c r="AK673" s="136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95"/>
      <c r="H674" s="1395"/>
      <c r="I674" s="1395"/>
      <c r="J674" s="1395"/>
      <c r="K674" s="1395"/>
      <c r="L674" s="1395"/>
      <c r="M674" s="1395"/>
      <c r="N674" s="1395"/>
      <c r="O674" s="1395"/>
      <c r="P674" s="1395"/>
      <c r="Q674" s="1395"/>
      <c r="R674" s="1395"/>
      <c r="T674" s="22"/>
      <c r="U674" t="s">
        <v>17</v>
      </c>
      <c r="Z674" s="1367"/>
      <c r="AA674" s="1367"/>
      <c r="AB674" s="1367"/>
      <c r="AC674" s="1367"/>
      <c r="AD674" s="1367"/>
      <c r="AE674" s="1367"/>
      <c r="AF674" s="1367"/>
      <c r="AG674" s="1367"/>
      <c r="AH674" s="1367"/>
      <c r="AI674" s="1367"/>
      <c r="AJ674" s="1367"/>
      <c r="AK674" s="136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74" t="s">
        <v>679</v>
      </c>
      <c r="O677" s="1374"/>
      <c r="T677" s="22"/>
      <c r="U677" t="s">
        <v>20</v>
      </c>
      <c r="AG677" s="1374" t="s">
        <v>679</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510">
        <f>C633</f>
        <v>0</v>
      </c>
      <c r="H679" s="1510"/>
      <c r="I679" s="1510"/>
      <c r="J679" s="1510"/>
      <c r="K679" s="1510"/>
      <c r="L679" s="1510"/>
      <c r="M679" s="1510"/>
      <c r="N679" s="1510"/>
      <c r="O679" s="1510"/>
      <c r="P679" s="1510"/>
      <c r="Q679" s="1510"/>
      <c r="R679" s="1510"/>
      <c r="T679" s="55" t="s">
        <v>365</v>
      </c>
      <c r="U679" t="s">
        <v>473</v>
      </c>
      <c r="Z679" s="1510">
        <f>C634</f>
        <v>0</v>
      </c>
      <c r="AA679" s="1510"/>
      <c r="AB679" s="1510"/>
      <c r="AC679" s="1510"/>
      <c r="AD679" s="1510"/>
      <c r="AE679" s="1510"/>
      <c r="AF679" s="1510"/>
      <c r="AG679" s="1510"/>
      <c r="AH679" s="1510"/>
      <c r="AI679" s="1510"/>
      <c r="AJ679" s="1510"/>
      <c r="AK679" s="1510"/>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395"/>
      <c r="H681" s="1395"/>
      <c r="I681" s="1395"/>
      <c r="J681" s="1395"/>
      <c r="K681" s="1395"/>
      <c r="L681" s="1395"/>
      <c r="M681" s="1395"/>
      <c r="N681" s="1395"/>
      <c r="O681" s="1395"/>
      <c r="P681" s="1395"/>
      <c r="Q681" s="1395"/>
      <c r="R681" s="1395"/>
      <c r="U681" t="s">
        <v>590</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95"/>
      <c r="H682" s="1395"/>
      <c r="I682" s="1395"/>
      <c r="J682" s="1395"/>
      <c r="K682" s="1395"/>
      <c r="L682" s="1395"/>
      <c r="M682" s="1395"/>
      <c r="N682" s="1395"/>
      <c r="O682" s="1395"/>
      <c r="P682" s="1395"/>
      <c r="Q682" s="1395"/>
      <c r="R682" s="1395"/>
      <c r="U682" t="s">
        <v>17</v>
      </c>
      <c r="Z682" s="1367"/>
      <c r="AA682" s="1367"/>
      <c r="AB682" s="1367"/>
      <c r="AC682" s="1367"/>
      <c r="AD682" s="1367"/>
      <c r="AE682" s="1367"/>
      <c r="AF682" s="1367"/>
      <c r="AG682" s="1367"/>
      <c r="AH682" s="1367"/>
      <c r="AI682" s="1367"/>
      <c r="AJ682" s="1367"/>
      <c r="AK682" s="1367"/>
      <c r="AZ682" s="3"/>
      <c r="BA682" s="3"/>
      <c r="BB682" s="3"/>
      <c r="BC682" s="3"/>
      <c r="BD682" s="3"/>
      <c r="BF682" s="312" t="s">
        <v>933</v>
      </c>
      <c r="BG682" s="321">
        <f>SUM(BG657:BG681)</f>
        <v>124</v>
      </c>
      <c r="BH682" s="322">
        <f>SUM(BH657:BH681)</f>
        <v>0.99999999999999989</v>
      </c>
      <c r="BI682" s="322">
        <f>SUM(BI657:BI681)</f>
        <v>0.47419354838709665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74" t="s">
        <v>679</v>
      </c>
      <c r="O685" s="1374"/>
      <c r="U685" t="s">
        <v>20</v>
      </c>
      <c r="AG685" s="1374" t="s">
        <v>679</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74" t="s">
        <v>555</v>
      </c>
      <c r="AF689" s="1374"/>
      <c r="AZ689" s="34"/>
      <c r="BA689" s="34"/>
      <c r="BB689" s="34"/>
      <c r="BC689" s="34"/>
      <c r="BD689" s="34"/>
      <c r="BE689" s="34"/>
      <c r="BF689" s="34"/>
      <c r="BG689" s="315">
        <f t="shared" ref="BG689:BG713" si="46">G714</f>
        <v>5</v>
      </c>
      <c r="BH689" s="319">
        <f>BG689/$BG$714</f>
        <v>4.0322580645161289E-2</v>
      </c>
      <c r="BI689" s="320">
        <f t="shared" ref="BI689:BI713" si="47">IF(BH689=0," ",BH689*AH714)</f>
        <v>1.2099080977338155E-2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74" t="s">
        <v>555</v>
      </c>
      <c r="AF690" s="1374"/>
      <c r="AZ690" s="34"/>
      <c r="BA690" s="34"/>
      <c r="BB690" s="34"/>
      <c r="BC690" s="34"/>
      <c r="BD690" s="34"/>
      <c r="BE690" s="34"/>
      <c r="BF690" s="34"/>
      <c r="BG690" s="316">
        <f t="shared" si="46"/>
        <v>14</v>
      </c>
      <c r="BH690" s="319">
        <f t="shared" ref="BH690:BH713" si="48">BG690/$BG$714</f>
        <v>0.11290322580645161</v>
      </c>
      <c r="BI690" s="320">
        <f t="shared" si="47"/>
        <v>5.6451612903225805E-2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539">
        <v>44964</v>
      </c>
      <c r="AF691" s="1539"/>
      <c r="AG691" s="1539"/>
      <c r="AH691" s="1539"/>
      <c r="AI691" s="1539"/>
      <c r="AZ691" s="34"/>
      <c r="BA691" s="34"/>
      <c r="BB691" s="34"/>
      <c r="BC691" s="34"/>
      <c r="BD691" s="34"/>
      <c r="BE691" s="3"/>
      <c r="BF691" s="3"/>
      <c r="BG691" s="316">
        <f t="shared" si="46"/>
        <v>19</v>
      </c>
      <c r="BH691" s="319">
        <f t="shared" si="48"/>
        <v>0.15322580645161291</v>
      </c>
      <c r="BI691" s="320">
        <f t="shared" si="47"/>
        <v>7.6612903225806453E-2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719">
        <v>45056</v>
      </c>
      <c r="AF692" s="1719"/>
      <c r="AG692" s="1719"/>
      <c r="AH692" s="1719"/>
      <c r="AI692" s="1719"/>
      <c r="AZ692" s="34"/>
      <c r="BA692" s="34"/>
      <c r="BB692" s="34"/>
      <c r="BC692" s="34"/>
      <c r="BD692" s="34"/>
      <c r="BE692" s="3"/>
      <c r="BF692" s="2"/>
      <c r="BG692" s="316">
        <f t="shared" si="46"/>
        <v>4</v>
      </c>
      <c r="BH692" s="319">
        <f t="shared" si="48"/>
        <v>3.2258064516129031E-2</v>
      </c>
      <c r="BI692" s="320">
        <f t="shared" si="47"/>
        <v>1.935852956374105E-2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10</v>
      </c>
      <c r="BH693" s="319">
        <f t="shared" si="48"/>
        <v>8.0645161290322578E-2</v>
      </c>
      <c r="BI693" s="320">
        <f t="shared" si="47"/>
        <v>5.6446999335646265E-2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539">
        <v>45153</v>
      </c>
      <c r="AF694" s="1539"/>
      <c r="AG694" s="1539"/>
      <c r="AH694" s="1539"/>
      <c r="AI694" s="1539"/>
      <c r="AZ694" s="3"/>
      <c r="BA694" s="3"/>
      <c r="BB694" s="3"/>
      <c r="BC694" s="3"/>
      <c r="BD694" s="3"/>
      <c r="BE694" s="3"/>
      <c r="BF694" s="3"/>
      <c r="BG694" s="316">
        <f t="shared" si="46"/>
        <v>13</v>
      </c>
      <c r="BH694" s="319">
        <f t="shared" si="48"/>
        <v>0.10483870967741936</v>
      </c>
      <c r="BI694" s="320">
        <f t="shared" si="47"/>
        <v>3.1446613441629363E-2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700">
        <v>0.51500000000000001</v>
      </c>
      <c r="AF695" s="1700"/>
      <c r="AG695" s="1700"/>
      <c r="AH695" s="1700"/>
      <c r="AI695" s="1700"/>
      <c r="AZ695" s="3"/>
      <c r="BA695" s="3"/>
      <c r="BB695" s="3"/>
      <c r="BC695" s="3"/>
      <c r="BD695" s="3"/>
      <c r="BE695" s="3"/>
      <c r="BF695" s="3"/>
      <c r="BG695" s="316">
        <f t="shared" si="46"/>
        <v>1</v>
      </c>
      <c r="BH695" s="319">
        <f t="shared" si="48"/>
        <v>8.0645161290322578E-3</v>
      </c>
      <c r="BI695" s="320">
        <f t="shared" si="47"/>
        <v>4.0322580645161289E-3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510" t="str">
        <f>H334</f>
        <v>California Statewide Communities</v>
      </c>
      <c r="X696" s="1510"/>
      <c r="Y696" s="1510"/>
      <c r="Z696" s="1510"/>
      <c r="AA696" s="1510"/>
      <c r="AB696" s="1510"/>
      <c r="AC696" s="1510"/>
      <c r="AD696" s="1510"/>
      <c r="AE696" s="1510"/>
      <c r="AF696" s="1510"/>
      <c r="AG696" s="1510"/>
      <c r="AH696" s="1510"/>
      <c r="AI696" s="1510"/>
      <c r="AJ696" s="1510"/>
      <c r="AK696" s="1510"/>
      <c r="AZ696" s="3"/>
      <c r="BA696" s="3"/>
      <c r="BB696" s="3"/>
      <c r="BC696" s="3"/>
      <c r="BD696" s="3"/>
      <c r="BE696" s="3"/>
      <c r="BF696" s="3"/>
      <c r="BG696" s="316">
        <f t="shared" si="46"/>
        <v>6</v>
      </c>
      <c r="BH696" s="319">
        <f t="shared" si="48"/>
        <v>4.8387096774193547E-2</v>
      </c>
      <c r="BI696" s="320">
        <f t="shared" si="47"/>
        <v>2.4193548387096774E-2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5</v>
      </c>
      <c r="BH697" s="319">
        <f t="shared" si="48"/>
        <v>4.0322580645161289E-2</v>
      </c>
      <c r="BI697" s="320">
        <f t="shared" si="47"/>
        <v>2.4189702647407201E-2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74" t="s">
        <v>679</v>
      </c>
      <c r="AF698" s="1374"/>
      <c r="AZ698" s="3"/>
      <c r="BA698" s="3"/>
      <c r="BB698" s="3"/>
      <c r="BC698" s="3"/>
      <c r="BD698" s="3"/>
      <c r="BE698" s="3"/>
      <c r="BF698" s="3"/>
      <c r="BG698" s="316">
        <f t="shared" si="46"/>
        <v>15</v>
      </c>
      <c r="BH698" s="319">
        <f t="shared" si="48"/>
        <v>0.12096774193548387</v>
      </c>
      <c r="BI698" s="320">
        <f t="shared" si="47"/>
        <v>8.4683187964373074E-2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29</v>
      </c>
      <c r="BH699" s="319">
        <f t="shared" si="48"/>
        <v>0.23387096774193547</v>
      </c>
      <c r="BI699" s="320">
        <f t="shared" si="47"/>
        <v>7.0170942446713611E-2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1</v>
      </c>
      <c r="BH700" s="319">
        <f t="shared" si="48"/>
        <v>8.0645161290322578E-3</v>
      </c>
      <c r="BI700" s="320">
        <f t="shared" si="47"/>
        <v>4.0322580645161289E-3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46"/>
        <v>1</v>
      </c>
      <c r="BH701" s="319">
        <f t="shared" si="48"/>
        <v>8.0645161290322578E-3</v>
      </c>
      <c r="BI701" s="320">
        <f t="shared" si="47"/>
        <v>4.8393753411526633E-3</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1</v>
      </c>
      <c r="BH702" s="319">
        <f t="shared" si="48"/>
        <v>8.0645161290322578E-3</v>
      </c>
      <c r="BI702" s="320">
        <f t="shared" si="47"/>
        <v>5.6448284584559262E-3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81" t="s">
        <v>391</v>
      </c>
      <c r="C710" s="1482"/>
      <c r="D710" s="1482"/>
      <c r="E710" s="1482"/>
      <c r="F710" s="1483"/>
      <c r="G710" s="1481" t="s">
        <v>287</v>
      </c>
      <c r="H710" s="1482"/>
      <c r="I710" s="1482"/>
      <c r="J710" s="1483"/>
      <c r="K710" s="1496" t="s">
        <v>1940</v>
      </c>
      <c r="L710" s="1497"/>
      <c r="M710" s="1497"/>
      <c r="N710" s="1498"/>
      <c r="O710" s="1481" t="s">
        <v>457</v>
      </c>
      <c r="P710" s="1482"/>
      <c r="Q710" s="1482"/>
      <c r="R710" s="1482"/>
      <c r="S710" s="1483"/>
      <c r="T710" s="1572" t="s">
        <v>2337</v>
      </c>
      <c r="U710" s="1482"/>
      <c r="V710" s="1482"/>
      <c r="W710" s="1483"/>
      <c r="X710" s="1572" t="s">
        <v>2339</v>
      </c>
      <c r="Y710" s="1482"/>
      <c r="Z710" s="1482"/>
      <c r="AA710" s="1482"/>
      <c r="AB710" s="1483"/>
      <c r="AC710" s="1572" t="s">
        <v>2338</v>
      </c>
      <c r="AD710" s="1482"/>
      <c r="AE710" s="1482"/>
      <c r="AF710" s="1482"/>
      <c r="AG710" s="1483"/>
      <c r="AH710" s="1572" t="s">
        <v>2340</v>
      </c>
      <c r="AI710" s="1482"/>
      <c r="AJ710" s="1483"/>
      <c r="AK710" s="1572" t="s">
        <v>2374</v>
      </c>
      <c r="AL710" s="1482"/>
      <c r="AM710" s="1482"/>
      <c r="AN710" s="1482"/>
      <c r="AO710" s="148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84"/>
      <c r="C711" s="1485"/>
      <c r="D711" s="1485"/>
      <c r="E711" s="1485"/>
      <c r="F711" s="1486"/>
      <c r="G711" s="1484"/>
      <c r="H711" s="1485"/>
      <c r="I711" s="1485"/>
      <c r="J711" s="1486"/>
      <c r="K711" s="1499"/>
      <c r="L711" s="1500"/>
      <c r="M711" s="1500"/>
      <c r="N711" s="1501"/>
      <c r="O711" s="1484"/>
      <c r="P711" s="1485"/>
      <c r="Q711" s="1485"/>
      <c r="R711" s="1485"/>
      <c r="S711" s="1486"/>
      <c r="T711" s="1484"/>
      <c r="U711" s="1485"/>
      <c r="V711" s="1485"/>
      <c r="W711" s="1486"/>
      <c r="X711" s="1484"/>
      <c r="Y711" s="1485"/>
      <c r="Z711" s="1485"/>
      <c r="AA711" s="1485"/>
      <c r="AB711" s="1486"/>
      <c r="AC711" s="1484"/>
      <c r="AD711" s="1485"/>
      <c r="AE711" s="1485"/>
      <c r="AF711" s="1485"/>
      <c r="AG711" s="1486"/>
      <c r="AH711" s="1484"/>
      <c r="AI711" s="1485"/>
      <c r="AJ711" s="1486"/>
      <c r="AK711" s="1484"/>
      <c r="AL711" s="1485"/>
      <c r="AM711" s="1485"/>
      <c r="AN711" s="1485"/>
      <c r="AO711" s="148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484"/>
      <c r="C712" s="1485"/>
      <c r="D712" s="1485"/>
      <c r="E712" s="1485"/>
      <c r="F712" s="1486"/>
      <c r="G712" s="1484"/>
      <c r="H712" s="1485"/>
      <c r="I712" s="1485"/>
      <c r="J712" s="1486"/>
      <c r="K712" s="1499"/>
      <c r="L712" s="1500"/>
      <c r="M712" s="1500"/>
      <c r="N712" s="1501"/>
      <c r="O712" s="1484"/>
      <c r="P712" s="1485"/>
      <c r="Q712" s="1485"/>
      <c r="R712" s="1485"/>
      <c r="S712" s="1486"/>
      <c r="T712" s="1484"/>
      <c r="U712" s="1485"/>
      <c r="V712" s="1485"/>
      <c r="W712" s="1486"/>
      <c r="X712" s="1484"/>
      <c r="Y712" s="1485"/>
      <c r="Z712" s="1485"/>
      <c r="AA712" s="1485"/>
      <c r="AB712" s="1486"/>
      <c r="AC712" s="1484"/>
      <c r="AD712" s="1485"/>
      <c r="AE712" s="1485"/>
      <c r="AF712" s="1485"/>
      <c r="AG712" s="1486"/>
      <c r="AH712" s="1484"/>
      <c r="AI712" s="1485"/>
      <c r="AJ712" s="1486"/>
      <c r="AK712" s="1484"/>
      <c r="AL712" s="1485"/>
      <c r="AM712" s="1485"/>
      <c r="AN712" s="1485"/>
      <c r="AO712" s="148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87"/>
      <c r="C713" s="1488"/>
      <c r="D713" s="1488"/>
      <c r="E713" s="1488"/>
      <c r="F713" s="1489"/>
      <c r="G713" s="1487"/>
      <c r="H713" s="1488"/>
      <c r="I713" s="1488"/>
      <c r="J713" s="1489"/>
      <c r="K713" s="1499"/>
      <c r="L713" s="1500"/>
      <c r="M713" s="1500"/>
      <c r="N713" s="1501"/>
      <c r="O713" s="1487"/>
      <c r="P713" s="1488"/>
      <c r="Q713" s="1488"/>
      <c r="R713" s="1488"/>
      <c r="S713" s="1489"/>
      <c r="T713" s="1487"/>
      <c r="U713" s="1488"/>
      <c r="V713" s="1488"/>
      <c r="W713" s="1489"/>
      <c r="X713" s="1487"/>
      <c r="Y713" s="1488"/>
      <c r="Z713" s="1488"/>
      <c r="AA713" s="1488"/>
      <c r="AB713" s="1489"/>
      <c r="AC713" s="1487"/>
      <c r="AD713" s="1488"/>
      <c r="AE713" s="1488"/>
      <c r="AF713" s="1488"/>
      <c r="AG713" s="1489"/>
      <c r="AH713" s="1487"/>
      <c r="AI713" s="1488"/>
      <c r="AJ713" s="1489"/>
      <c r="AK713" s="1487"/>
      <c r="AL713" s="1488"/>
      <c r="AM713" s="1488"/>
      <c r="AN713" s="1488"/>
      <c r="AO713" s="148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0" t="s">
        <v>327</v>
      </c>
      <c r="C714" s="1381"/>
      <c r="D714" s="1381"/>
      <c r="E714" s="1381"/>
      <c r="F714" s="1382"/>
      <c r="G714" s="1478">
        <v>5</v>
      </c>
      <c r="H714" s="1479"/>
      <c r="I714" s="1479"/>
      <c r="J714" s="1480"/>
      <c r="K714" s="1475">
        <v>540</v>
      </c>
      <c r="L714" s="1476"/>
      <c r="M714" s="1476"/>
      <c r="N714" s="1477"/>
      <c r="O714" s="1472">
        <f>1049-75</f>
        <v>974</v>
      </c>
      <c r="P714" s="1473"/>
      <c r="Q714" s="1473"/>
      <c r="R714" s="1473"/>
      <c r="S714" s="1474"/>
      <c r="T714" s="1472">
        <v>75</v>
      </c>
      <c r="U714" s="1473"/>
      <c r="V714" s="1473"/>
      <c r="W714" s="1474"/>
      <c r="X714" s="1490">
        <f t="shared" ref="X714:X738" si="49">O714+T714</f>
        <v>1049</v>
      </c>
      <c r="Y714" s="1491"/>
      <c r="Z714" s="1491"/>
      <c r="AA714" s="1491"/>
      <c r="AB714" s="1492"/>
      <c r="AC714" s="1573">
        <v>0.3</v>
      </c>
      <c r="AD714" s="1574"/>
      <c r="AE714" s="1574"/>
      <c r="AF714" s="1574"/>
      <c r="AG714" s="1575"/>
      <c r="AH714" s="1569">
        <f t="shared" ref="AH714:AH738" si="50">IF($AC714&gt;0,($X714/$BA656), " ")</f>
        <v>0.30005720823798626</v>
      </c>
      <c r="AI714" s="1570"/>
      <c r="AJ714" s="1571"/>
      <c r="AK714" s="1380" t="s">
        <v>2750</v>
      </c>
      <c r="AL714" s="1381"/>
      <c r="AM714" s="1381"/>
      <c r="AN714" s="1381"/>
      <c r="AO714" s="1382"/>
      <c r="AP714" s="3"/>
      <c r="AQ714" s="3"/>
      <c r="AR714" s="3"/>
      <c r="AS714" s="3"/>
      <c r="AY714" s="1134"/>
      <c r="AZ714" s="1134"/>
      <c r="BA714" s="1134"/>
      <c r="BB714" s="1134"/>
      <c r="BC714" s="1134"/>
      <c r="BD714" s="3"/>
      <c r="BE714" s="3"/>
      <c r="BF714" s="3"/>
      <c r="BG714" s="895">
        <f>SUM(BG689:BG713)</f>
        <v>124</v>
      </c>
      <c r="BH714" s="322">
        <f>SUM(BH689:BH713)</f>
        <v>0.99999999999999989</v>
      </c>
      <c r="BI714" s="322">
        <f>SUM(BI689:BI713)</f>
        <v>0.47420184082161859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0" t="s">
        <v>327</v>
      </c>
      <c r="C715" s="1381"/>
      <c r="D715" s="1381"/>
      <c r="E715" s="1381"/>
      <c r="F715" s="1382"/>
      <c r="G715" s="1478">
        <v>14</v>
      </c>
      <c r="H715" s="1479"/>
      <c r="I715" s="1479"/>
      <c r="J715" s="1480"/>
      <c r="K715" s="1475">
        <v>540</v>
      </c>
      <c r="L715" s="1476"/>
      <c r="M715" s="1476"/>
      <c r="N715" s="1477"/>
      <c r="O715" s="1472">
        <f>1748-75</f>
        <v>1673</v>
      </c>
      <c r="P715" s="1473"/>
      <c r="Q715" s="1473"/>
      <c r="R715" s="1473"/>
      <c r="S715" s="1474"/>
      <c r="T715" s="1472">
        <v>75</v>
      </c>
      <c r="U715" s="1473"/>
      <c r="V715" s="1473"/>
      <c r="W715" s="1474"/>
      <c r="X715" s="1490">
        <f t="shared" si="49"/>
        <v>1748</v>
      </c>
      <c r="Y715" s="1491"/>
      <c r="Z715" s="1491"/>
      <c r="AA715" s="1491"/>
      <c r="AB715" s="1492"/>
      <c r="AC715" s="1573">
        <v>0.5</v>
      </c>
      <c r="AD715" s="1574"/>
      <c r="AE715" s="1574"/>
      <c r="AF715" s="1574"/>
      <c r="AG715" s="1575"/>
      <c r="AH715" s="1569">
        <f t="shared" si="50"/>
        <v>0.5</v>
      </c>
      <c r="AI715" s="1570"/>
      <c r="AJ715" s="1571"/>
      <c r="AK715" s="1380" t="s">
        <v>2750</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0" t="s">
        <v>327</v>
      </c>
      <c r="C716" s="1381"/>
      <c r="D716" s="1381"/>
      <c r="E716" s="1381"/>
      <c r="F716" s="1382"/>
      <c r="G716" s="1478">
        <v>19</v>
      </c>
      <c r="H716" s="1479"/>
      <c r="I716" s="1479"/>
      <c r="J716" s="1480"/>
      <c r="K716" s="1475">
        <v>540</v>
      </c>
      <c r="L716" s="1476"/>
      <c r="M716" s="1476"/>
      <c r="N716" s="1477"/>
      <c r="O716" s="1472">
        <f>1748-75</f>
        <v>1673</v>
      </c>
      <c r="P716" s="1473"/>
      <c r="Q716" s="1473"/>
      <c r="R716" s="1473"/>
      <c r="S716" s="1474"/>
      <c r="T716" s="1472">
        <v>75</v>
      </c>
      <c r="U716" s="1473"/>
      <c r="V716" s="1473"/>
      <c r="W716" s="1474"/>
      <c r="X716" s="1490">
        <f t="shared" si="49"/>
        <v>1748</v>
      </c>
      <c r="Y716" s="1491"/>
      <c r="Z716" s="1491"/>
      <c r="AA716" s="1491"/>
      <c r="AB716" s="1492"/>
      <c r="AC716" s="1573">
        <v>0.5</v>
      </c>
      <c r="AD716" s="1574"/>
      <c r="AE716" s="1574"/>
      <c r="AF716" s="1574"/>
      <c r="AG716" s="1575"/>
      <c r="AH716" s="1569">
        <f t="shared" si="50"/>
        <v>0.5</v>
      </c>
      <c r="AI716" s="1570"/>
      <c r="AJ716" s="1571"/>
      <c r="AK716" s="1380" t="s">
        <v>601</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0" t="s">
        <v>327</v>
      </c>
      <c r="C717" s="1381"/>
      <c r="D717" s="1381"/>
      <c r="E717" s="1381"/>
      <c r="F717" s="1382"/>
      <c r="G717" s="1478">
        <v>4</v>
      </c>
      <c r="H717" s="1479"/>
      <c r="I717" s="1479"/>
      <c r="J717" s="1480"/>
      <c r="K717" s="1475">
        <v>540</v>
      </c>
      <c r="L717" s="1476"/>
      <c r="M717" s="1476"/>
      <c r="N717" s="1477"/>
      <c r="O717" s="1472">
        <f>2098-75</f>
        <v>2023</v>
      </c>
      <c r="P717" s="1473"/>
      <c r="Q717" s="1473"/>
      <c r="R717" s="1473"/>
      <c r="S717" s="1474"/>
      <c r="T717" s="1472">
        <v>75</v>
      </c>
      <c r="U717" s="1473"/>
      <c r="V717" s="1473"/>
      <c r="W717" s="1474"/>
      <c r="X717" s="1490">
        <f t="shared" si="49"/>
        <v>2098</v>
      </c>
      <c r="Y717" s="1491"/>
      <c r="Z717" s="1491"/>
      <c r="AA717" s="1491"/>
      <c r="AB717" s="1492"/>
      <c r="AC717" s="1573">
        <v>0.6</v>
      </c>
      <c r="AD717" s="1574"/>
      <c r="AE717" s="1574"/>
      <c r="AF717" s="1574"/>
      <c r="AG717" s="1575"/>
      <c r="AH717" s="1569">
        <f t="shared" si="50"/>
        <v>0.60011441647597252</v>
      </c>
      <c r="AI717" s="1570"/>
      <c r="AJ717" s="1571"/>
      <c r="AK717" s="1380" t="s">
        <v>601</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0" t="s">
        <v>327</v>
      </c>
      <c r="C718" s="1381"/>
      <c r="D718" s="1381"/>
      <c r="E718" s="1381"/>
      <c r="F718" s="1382"/>
      <c r="G718" s="1478">
        <v>10</v>
      </c>
      <c r="H718" s="1479"/>
      <c r="I718" s="1479"/>
      <c r="J718" s="1480"/>
      <c r="K718" s="1475">
        <v>540</v>
      </c>
      <c r="L718" s="1476"/>
      <c r="M718" s="1476"/>
      <c r="N718" s="1477"/>
      <c r="O718" s="1472">
        <f>2447-75</f>
        <v>2372</v>
      </c>
      <c r="P718" s="1473"/>
      <c r="Q718" s="1473"/>
      <c r="R718" s="1473"/>
      <c r="S718" s="1474"/>
      <c r="T718" s="1472">
        <v>75</v>
      </c>
      <c r="U718" s="1473"/>
      <c r="V718" s="1473"/>
      <c r="W718" s="1474"/>
      <c r="X718" s="1490">
        <f t="shared" si="49"/>
        <v>2447</v>
      </c>
      <c r="Y718" s="1491"/>
      <c r="Z718" s="1491"/>
      <c r="AA718" s="1491"/>
      <c r="AB718" s="1492"/>
      <c r="AC718" s="1573">
        <v>0.7</v>
      </c>
      <c r="AD718" s="1574"/>
      <c r="AE718" s="1574"/>
      <c r="AF718" s="1574"/>
      <c r="AG718" s="1575"/>
      <c r="AH718" s="1569">
        <f t="shared" si="50"/>
        <v>0.69994279176201368</v>
      </c>
      <c r="AI718" s="1570"/>
      <c r="AJ718" s="1571"/>
      <c r="AK718" s="1380" t="s">
        <v>601</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0" t="s">
        <v>164</v>
      </c>
      <c r="C719" s="1381"/>
      <c r="D719" s="1381"/>
      <c r="E719" s="1381"/>
      <c r="F719" s="1382"/>
      <c r="G719" s="1478">
        <v>13</v>
      </c>
      <c r="H719" s="1479"/>
      <c r="I719" s="1479"/>
      <c r="J719" s="1480"/>
      <c r="K719" s="1475">
        <v>815</v>
      </c>
      <c r="L719" s="1476"/>
      <c r="M719" s="1476"/>
      <c r="N719" s="1477"/>
      <c r="O719" s="1472">
        <f>1258-102</f>
        <v>1156</v>
      </c>
      <c r="P719" s="1473"/>
      <c r="Q719" s="1473"/>
      <c r="R719" s="1473"/>
      <c r="S719" s="1474"/>
      <c r="T719" s="1472">
        <v>102</v>
      </c>
      <c r="U719" s="1473"/>
      <c r="V719" s="1473"/>
      <c r="W719" s="1474"/>
      <c r="X719" s="1490">
        <f t="shared" si="49"/>
        <v>1258</v>
      </c>
      <c r="Y719" s="1491"/>
      <c r="Z719" s="1491"/>
      <c r="AA719" s="1491"/>
      <c r="AB719" s="1492"/>
      <c r="AC719" s="1573">
        <v>0.3</v>
      </c>
      <c r="AD719" s="1574"/>
      <c r="AE719" s="1574"/>
      <c r="AF719" s="1574"/>
      <c r="AG719" s="1575"/>
      <c r="AH719" s="1569">
        <f t="shared" si="50"/>
        <v>0.29995231282784929</v>
      </c>
      <c r="AI719" s="1570"/>
      <c r="AJ719" s="1571"/>
      <c r="AK719" s="1380" t="s">
        <v>601</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0" t="s">
        <v>164</v>
      </c>
      <c r="C720" s="1381"/>
      <c r="D720" s="1381"/>
      <c r="E720" s="1381"/>
      <c r="F720" s="1382"/>
      <c r="G720" s="1478">
        <v>1</v>
      </c>
      <c r="H720" s="1479"/>
      <c r="I720" s="1479"/>
      <c r="J720" s="1480"/>
      <c r="K720" s="1475">
        <v>815</v>
      </c>
      <c r="L720" s="1476"/>
      <c r="M720" s="1476"/>
      <c r="N720" s="1477"/>
      <c r="O720" s="1472">
        <f>2097-102</f>
        <v>1995</v>
      </c>
      <c r="P720" s="1473"/>
      <c r="Q720" s="1473"/>
      <c r="R720" s="1473"/>
      <c r="S720" s="1474"/>
      <c r="T720" s="1472">
        <v>102</v>
      </c>
      <c r="U720" s="1473"/>
      <c r="V720" s="1473"/>
      <c r="W720" s="1474"/>
      <c r="X720" s="1490">
        <f t="shared" si="49"/>
        <v>2097</v>
      </c>
      <c r="Y720" s="1491"/>
      <c r="Z720" s="1491"/>
      <c r="AA720" s="1491"/>
      <c r="AB720" s="1492"/>
      <c r="AC720" s="1573">
        <v>0.5</v>
      </c>
      <c r="AD720" s="1574"/>
      <c r="AE720" s="1574"/>
      <c r="AF720" s="1574"/>
      <c r="AG720" s="1575"/>
      <c r="AH720" s="1569">
        <f t="shared" si="50"/>
        <v>0.5</v>
      </c>
      <c r="AI720" s="1570"/>
      <c r="AJ720" s="1571"/>
      <c r="AK720" s="1380" t="s">
        <v>2750</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0" t="s">
        <v>164</v>
      </c>
      <c r="C721" s="1381"/>
      <c r="D721" s="1381"/>
      <c r="E721" s="1381"/>
      <c r="F721" s="1382"/>
      <c r="G721" s="1478">
        <v>6</v>
      </c>
      <c r="H721" s="1479"/>
      <c r="I721" s="1479"/>
      <c r="J721" s="1480"/>
      <c r="K721" s="1475">
        <v>815</v>
      </c>
      <c r="L721" s="1476"/>
      <c r="M721" s="1476"/>
      <c r="N721" s="1477"/>
      <c r="O721" s="1472">
        <f>2097-102</f>
        <v>1995</v>
      </c>
      <c r="P721" s="1473"/>
      <c r="Q721" s="1473"/>
      <c r="R721" s="1473"/>
      <c r="S721" s="1474"/>
      <c r="T721" s="1472">
        <v>102</v>
      </c>
      <c r="U721" s="1473"/>
      <c r="V721" s="1473"/>
      <c r="W721" s="1474"/>
      <c r="X721" s="1490">
        <f t="shared" si="49"/>
        <v>2097</v>
      </c>
      <c r="Y721" s="1491"/>
      <c r="Z721" s="1491"/>
      <c r="AA721" s="1491"/>
      <c r="AB721" s="1492"/>
      <c r="AC721" s="1573">
        <v>0.5</v>
      </c>
      <c r="AD721" s="1574"/>
      <c r="AE721" s="1574"/>
      <c r="AF721" s="1574"/>
      <c r="AG721" s="1575"/>
      <c r="AH721" s="1569">
        <f t="shared" si="50"/>
        <v>0.5</v>
      </c>
      <c r="AI721" s="1570"/>
      <c r="AJ721" s="1571"/>
      <c r="AK721" s="1380" t="s">
        <v>601</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0" t="s">
        <v>164</v>
      </c>
      <c r="C722" s="1381"/>
      <c r="D722" s="1381"/>
      <c r="E722" s="1381"/>
      <c r="F722" s="1382"/>
      <c r="G722" s="1478">
        <v>5</v>
      </c>
      <c r="H722" s="1479"/>
      <c r="I722" s="1479"/>
      <c r="J722" s="1480"/>
      <c r="K722" s="1475">
        <v>815</v>
      </c>
      <c r="L722" s="1476"/>
      <c r="M722" s="1476"/>
      <c r="N722" s="1477"/>
      <c r="O722" s="1472">
        <f>2516-102</f>
        <v>2414</v>
      </c>
      <c r="P722" s="1473"/>
      <c r="Q722" s="1473"/>
      <c r="R722" s="1473"/>
      <c r="S722" s="1474"/>
      <c r="T722" s="1472">
        <v>102</v>
      </c>
      <c r="U722" s="1473"/>
      <c r="V722" s="1473"/>
      <c r="W722" s="1474"/>
      <c r="X722" s="1490">
        <f t="shared" si="49"/>
        <v>2516</v>
      </c>
      <c r="Y722" s="1491"/>
      <c r="Z722" s="1491"/>
      <c r="AA722" s="1491"/>
      <c r="AB722" s="1492"/>
      <c r="AC722" s="1573">
        <v>0.6</v>
      </c>
      <c r="AD722" s="1574"/>
      <c r="AE722" s="1574"/>
      <c r="AF722" s="1574"/>
      <c r="AG722" s="1575"/>
      <c r="AH722" s="1569">
        <f t="shared" si="50"/>
        <v>0.59990462565569858</v>
      </c>
      <c r="AI722" s="1570"/>
      <c r="AJ722" s="1571"/>
      <c r="AK722" s="1380" t="s">
        <v>601</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0" t="s">
        <v>164</v>
      </c>
      <c r="C723" s="1381"/>
      <c r="D723" s="1381"/>
      <c r="E723" s="1381"/>
      <c r="F723" s="1382"/>
      <c r="G723" s="1478">
        <v>15</v>
      </c>
      <c r="H723" s="1479"/>
      <c r="I723" s="1479"/>
      <c r="J723" s="1480"/>
      <c r="K723" s="1475">
        <v>815</v>
      </c>
      <c r="L723" s="1476"/>
      <c r="M723" s="1476"/>
      <c r="N723" s="1477"/>
      <c r="O723" s="1472">
        <f>2936-102</f>
        <v>2834</v>
      </c>
      <c r="P723" s="1473"/>
      <c r="Q723" s="1473"/>
      <c r="R723" s="1473"/>
      <c r="S723" s="1474"/>
      <c r="T723" s="1472">
        <v>102</v>
      </c>
      <c r="U723" s="1473"/>
      <c r="V723" s="1473"/>
      <c r="W723" s="1474"/>
      <c r="X723" s="1490">
        <f t="shared" si="49"/>
        <v>2936</v>
      </c>
      <c r="Y723" s="1491"/>
      <c r="Z723" s="1491"/>
      <c r="AA723" s="1491"/>
      <c r="AB723" s="1492"/>
      <c r="AC723" s="1573">
        <v>0.7</v>
      </c>
      <c r="AD723" s="1574"/>
      <c r="AE723" s="1574"/>
      <c r="AF723" s="1574"/>
      <c r="AG723" s="1575"/>
      <c r="AH723" s="1569">
        <f t="shared" si="50"/>
        <v>0.70004768717215071</v>
      </c>
      <c r="AI723" s="1570"/>
      <c r="AJ723" s="1571"/>
      <c r="AK723" s="1380" t="s">
        <v>601</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0" t="s">
        <v>165</v>
      </c>
      <c r="C724" s="1381"/>
      <c r="D724" s="1381"/>
      <c r="E724" s="1381"/>
      <c r="F724" s="1382"/>
      <c r="G724" s="1478">
        <v>29</v>
      </c>
      <c r="H724" s="1479"/>
      <c r="I724" s="1479"/>
      <c r="J724" s="1480"/>
      <c r="K724" s="1475">
        <v>935</v>
      </c>
      <c r="L724" s="1476"/>
      <c r="M724" s="1476"/>
      <c r="N724" s="1477"/>
      <c r="O724" s="1472">
        <f>1454-136</f>
        <v>1318</v>
      </c>
      <c r="P724" s="1473"/>
      <c r="Q724" s="1473"/>
      <c r="R724" s="1473"/>
      <c r="S724" s="1474"/>
      <c r="T724" s="1472">
        <v>136</v>
      </c>
      <c r="U724" s="1473"/>
      <c r="V724" s="1473"/>
      <c r="W724" s="1474"/>
      <c r="X724" s="1490">
        <f t="shared" si="49"/>
        <v>1454</v>
      </c>
      <c r="Y724" s="1491"/>
      <c r="Z724" s="1491"/>
      <c r="AA724" s="1491"/>
      <c r="AB724" s="1492"/>
      <c r="AC724" s="1573">
        <v>0.3</v>
      </c>
      <c r="AD724" s="1574"/>
      <c r="AE724" s="1574"/>
      <c r="AF724" s="1574"/>
      <c r="AG724" s="1575"/>
      <c r="AH724" s="1569">
        <f t="shared" si="50"/>
        <v>0.30004127115146512</v>
      </c>
      <c r="AI724" s="1570"/>
      <c r="AJ724" s="1571"/>
      <c r="AK724" s="1380" t="s">
        <v>601</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0" t="s">
        <v>165</v>
      </c>
      <c r="C725" s="1381"/>
      <c r="D725" s="1381"/>
      <c r="E725" s="1381"/>
      <c r="F725" s="1382"/>
      <c r="G725" s="1478">
        <v>1</v>
      </c>
      <c r="H725" s="1479"/>
      <c r="I725" s="1479"/>
      <c r="J725" s="1480"/>
      <c r="K725" s="1475">
        <v>935</v>
      </c>
      <c r="L725" s="1476"/>
      <c r="M725" s="1476"/>
      <c r="N725" s="1477"/>
      <c r="O725" s="1472">
        <f>2423-136</f>
        <v>2287</v>
      </c>
      <c r="P725" s="1473"/>
      <c r="Q725" s="1473"/>
      <c r="R725" s="1473"/>
      <c r="S725" s="1474"/>
      <c r="T725" s="1472">
        <v>136</v>
      </c>
      <c r="U725" s="1473"/>
      <c r="V725" s="1473"/>
      <c r="W725" s="1474"/>
      <c r="X725" s="1490">
        <f t="shared" si="49"/>
        <v>2423</v>
      </c>
      <c r="Y725" s="1491"/>
      <c r="Z725" s="1491"/>
      <c r="AA725" s="1491"/>
      <c r="AB725" s="1492"/>
      <c r="AC725" s="1573">
        <v>0.5</v>
      </c>
      <c r="AD725" s="1574"/>
      <c r="AE725" s="1574"/>
      <c r="AF725" s="1574"/>
      <c r="AG725" s="1575"/>
      <c r="AH725" s="1569">
        <f t="shared" si="50"/>
        <v>0.5</v>
      </c>
      <c r="AI725" s="1570"/>
      <c r="AJ725" s="1571"/>
      <c r="AK725" s="1380" t="s">
        <v>601</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0" t="s">
        <v>165</v>
      </c>
      <c r="C726" s="1381"/>
      <c r="D726" s="1381"/>
      <c r="E726" s="1381"/>
      <c r="F726" s="1382"/>
      <c r="G726" s="1478">
        <v>1</v>
      </c>
      <c r="H726" s="1479"/>
      <c r="I726" s="1479"/>
      <c r="J726" s="1480"/>
      <c r="K726" s="1475">
        <v>935</v>
      </c>
      <c r="L726" s="1476"/>
      <c r="M726" s="1476"/>
      <c r="N726" s="1477"/>
      <c r="O726" s="1472">
        <f>2908-136</f>
        <v>2772</v>
      </c>
      <c r="P726" s="1473"/>
      <c r="Q726" s="1473"/>
      <c r="R726" s="1473"/>
      <c r="S726" s="1474"/>
      <c r="T726" s="1472">
        <v>136</v>
      </c>
      <c r="U726" s="1473"/>
      <c r="V726" s="1473"/>
      <c r="W726" s="1474"/>
      <c r="X726" s="1490">
        <f t="shared" si="49"/>
        <v>2908</v>
      </c>
      <c r="Y726" s="1491"/>
      <c r="Z726" s="1491"/>
      <c r="AA726" s="1491"/>
      <c r="AB726" s="1492"/>
      <c r="AC726" s="1573">
        <v>0.6</v>
      </c>
      <c r="AD726" s="1574"/>
      <c r="AE726" s="1574"/>
      <c r="AF726" s="1574"/>
      <c r="AG726" s="1575"/>
      <c r="AH726" s="1569">
        <f t="shared" si="50"/>
        <v>0.60008254230293023</v>
      </c>
      <c r="AI726" s="1570"/>
      <c r="AJ726" s="1571"/>
      <c r="AK726" s="1380" t="s">
        <v>601</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0" t="s">
        <v>165</v>
      </c>
      <c r="C727" s="1381"/>
      <c r="D727" s="1381"/>
      <c r="E727" s="1381"/>
      <c r="F727" s="1382"/>
      <c r="G727" s="1478">
        <v>1</v>
      </c>
      <c r="H727" s="1479"/>
      <c r="I727" s="1479"/>
      <c r="J727" s="1480"/>
      <c r="K727" s="1475">
        <v>935</v>
      </c>
      <c r="L727" s="1476"/>
      <c r="M727" s="1476"/>
      <c r="N727" s="1477"/>
      <c r="O727" s="1472">
        <f>3392-136</f>
        <v>3256</v>
      </c>
      <c r="P727" s="1473"/>
      <c r="Q727" s="1473"/>
      <c r="R727" s="1473"/>
      <c r="S727" s="1474"/>
      <c r="T727" s="1472">
        <v>136</v>
      </c>
      <c r="U727" s="1473"/>
      <c r="V727" s="1473"/>
      <c r="W727" s="1474"/>
      <c r="X727" s="1490">
        <f t="shared" si="49"/>
        <v>3392</v>
      </c>
      <c r="Y727" s="1491"/>
      <c r="Z727" s="1491"/>
      <c r="AA727" s="1491"/>
      <c r="AB727" s="1492"/>
      <c r="AC727" s="1573">
        <v>0.7</v>
      </c>
      <c r="AD727" s="1574"/>
      <c r="AE727" s="1574"/>
      <c r="AF727" s="1574"/>
      <c r="AG727" s="1575"/>
      <c r="AH727" s="1569">
        <f t="shared" si="50"/>
        <v>0.69995872884853483</v>
      </c>
      <c r="AI727" s="1570"/>
      <c r="AJ727" s="1571"/>
      <c r="AK727" s="1380" t="s">
        <v>601</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0"/>
      <c r="C728" s="1381"/>
      <c r="D728" s="1381"/>
      <c r="E728" s="1381"/>
      <c r="F728" s="1382"/>
      <c r="G728" s="1478"/>
      <c r="H728" s="1479"/>
      <c r="I728" s="1479"/>
      <c r="J728" s="1480"/>
      <c r="K728" s="1475"/>
      <c r="L728" s="1476"/>
      <c r="M728" s="1476"/>
      <c r="N728" s="1477"/>
      <c r="O728" s="1472"/>
      <c r="P728" s="1473"/>
      <c r="Q728" s="1473"/>
      <c r="R728" s="1473"/>
      <c r="S728" s="1474"/>
      <c r="T728" s="1472"/>
      <c r="U728" s="1473"/>
      <c r="V728" s="1473"/>
      <c r="W728" s="1474"/>
      <c r="X728" s="1490">
        <f t="shared" si="49"/>
        <v>0</v>
      </c>
      <c r="Y728" s="1491"/>
      <c r="Z728" s="1491"/>
      <c r="AA728" s="1491"/>
      <c r="AB728" s="1492"/>
      <c r="AC728" s="1573">
        <v>0</v>
      </c>
      <c r="AD728" s="1574"/>
      <c r="AE728" s="1574"/>
      <c r="AF728" s="1574"/>
      <c r="AG728" s="1575"/>
      <c r="AH728" s="1569" t="str">
        <f t="shared" si="50"/>
        <v xml:space="preserve"> </v>
      </c>
      <c r="AI728" s="1570"/>
      <c r="AJ728" s="1571"/>
      <c r="AK728" s="1380" t="s">
        <v>601</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0"/>
      <c r="C729" s="1381"/>
      <c r="D729" s="1381"/>
      <c r="E729" s="1381"/>
      <c r="F729" s="1382"/>
      <c r="G729" s="1478"/>
      <c r="H729" s="1479"/>
      <c r="I729" s="1479"/>
      <c r="J729" s="1480"/>
      <c r="K729" s="1475"/>
      <c r="L729" s="1476"/>
      <c r="M729" s="1476"/>
      <c r="N729" s="1477"/>
      <c r="O729" s="1472"/>
      <c r="P729" s="1473"/>
      <c r="Q729" s="1473"/>
      <c r="R729" s="1473"/>
      <c r="S729" s="1474"/>
      <c r="T729" s="1472"/>
      <c r="U729" s="1473"/>
      <c r="V729" s="1473"/>
      <c r="W729" s="1474"/>
      <c r="X729" s="1490">
        <f t="shared" si="49"/>
        <v>0</v>
      </c>
      <c r="Y729" s="1491"/>
      <c r="Z729" s="1491"/>
      <c r="AA729" s="1491"/>
      <c r="AB729" s="1492"/>
      <c r="AC729" s="1573">
        <v>0</v>
      </c>
      <c r="AD729" s="1574"/>
      <c r="AE729" s="1574"/>
      <c r="AF729" s="1574"/>
      <c r="AG729" s="1575"/>
      <c r="AH729" s="1569" t="str">
        <f t="shared" si="50"/>
        <v xml:space="preserve"> </v>
      </c>
      <c r="AI729" s="1570"/>
      <c r="AJ729" s="1571"/>
      <c r="AK729" s="1380" t="s">
        <v>601</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0"/>
      <c r="C730" s="1381"/>
      <c r="D730" s="1381"/>
      <c r="E730" s="1381"/>
      <c r="F730" s="1382"/>
      <c r="G730" s="1478"/>
      <c r="H730" s="1479"/>
      <c r="I730" s="1479"/>
      <c r="J730" s="1480"/>
      <c r="K730" s="1475"/>
      <c r="L730" s="1476"/>
      <c r="M730" s="1476"/>
      <c r="N730" s="1477"/>
      <c r="O730" s="1472"/>
      <c r="P730" s="1473"/>
      <c r="Q730" s="1473"/>
      <c r="R730" s="1473"/>
      <c r="S730" s="1474"/>
      <c r="T730" s="1472"/>
      <c r="U730" s="1473"/>
      <c r="V730" s="1473"/>
      <c r="W730" s="1474"/>
      <c r="X730" s="1490">
        <f t="shared" si="49"/>
        <v>0</v>
      </c>
      <c r="Y730" s="1491"/>
      <c r="Z730" s="1491"/>
      <c r="AA730" s="1491"/>
      <c r="AB730" s="1492"/>
      <c r="AC730" s="1573">
        <v>0</v>
      </c>
      <c r="AD730" s="1574"/>
      <c r="AE730" s="1574"/>
      <c r="AF730" s="1574"/>
      <c r="AG730" s="1575"/>
      <c r="AH730" s="1569" t="str">
        <f t="shared" si="50"/>
        <v xml:space="preserve"> </v>
      </c>
      <c r="AI730" s="1570"/>
      <c r="AJ730" s="1571"/>
      <c r="AK730" s="1380" t="s">
        <v>601</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0"/>
      <c r="C731" s="1381"/>
      <c r="D731" s="1381"/>
      <c r="E731" s="1381"/>
      <c r="F731" s="1382"/>
      <c r="G731" s="1478"/>
      <c r="H731" s="1479"/>
      <c r="I731" s="1479"/>
      <c r="J731" s="1480"/>
      <c r="K731" s="1475"/>
      <c r="L731" s="1476"/>
      <c r="M731" s="1476"/>
      <c r="N731" s="1477"/>
      <c r="O731" s="1472"/>
      <c r="P731" s="1473"/>
      <c r="Q731" s="1473"/>
      <c r="R731" s="1473"/>
      <c r="S731" s="1474"/>
      <c r="T731" s="1472"/>
      <c r="U731" s="1473"/>
      <c r="V731" s="1473"/>
      <c r="W731" s="1474"/>
      <c r="X731" s="1490">
        <f t="shared" si="49"/>
        <v>0</v>
      </c>
      <c r="Y731" s="1491"/>
      <c r="Z731" s="1491"/>
      <c r="AA731" s="1491"/>
      <c r="AB731" s="1492"/>
      <c r="AC731" s="1573">
        <v>0</v>
      </c>
      <c r="AD731" s="1574"/>
      <c r="AE731" s="1574"/>
      <c r="AF731" s="1574"/>
      <c r="AG731" s="1575"/>
      <c r="AH731" s="1569" t="str">
        <f t="shared" si="50"/>
        <v xml:space="preserve"> </v>
      </c>
      <c r="AI731" s="1570"/>
      <c r="AJ731" s="1571"/>
      <c r="AK731" s="1380" t="s">
        <v>601</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0"/>
      <c r="C732" s="1381"/>
      <c r="D732" s="1381"/>
      <c r="E732" s="1381"/>
      <c r="F732" s="1382"/>
      <c r="G732" s="1478"/>
      <c r="H732" s="1479"/>
      <c r="I732" s="1479"/>
      <c r="J732" s="1480"/>
      <c r="K732" s="1475"/>
      <c r="L732" s="1476"/>
      <c r="M732" s="1476"/>
      <c r="N732" s="1477"/>
      <c r="O732" s="1472"/>
      <c r="P732" s="1473"/>
      <c r="Q732" s="1473"/>
      <c r="R732" s="1473"/>
      <c r="S732" s="1474"/>
      <c r="T732" s="1472"/>
      <c r="U732" s="1473"/>
      <c r="V732" s="1473"/>
      <c r="W732" s="1474"/>
      <c r="X732" s="1490">
        <f t="shared" si="49"/>
        <v>0</v>
      </c>
      <c r="Y732" s="1491"/>
      <c r="Z732" s="1491"/>
      <c r="AA732" s="1491"/>
      <c r="AB732" s="1492"/>
      <c r="AC732" s="1573">
        <v>0</v>
      </c>
      <c r="AD732" s="1574"/>
      <c r="AE732" s="1574"/>
      <c r="AF732" s="1574"/>
      <c r="AG732" s="1575"/>
      <c r="AH732" s="1569" t="str">
        <f t="shared" si="50"/>
        <v xml:space="preserve"> </v>
      </c>
      <c r="AI732" s="1570"/>
      <c r="AJ732" s="1571"/>
      <c r="AK732" s="1380" t="s">
        <v>601</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0"/>
      <c r="C733" s="1381"/>
      <c r="D733" s="1381"/>
      <c r="E733" s="1381"/>
      <c r="F733" s="1382"/>
      <c r="G733" s="1478"/>
      <c r="H733" s="1479"/>
      <c r="I733" s="1479"/>
      <c r="J733" s="1480"/>
      <c r="K733" s="1475"/>
      <c r="L733" s="1476"/>
      <c r="M733" s="1476"/>
      <c r="N733" s="1477"/>
      <c r="O733" s="1472"/>
      <c r="P733" s="1473"/>
      <c r="Q733" s="1473"/>
      <c r="R733" s="1473"/>
      <c r="S733" s="1474"/>
      <c r="T733" s="1472"/>
      <c r="U733" s="1473"/>
      <c r="V733" s="1473"/>
      <c r="W733" s="1474"/>
      <c r="X733" s="1490">
        <f t="shared" si="49"/>
        <v>0</v>
      </c>
      <c r="Y733" s="1491"/>
      <c r="Z733" s="1491"/>
      <c r="AA733" s="1491"/>
      <c r="AB733" s="1492"/>
      <c r="AC733" s="1573">
        <v>0</v>
      </c>
      <c r="AD733" s="1574"/>
      <c r="AE733" s="1574"/>
      <c r="AF733" s="1574"/>
      <c r="AG733" s="1575"/>
      <c r="AH733" s="1569" t="str">
        <f t="shared" si="50"/>
        <v xml:space="preserve"> </v>
      </c>
      <c r="AI733" s="1570"/>
      <c r="AJ733" s="1571"/>
      <c r="AK733" s="1380" t="s">
        <v>601</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0"/>
      <c r="C734" s="1381"/>
      <c r="D734" s="1381"/>
      <c r="E734" s="1381"/>
      <c r="F734" s="1382"/>
      <c r="G734" s="1478"/>
      <c r="H734" s="1479"/>
      <c r="I734" s="1479"/>
      <c r="J734" s="1480"/>
      <c r="K734" s="1475"/>
      <c r="L734" s="1476"/>
      <c r="M734" s="1476"/>
      <c r="N734" s="1477"/>
      <c r="O734" s="1472"/>
      <c r="P734" s="1473"/>
      <c r="Q734" s="1473"/>
      <c r="R734" s="1473"/>
      <c r="S734" s="1474"/>
      <c r="T734" s="1472"/>
      <c r="U734" s="1473"/>
      <c r="V734" s="1473"/>
      <c r="W734" s="1474"/>
      <c r="X734" s="1490">
        <f t="shared" si="49"/>
        <v>0</v>
      </c>
      <c r="Y734" s="1491"/>
      <c r="Z734" s="1491"/>
      <c r="AA734" s="1491"/>
      <c r="AB734" s="1492"/>
      <c r="AC734" s="1573">
        <v>0</v>
      </c>
      <c r="AD734" s="1574"/>
      <c r="AE734" s="1574"/>
      <c r="AF734" s="1574"/>
      <c r="AG734" s="1575"/>
      <c r="AH734" s="1569" t="str">
        <f t="shared" si="50"/>
        <v xml:space="preserve"> </v>
      </c>
      <c r="AI734" s="1570"/>
      <c r="AJ734" s="1571"/>
      <c r="AK734" s="1380" t="s">
        <v>601</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0"/>
      <c r="C735" s="1381"/>
      <c r="D735" s="1381"/>
      <c r="E735" s="1381"/>
      <c r="F735" s="1382"/>
      <c r="G735" s="1478"/>
      <c r="H735" s="1479"/>
      <c r="I735" s="1479"/>
      <c r="J735" s="1480"/>
      <c r="K735" s="1475"/>
      <c r="L735" s="1476"/>
      <c r="M735" s="1476"/>
      <c r="N735" s="1477"/>
      <c r="O735" s="1472"/>
      <c r="P735" s="1473"/>
      <c r="Q735" s="1473"/>
      <c r="R735" s="1473"/>
      <c r="S735" s="1474"/>
      <c r="T735" s="1472"/>
      <c r="U735" s="1473"/>
      <c r="V735" s="1473"/>
      <c r="W735" s="1474"/>
      <c r="X735" s="1490">
        <f t="shared" si="49"/>
        <v>0</v>
      </c>
      <c r="Y735" s="1491"/>
      <c r="Z735" s="1491"/>
      <c r="AA735" s="1491"/>
      <c r="AB735" s="1492"/>
      <c r="AC735" s="1573">
        <v>0</v>
      </c>
      <c r="AD735" s="1574"/>
      <c r="AE735" s="1574"/>
      <c r="AF735" s="1574"/>
      <c r="AG735" s="1575"/>
      <c r="AH735" s="1569" t="str">
        <f t="shared" si="50"/>
        <v xml:space="preserve"> </v>
      </c>
      <c r="AI735" s="1570"/>
      <c r="AJ735" s="1571"/>
      <c r="AK735" s="1380" t="s">
        <v>601</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0"/>
      <c r="C736" s="1381"/>
      <c r="D736" s="1381"/>
      <c r="E736" s="1381"/>
      <c r="F736" s="1382"/>
      <c r="G736" s="1478"/>
      <c r="H736" s="1479"/>
      <c r="I736" s="1479"/>
      <c r="J736" s="1480"/>
      <c r="K736" s="1475"/>
      <c r="L736" s="1476"/>
      <c r="M736" s="1476"/>
      <c r="N736" s="1477"/>
      <c r="O736" s="1472"/>
      <c r="P736" s="1473"/>
      <c r="Q736" s="1473"/>
      <c r="R736" s="1473"/>
      <c r="S736" s="1474"/>
      <c r="T736" s="1472"/>
      <c r="U736" s="1473"/>
      <c r="V736" s="1473"/>
      <c r="W736" s="1474"/>
      <c r="X736" s="1490">
        <f t="shared" si="49"/>
        <v>0</v>
      </c>
      <c r="Y736" s="1491"/>
      <c r="Z736" s="1491"/>
      <c r="AA736" s="1491"/>
      <c r="AB736" s="1492"/>
      <c r="AC736" s="1573">
        <v>0</v>
      </c>
      <c r="AD736" s="1574"/>
      <c r="AE736" s="1574"/>
      <c r="AF736" s="1574"/>
      <c r="AG736" s="1575"/>
      <c r="AH736" s="1569" t="str">
        <f t="shared" si="50"/>
        <v xml:space="preserve"> </v>
      </c>
      <c r="AI736" s="1570"/>
      <c r="AJ736" s="1571"/>
      <c r="AK736" s="1380" t="s">
        <v>601</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0"/>
      <c r="C737" s="1381"/>
      <c r="D737" s="1381"/>
      <c r="E737" s="1381"/>
      <c r="F737" s="1382"/>
      <c r="G737" s="1478"/>
      <c r="H737" s="1479"/>
      <c r="I737" s="1479"/>
      <c r="J737" s="1480"/>
      <c r="K737" s="1475"/>
      <c r="L737" s="1476"/>
      <c r="M737" s="1476"/>
      <c r="N737" s="1477"/>
      <c r="O737" s="1472"/>
      <c r="P737" s="1473"/>
      <c r="Q737" s="1473"/>
      <c r="R737" s="1473"/>
      <c r="S737" s="1474"/>
      <c r="T737" s="1472"/>
      <c r="U737" s="1473"/>
      <c r="V737" s="1473"/>
      <c r="W737" s="1474"/>
      <c r="X737" s="1490">
        <f t="shared" si="49"/>
        <v>0</v>
      </c>
      <c r="Y737" s="1491"/>
      <c r="Z737" s="1491"/>
      <c r="AA737" s="1491"/>
      <c r="AB737" s="1492"/>
      <c r="AC737" s="1573">
        <v>0</v>
      </c>
      <c r="AD737" s="1574"/>
      <c r="AE737" s="1574"/>
      <c r="AF737" s="1574"/>
      <c r="AG737" s="1575"/>
      <c r="AH737" s="1569" t="str">
        <f t="shared" si="50"/>
        <v xml:space="preserve"> </v>
      </c>
      <c r="AI737" s="1570"/>
      <c r="AJ737" s="1571"/>
      <c r="AK737" s="1380" t="s">
        <v>601</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0"/>
      <c r="C738" s="1381"/>
      <c r="D738" s="1381"/>
      <c r="E738" s="1381"/>
      <c r="F738" s="1382"/>
      <c r="G738" s="1478"/>
      <c r="H738" s="1479"/>
      <c r="I738" s="1479"/>
      <c r="J738" s="1480"/>
      <c r="K738" s="1475"/>
      <c r="L738" s="1476"/>
      <c r="M738" s="1476"/>
      <c r="N738" s="1477"/>
      <c r="O738" s="1472"/>
      <c r="P738" s="1473"/>
      <c r="Q738" s="1473"/>
      <c r="R738" s="1473"/>
      <c r="S738" s="1474"/>
      <c r="T738" s="1472"/>
      <c r="U738" s="1473"/>
      <c r="V738" s="1473"/>
      <c r="W738" s="1474"/>
      <c r="X738" s="1490">
        <f t="shared" si="49"/>
        <v>0</v>
      </c>
      <c r="Y738" s="1491"/>
      <c r="Z738" s="1491"/>
      <c r="AA738" s="1491"/>
      <c r="AB738" s="1492"/>
      <c r="AC738" s="1573">
        <v>0</v>
      </c>
      <c r="AD738" s="1574"/>
      <c r="AE738" s="1574"/>
      <c r="AF738" s="1574"/>
      <c r="AG738" s="1575"/>
      <c r="AH738" s="1569" t="str">
        <f t="shared" si="50"/>
        <v xml:space="preserve"> </v>
      </c>
      <c r="AI738" s="1570"/>
      <c r="AJ738" s="1571"/>
      <c r="AK738" s="1380" t="s">
        <v>601</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18" t="s">
        <v>126</v>
      </c>
      <c r="C739" s="1519"/>
      <c r="D739" s="1519"/>
      <c r="E739" s="1519"/>
      <c r="F739" s="1521"/>
      <c r="G739" s="1748">
        <f>SUM(G714:J738)</f>
        <v>124</v>
      </c>
      <c r="H739" s="1749"/>
      <c r="I739" s="1749"/>
      <c r="J739" s="1750"/>
      <c r="K739" s="939" t="s">
        <v>125</v>
      </c>
      <c r="L739" s="5"/>
      <c r="M739" s="5"/>
      <c r="N739" s="46"/>
      <c r="O739" s="1490">
        <f>SUMPRODUCT(G714:G738,O714:O738)</f>
        <v>222001</v>
      </c>
      <c r="P739" s="1491"/>
      <c r="Q739" s="1491"/>
      <c r="R739" s="1491"/>
      <c r="S739" s="1492"/>
      <c r="X739" s="941" t="s">
        <v>934</v>
      </c>
      <c r="Y739" s="940"/>
      <c r="Z739" s="940"/>
      <c r="AA739" s="940"/>
      <c r="AB739" s="942"/>
      <c r="AC739" s="1697">
        <f>BI682</f>
        <v>0.47419354838709665</v>
      </c>
      <c r="AD739" s="1698"/>
      <c r="AE739" s="1698"/>
      <c r="AF739" s="1698"/>
      <c r="AG739" s="1699"/>
      <c r="AH739" s="1697">
        <f>BI714</f>
        <v>0.47420184082161859</v>
      </c>
      <c r="AI739" s="1698"/>
      <c r="AJ739" s="1699"/>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93" t="s">
        <v>2259</v>
      </c>
      <c r="C740" s="1493"/>
      <c r="D740" s="1493"/>
      <c r="E740" s="1493"/>
      <c r="F740" s="1493"/>
      <c r="G740" s="1493"/>
      <c r="H740" s="1493"/>
      <c r="I740" s="1493"/>
      <c r="J740" s="1493"/>
      <c r="K740" s="1493"/>
      <c r="L740" s="1493"/>
      <c r="M740" s="1493"/>
      <c r="N740" s="1493"/>
      <c r="O740" s="1493"/>
      <c r="P740" s="1493"/>
      <c r="Q740" s="1493"/>
      <c r="R740" s="1493"/>
      <c r="S740" s="1493"/>
      <c r="T740" s="1493"/>
      <c r="U740" s="1493"/>
      <c r="V740" s="1493"/>
      <c r="W740" s="1493"/>
      <c r="X740" s="1493"/>
      <c r="Y740" s="1493"/>
      <c r="Z740" s="1493"/>
      <c r="AA740" s="1493"/>
      <c r="AB740" s="1493"/>
      <c r="AC740" s="1493"/>
      <c r="AD740" s="1493"/>
      <c r="AE740" s="1493"/>
      <c r="AF740" s="1493"/>
      <c r="AG740" s="1493"/>
      <c r="AH740" s="149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93"/>
      <c r="C741" s="1493"/>
      <c r="D741" s="1493"/>
      <c r="E741" s="1493"/>
      <c r="F741" s="1493"/>
      <c r="G741" s="1493"/>
      <c r="H741" s="1493"/>
      <c r="I741" s="1493"/>
      <c r="J741" s="1493"/>
      <c r="K741" s="1493"/>
      <c r="L741" s="1493"/>
      <c r="M741" s="1493"/>
      <c r="N741" s="1493"/>
      <c r="O741" s="1493"/>
      <c r="P741" s="1493"/>
      <c r="Q741" s="1493"/>
      <c r="R741" s="1493"/>
      <c r="S741" s="1493"/>
      <c r="T741" s="1493"/>
      <c r="U741" s="1493"/>
      <c r="V741" s="1493"/>
      <c r="W741" s="1493"/>
      <c r="X741" s="1493"/>
      <c r="Y741" s="1493"/>
      <c r="Z741" s="1493"/>
      <c r="AA741" s="1493"/>
      <c r="AB741" s="1493"/>
      <c r="AC741" s="1493"/>
      <c r="AD741" s="1493"/>
      <c r="AE741" s="1493"/>
      <c r="AF741" s="1493"/>
      <c r="AG741" s="1493"/>
      <c r="AH741" s="149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2257</v>
      </c>
      <c r="D742" s="1076"/>
      <c r="E742" s="1076"/>
      <c r="F742" s="1076"/>
      <c r="G742" s="1077"/>
      <c r="H742" s="1077"/>
      <c r="I742" s="1077"/>
      <c r="J742" s="1077"/>
      <c r="K742" s="1076"/>
      <c r="L742" s="1076"/>
      <c r="M742" s="1076"/>
      <c r="N742" s="1076"/>
      <c r="O742" s="1689">
        <f>CS623</f>
        <v>228</v>
      </c>
      <c r="P742" s="1689"/>
      <c r="Q742" s="1689"/>
      <c r="R742" s="1689"/>
      <c r="S742" s="1006"/>
      <c r="T742" s="1006"/>
      <c r="U742" s="118" t="s">
        <v>2258</v>
      </c>
      <c r="V742" s="1076"/>
      <c r="W742" s="1076"/>
      <c r="X742" s="1076"/>
      <c r="Y742" s="1077"/>
      <c r="Z742" s="1077"/>
      <c r="AA742" s="1077"/>
      <c r="AB742" s="1077"/>
      <c r="AC742" s="1076"/>
      <c r="AD742" s="1076"/>
      <c r="AE742" s="1076"/>
      <c r="AF742" s="1076"/>
      <c r="AG742" s="1690"/>
      <c r="AH742" s="1690"/>
      <c r="AI742" s="1690"/>
      <c r="AJ742" s="1690"/>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601</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81" t="s">
        <v>391</v>
      </c>
      <c r="K754" s="1482"/>
      <c r="L754" s="1482"/>
      <c r="M754" s="1482"/>
      <c r="N754" s="1483"/>
      <c r="O754" s="1688" t="s">
        <v>287</v>
      </c>
      <c r="P754" s="1688"/>
      <c r="Q754" s="1688"/>
      <c r="R754" s="1688"/>
      <c r="S754" s="1688"/>
      <c r="T754" s="1496" t="s">
        <v>1940</v>
      </c>
      <c r="U754" s="1497"/>
      <c r="V754" s="1497"/>
      <c r="W754" s="1498"/>
      <c r="X754" s="1481" t="s">
        <v>457</v>
      </c>
      <c r="Y754" s="1482"/>
      <c r="Z754" s="1482"/>
      <c r="AA754" s="1482"/>
      <c r="AB754" s="1483"/>
      <c r="AC754" s="1481" t="s">
        <v>288</v>
      </c>
      <c r="AD754" s="1482"/>
      <c r="AE754" s="1482"/>
      <c r="AF754" s="1482"/>
      <c r="AG754" s="14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84"/>
      <c r="K755" s="1485"/>
      <c r="L755" s="1485"/>
      <c r="M755" s="1485"/>
      <c r="N755" s="1486"/>
      <c r="O755" s="1688"/>
      <c r="P755" s="1688"/>
      <c r="Q755" s="1688"/>
      <c r="R755" s="1688"/>
      <c r="S755" s="1688"/>
      <c r="T755" s="1499"/>
      <c r="U755" s="1500"/>
      <c r="V755" s="1500"/>
      <c r="W755" s="1501"/>
      <c r="X755" s="1484"/>
      <c r="Y755" s="1485"/>
      <c r="Z755" s="1485"/>
      <c r="AA755" s="1485"/>
      <c r="AB755" s="1486"/>
      <c r="AC755" s="1484"/>
      <c r="AD755" s="1485"/>
      <c r="AE755" s="1485"/>
      <c r="AF755" s="1485"/>
      <c r="AG755" s="14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84"/>
      <c r="K756" s="1485"/>
      <c r="L756" s="1485"/>
      <c r="M756" s="1485"/>
      <c r="N756" s="1486"/>
      <c r="O756" s="1688"/>
      <c r="P756" s="1688"/>
      <c r="Q756" s="1688"/>
      <c r="R756" s="1688"/>
      <c r="S756" s="1688"/>
      <c r="T756" s="1499"/>
      <c r="U756" s="1500"/>
      <c r="V756" s="1500"/>
      <c r="W756" s="1501"/>
      <c r="X756" s="1484"/>
      <c r="Y756" s="1485"/>
      <c r="Z756" s="1485"/>
      <c r="AA756" s="1485"/>
      <c r="AB756" s="1486"/>
      <c r="AC756" s="1484"/>
      <c r="AD756" s="1485"/>
      <c r="AE756" s="1485"/>
      <c r="AF756" s="1485"/>
      <c r="AG756" s="14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87"/>
      <c r="K757" s="1488"/>
      <c r="L757" s="1488"/>
      <c r="M757" s="1488"/>
      <c r="N757" s="1489"/>
      <c r="O757" s="1688"/>
      <c r="P757" s="1688"/>
      <c r="Q757" s="1688"/>
      <c r="R757" s="1688"/>
      <c r="S757" s="1688"/>
      <c r="T757" s="1502"/>
      <c r="U757" s="1503"/>
      <c r="V757" s="1503"/>
      <c r="W757" s="1504"/>
      <c r="X757" s="1487"/>
      <c r="Y757" s="1488"/>
      <c r="Z757" s="1488"/>
      <c r="AA757" s="1488"/>
      <c r="AB757" s="1489"/>
      <c r="AC757" s="1487"/>
      <c r="AD757" s="1488"/>
      <c r="AE757" s="1488"/>
      <c r="AF757" s="1488"/>
      <c r="AG757" s="14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0" t="s">
        <v>165</v>
      </c>
      <c r="K758" s="1381"/>
      <c r="L758" s="1381"/>
      <c r="M758" s="1381"/>
      <c r="N758" s="1382"/>
      <c r="O758" s="1373">
        <v>1</v>
      </c>
      <c r="P758" s="1373"/>
      <c r="Q758" s="1373"/>
      <c r="R758" s="1373"/>
      <c r="S758" s="1373"/>
      <c r="T758" s="1475">
        <v>970</v>
      </c>
      <c r="U758" s="1476"/>
      <c r="V758" s="1476"/>
      <c r="W758" s="1477"/>
      <c r="X758" s="1472"/>
      <c r="Y758" s="1473"/>
      <c r="Z758" s="1473"/>
      <c r="AA758" s="1473"/>
      <c r="AB758" s="1474"/>
      <c r="AC758" s="1490">
        <f>X758*O758</f>
        <v>0</v>
      </c>
      <c r="AD758" s="1491"/>
      <c r="AE758" s="1491"/>
      <c r="AF758" s="1491"/>
      <c r="AG758" s="14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0"/>
      <c r="K759" s="1381"/>
      <c r="L759" s="1381"/>
      <c r="M759" s="1381"/>
      <c r="N759" s="1382"/>
      <c r="O759" s="1373"/>
      <c r="P759" s="1373"/>
      <c r="Q759" s="1373"/>
      <c r="R759" s="1373"/>
      <c r="S759" s="1373"/>
      <c r="T759" s="1475"/>
      <c r="U759" s="1476"/>
      <c r="V759" s="1476"/>
      <c r="W759" s="1477"/>
      <c r="X759" s="1472"/>
      <c r="Y759" s="1473"/>
      <c r="Z759" s="1473"/>
      <c r="AA759" s="1473"/>
      <c r="AB759" s="1474"/>
      <c r="AC759" s="1490">
        <f>X759*O759</f>
        <v>0</v>
      </c>
      <c r="AD759" s="1491"/>
      <c r="AE759" s="1491"/>
      <c r="AF759" s="1491"/>
      <c r="AG759" s="14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0"/>
      <c r="K760" s="1381"/>
      <c r="L760" s="1381"/>
      <c r="M760" s="1381"/>
      <c r="N760" s="1382"/>
      <c r="O760" s="1373"/>
      <c r="P760" s="1373"/>
      <c r="Q760" s="1373"/>
      <c r="R760" s="1373"/>
      <c r="S760" s="1373"/>
      <c r="T760" s="1475"/>
      <c r="U760" s="1476"/>
      <c r="V760" s="1476"/>
      <c r="W760" s="1477"/>
      <c r="X760" s="1472"/>
      <c r="Y760" s="1473"/>
      <c r="Z760" s="1473"/>
      <c r="AA760" s="1473"/>
      <c r="AB760" s="1474"/>
      <c r="AC760" s="1490">
        <f>X760*O760</f>
        <v>0</v>
      </c>
      <c r="AD760" s="1491"/>
      <c r="AE760" s="1491"/>
      <c r="AF760" s="1491"/>
      <c r="AG760" s="14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0"/>
      <c r="K761" s="1381"/>
      <c r="L761" s="1381"/>
      <c r="M761" s="1381"/>
      <c r="N761" s="1382"/>
      <c r="O761" s="1373"/>
      <c r="P761" s="1373"/>
      <c r="Q761" s="1373"/>
      <c r="R761" s="1373"/>
      <c r="S761" s="1373"/>
      <c r="T761" s="1475"/>
      <c r="U761" s="1476"/>
      <c r="V761" s="1476"/>
      <c r="W761" s="1477"/>
      <c r="X761" s="1472"/>
      <c r="Y761" s="1473"/>
      <c r="Z761" s="1473"/>
      <c r="AA761" s="1473"/>
      <c r="AB761" s="1474"/>
      <c r="AC761" s="1490">
        <f>X761*O761</f>
        <v>0</v>
      </c>
      <c r="AD761" s="1491"/>
      <c r="AE761" s="1491"/>
      <c r="AF761" s="1491"/>
      <c r="AG761" s="14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18" t="s">
        <v>126</v>
      </c>
      <c r="K762" s="1519"/>
      <c r="L762" s="1519"/>
      <c r="M762" s="1519"/>
      <c r="N762" s="1521"/>
      <c r="O762" s="1494">
        <f>SUM(O758:S761)</f>
        <v>1</v>
      </c>
      <c r="P762" s="1508"/>
      <c r="Q762" s="1508"/>
      <c r="R762" s="1508"/>
      <c r="S762" s="1495"/>
      <c r="X762" s="1518" t="s">
        <v>125</v>
      </c>
      <c r="Y762" s="1519"/>
      <c r="Z762" s="1519"/>
      <c r="AA762" s="1519"/>
      <c r="AB762" s="1521"/>
      <c r="AC762" s="1490">
        <f>SUM(AC758:AG761)</f>
        <v>0</v>
      </c>
      <c r="AD762" s="1491"/>
      <c r="AE762" s="1491"/>
      <c r="AF762" s="1491"/>
      <c r="AG762" s="14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379" t="s">
        <v>679</v>
      </c>
      <c r="K764" s="137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81" t="s">
        <v>391</v>
      </c>
      <c r="K768" s="1482"/>
      <c r="L768" s="1482"/>
      <c r="M768" s="1482"/>
      <c r="N768" s="1483"/>
      <c r="O768" s="1688" t="s">
        <v>287</v>
      </c>
      <c r="P768" s="1688"/>
      <c r="Q768" s="1688"/>
      <c r="R768" s="1688"/>
      <c r="S768" s="1688"/>
      <c r="T768" s="1496" t="s">
        <v>1940</v>
      </c>
      <c r="U768" s="1497"/>
      <c r="V768" s="1497"/>
      <c r="W768" s="1498"/>
      <c r="X768" s="1481" t="s">
        <v>457</v>
      </c>
      <c r="Y768" s="1482"/>
      <c r="Z768" s="1482"/>
      <c r="AA768" s="1482"/>
      <c r="AB768" s="1483"/>
      <c r="AC768" s="1481" t="s">
        <v>288</v>
      </c>
      <c r="AD768" s="1482"/>
      <c r="AE768" s="1482"/>
      <c r="AF768" s="1482"/>
      <c r="AG768" s="1483"/>
      <c r="AH768" s="1612" t="s">
        <v>2133</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84"/>
      <c r="K769" s="1485"/>
      <c r="L769" s="1485"/>
      <c r="M769" s="1485"/>
      <c r="N769" s="1486"/>
      <c r="O769" s="1688"/>
      <c r="P769" s="1688"/>
      <c r="Q769" s="1688"/>
      <c r="R769" s="1688"/>
      <c r="S769" s="1688"/>
      <c r="T769" s="1499"/>
      <c r="U769" s="1500"/>
      <c r="V769" s="1500"/>
      <c r="W769" s="1501"/>
      <c r="X769" s="1484"/>
      <c r="Y769" s="1485"/>
      <c r="Z769" s="1485"/>
      <c r="AA769" s="1485"/>
      <c r="AB769" s="1486"/>
      <c r="AC769" s="1484"/>
      <c r="AD769" s="1485"/>
      <c r="AE769" s="1485"/>
      <c r="AF769" s="1485"/>
      <c r="AG769" s="1486"/>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84"/>
      <c r="K770" s="1485"/>
      <c r="L770" s="1485"/>
      <c r="M770" s="1485"/>
      <c r="N770" s="1486"/>
      <c r="O770" s="1688"/>
      <c r="P770" s="1688"/>
      <c r="Q770" s="1688"/>
      <c r="R770" s="1688"/>
      <c r="S770" s="1688"/>
      <c r="T770" s="1499"/>
      <c r="U770" s="1500"/>
      <c r="V770" s="1500"/>
      <c r="W770" s="1501"/>
      <c r="X770" s="1484"/>
      <c r="Y770" s="1485"/>
      <c r="Z770" s="1485"/>
      <c r="AA770" s="1485"/>
      <c r="AB770" s="1486"/>
      <c r="AC770" s="1484"/>
      <c r="AD770" s="1485"/>
      <c r="AE770" s="1485"/>
      <c r="AF770" s="1485"/>
      <c r="AG770" s="1486"/>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87"/>
      <c r="K771" s="1488"/>
      <c r="L771" s="1488"/>
      <c r="M771" s="1488"/>
      <c r="N771" s="1489"/>
      <c r="O771" s="1688"/>
      <c r="P771" s="1688"/>
      <c r="Q771" s="1688"/>
      <c r="R771" s="1688"/>
      <c r="S771" s="1688"/>
      <c r="T771" s="1502"/>
      <c r="U771" s="1503"/>
      <c r="V771" s="1503"/>
      <c r="W771" s="1504"/>
      <c r="X771" s="1487"/>
      <c r="Y771" s="1488"/>
      <c r="Z771" s="1488"/>
      <c r="AA771" s="1488"/>
      <c r="AB771" s="1489"/>
      <c r="AC771" s="1487"/>
      <c r="AD771" s="1488"/>
      <c r="AE771" s="1488"/>
      <c r="AF771" s="1488"/>
      <c r="AG771" s="1489"/>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0"/>
      <c r="K772" s="1381"/>
      <c r="L772" s="1381"/>
      <c r="M772" s="1381"/>
      <c r="N772" s="1382"/>
      <c r="O772" s="1373"/>
      <c r="P772" s="1373"/>
      <c r="Q772" s="1373"/>
      <c r="R772" s="1373"/>
      <c r="S772" s="1373"/>
      <c r="T772" s="1475"/>
      <c r="U772" s="1476"/>
      <c r="V772" s="1476"/>
      <c r="W772" s="1477"/>
      <c r="X772" s="1472"/>
      <c r="Y772" s="1473"/>
      <c r="Z772" s="1473"/>
      <c r="AA772" s="1473"/>
      <c r="AB772" s="1474"/>
      <c r="AC772" s="1490">
        <f t="shared" ref="AC772:AC781" si="51">X772*O772</f>
        <v>0</v>
      </c>
      <c r="AD772" s="1491"/>
      <c r="AE772" s="1491"/>
      <c r="AF772" s="1491"/>
      <c r="AG772" s="1492"/>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0"/>
      <c r="K773" s="1381"/>
      <c r="L773" s="1381"/>
      <c r="M773" s="1381"/>
      <c r="N773" s="1382"/>
      <c r="O773" s="1373"/>
      <c r="P773" s="1373"/>
      <c r="Q773" s="1373"/>
      <c r="R773" s="1373"/>
      <c r="S773" s="1373"/>
      <c r="T773" s="1475"/>
      <c r="U773" s="1476"/>
      <c r="V773" s="1476"/>
      <c r="W773" s="1477"/>
      <c r="X773" s="1472"/>
      <c r="Y773" s="1473"/>
      <c r="Z773" s="1473"/>
      <c r="AA773" s="1473"/>
      <c r="AB773" s="1474"/>
      <c r="AC773" s="1490">
        <f t="shared" si="51"/>
        <v>0</v>
      </c>
      <c r="AD773" s="1491"/>
      <c r="AE773" s="1491"/>
      <c r="AF773" s="1491"/>
      <c r="AG773" s="1492"/>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0"/>
      <c r="K774" s="1381"/>
      <c r="L774" s="1381"/>
      <c r="M774" s="1381"/>
      <c r="N774" s="1382"/>
      <c r="O774" s="1373"/>
      <c r="P774" s="1373"/>
      <c r="Q774" s="1373"/>
      <c r="R774" s="1373"/>
      <c r="S774" s="1373"/>
      <c r="T774" s="1475"/>
      <c r="U774" s="1476"/>
      <c r="V774" s="1476"/>
      <c r="W774" s="1477"/>
      <c r="X774" s="1472"/>
      <c r="Y774" s="1473"/>
      <c r="Z774" s="1473"/>
      <c r="AA774" s="1473"/>
      <c r="AB774" s="1474"/>
      <c r="AC774" s="1490">
        <f t="shared" si="51"/>
        <v>0</v>
      </c>
      <c r="AD774" s="1491"/>
      <c r="AE774" s="1491"/>
      <c r="AF774" s="1491"/>
      <c r="AG774" s="1492"/>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0"/>
      <c r="K775" s="1381"/>
      <c r="L775" s="1381"/>
      <c r="M775" s="1381"/>
      <c r="N775" s="1382"/>
      <c r="O775" s="1373"/>
      <c r="P775" s="1373"/>
      <c r="Q775" s="1373"/>
      <c r="R775" s="1373"/>
      <c r="S775" s="1373"/>
      <c r="T775" s="1475"/>
      <c r="U775" s="1476"/>
      <c r="V775" s="1476"/>
      <c r="W775" s="1477"/>
      <c r="X775" s="1472"/>
      <c r="Y775" s="1473"/>
      <c r="Z775" s="1473"/>
      <c r="AA775" s="1473"/>
      <c r="AB775" s="1474"/>
      <c r="AC775" s="1490">
        <f t="shared" si="51"/>
        <v>0</v>
      </c>
      <c r="AD775" s="1491"/>
      <c r="AE775" s="1491"/>
      <c r="AF775" s="1491"/>
      <c r="AG775" s="1492"/>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0"/>
      <c r="K776" s="1381"/>
      <c r="L776" s="1381"/>
      <c r="M776" s="1381"/>
      <c r="N776" s="1382"/>
      <c r="O776" s="1373"/>
      <c r="P776" s="1373"/>
      <c r="Q776" s="1373"/>
      <c r="R776" s="1373"/>
      <c r="S776" s="1373"/>
      <c r="T776" s="1475"/>
      <c r="U776" s="1476"/>
      <c r="V776" s="1476"/>
      <c r="W776" s="1477"/>
      <c r="X776" s="1472"/>
      <c r="Y776" s="1473"/>
      <c r="Z776" s="1473"/>
      <c r="AA776" s="1473"/>
      <c r="AB776" s="1474"/>
      <c r="AC776" s="1490">
        <f t="shared" si="51"/>
        <v>0</v>
      </c>
      <c r="AD776" s="1491"/>
      <c r="AE776" s="1491"/>
      <c r="AF776" s="1491"/>
      <c r="AG776" s="1492"/>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0"/>
      <c r="K777" s="1381"/>
      <c r="L777" s="1381"/>
      <c r="M777" s="1381"/>
      <c r="N777" s="1382"/>
      <c r="O777" s="1373"/>
      <c r="P777" s="1373"/>
      <c r="Q777" s="1373"/>
      <c r="R777" s="1373"/>
      <c r="S777" s="1373"/>
      <c r="T777" s="1475"/>
      <c r="U777" s="1476"/>
      <c r="V777" s="1476"/>
      <c r="W777" s="1477"/>
      <c r="X777" s="1472"/>
      <c r="Y777" s="1473"/>
      <c r="Z777" s="1473"/>
      <c r="AA777" s="1473"/>
      <c r="AB777" s="1474"/>
      <c r="AC777" s="1490">
        <f t="shared" si="51"/>
        <v>0</v>
      </c>
      <c r="AD777" s="1491"/>
      <c r="AE777" s="1491"/>
      <c r="AF777" s="1491"/>
      <c r="AG777" s="1492"/>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0"/>
      <c r="K778" s="1381"/>
      <c r="L778" s="1381"/>
      <c r="M778" s="1381"/>
      <c r="N778" s="1382"/>
      <c r="O778" s="1373"/>
      <c r="P778" s="1373"/>
      <c r="Q778" s="1373"/>
      <c r="R778" s="1373"/>
      <c r="S778" s="1373"/>
      <c r="T778" s="1475"/>
      <c r="U778" s="1476"/>
      <c r="V778" s="1476"/>
      <c r="W778" s="1477"/>
      <c r="X778" s="1472"/>
      <c r="Y778" s="1473"/>
      <c r="Z778" s="1473"/>
      <c r="AA778" s="1473"/>
      <c r="AB778" s="1474"/>
      <c r="AC778" s="1490">
        <f t="shared" si="51"/>
        <v>0</v>
      </c>
      <c r="AD778" s="1491"/>
      <c r="AE778" s="1491"/>
      <c r="AF778" s="1491"/>
      <c r="AG778" s="1492"/>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0"/>
      <c r="K779" s="1381"/>
      <c r="L779" s="1381"/>
      <c r="M779" s="1381"/>
      <c r="N779" s="1382"/>
      <c r="O779" s="1373"/>
      <c r="P779" s="1373"/>
      <c r="Q779" s="1373"/>
      <c r="R779" s="1373"/>
      <c r="S779" s="1373"/>
      <c r="T779" s="1475"/>
      <c r="U779" s="1476"/>
      <c r="V779" s="1476"/>
      <c r="W779" s="1477"/>
      <c r="X779" s="1472"/>
      <c r="Y779" s="1473"/>
      <c r="Z779" s="1473"/>
      <c r="AA779" s="1473"/>
      <c r="AB779" s="1474"/>
      <c r="AC779" s="1490">
        <f t="shared" si="51"/>
        <v>0</v>
      </c>
      <c r="AD779" s="1491"/>
      <c r="AE779" s="1491"/>
      <c r="AF779" s="1491"/>
      <c r="AG779" s="1492"/>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0"/>
      <c r="K780" s="1381"/>
      <c r="L780" s="1381"/>
      <c r="M780" s="1381"/>
      <c r="N780" s="1382"/>
      <c r="O780" s="1373"/>
      <c r="P780" s="1373"/>
      <c r="Q780" s="1373"/>
      <c r="R780" s="1373"/>
      <c r="S780" s="1373"/>
      <c r="T780" s="1475"/>
      <c r="U780" s="1476"/>
      <c r="V780" s="1476"/>
      <c r="W780" s="1477"/>
      <c r="X780" s="1472"/>
      <c r="Y780" s="1473"/>
      <c r="Z780" s="1473"/>
      <c r="AA780" s="1473"/>
      <c r="AB780" s="1474"/>
      <c r="AC780" s="1490">
        <f t="shared" si="51"/>
        <v>0</v>
      </c>
      <c r="AD780" s="1491"/>
      <c r="AE780" s="1491"/>
      <c r="AF780" s="1491"/>
      <c r="AG780" s="1492"/>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0"/>
      <c r="K781" s="1381"/>
      <c r="L781" s="1381"/>
      <c r="M781" s="1381"/>
      <c r="N781" s="1382"/>
      <c r="O781" s="1373"/>
      <c r="P781" s="1373"/>
      <c r="Q781" s="1373"/>
      <c r="R781" s="1373"/>
      <c r="S781" s="1373"/>
      <c r="T781" s="1475"/>
      <c r="U781" s="1476"/>
      <c r="V781" s="1476"/>
      <c r="W781" s="1477"/>
      <c r="X781" s="1472"/>
      <c r="Y781" s="1473"/>
      <c r="Z781" s="1473"/>
      <c r="AA781" s="1473"/>
      <c r="AB781" s="1474"/>
      <c r="AC781" s="1490">
        <f t="shared" si="51"/>
        <v>0</v>
      </c>
      <c r="AD781" s="1491"/>
      <c r="AE781" s="1491"/>
      <c r="AF781" s="1491"/>
      <c r="AG781" s="1492"/>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18" t="s">
        <v>126</v>
      </c>
      <c r="K782" s="1519"/>
      <c r="L782" s="1519"/>
      <c r="M782" s="1519"/>
      <c r="N782" s="1521"/>
      <c r="O782" s="1620">
        <f>SUM(O772:S781)</f>
        <v>0</v>
      </c>
      <c r="P782" s="1620"/>
      <c r="Q782" s="1620"/>
      <c r="R782" s="1620"/>
      <c r="S782" s="1620"/>
      <c r="X782" s="939" t="s">
        <v>125</v>
      </c>
      <c r="Y782" s="11"/>
      <c r="Z782" s="11"/>
      <c r="AA782" s="11"/>
      <c r="AB782" s="946"/>
      <c r="AC782" s="1490">
        <f>SUM(AC772:AG781)</f>
        <v>0</v>
      </c>
      <c r="AD782" s="1491"/>
      <c r="AE782" s="1491"/>
      <c r="AF782" s="1491"/>
      <c r="AG782" s="14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38">
        <f>O739+AC762+AC782</f>
        <v>222001</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38">
        <f>(O739+AC762+AC782)*12</f>
        <v>2664012</v>
      </c>
      <c r="Z785" s="1638"/>
      <c r="AA785" s="1638"/>
      <c r="AB785" s="1638"/>
      <c r="AC785" s="1638"/>
      <c r="AZ785" s="3"/>
      <c r="BA785" s="14" t="s">
        <v>642</v>
      </c>
      <c r="BB785" s="14"/>
      <c r="BC785" s="14"/>
      <c r="BD785" s="14"/>
      <c r="BE785" s="14"/>
      <c r="BF785" s="14"/>
      <c r="BG785" s="14"/>
      <c r="BH785" s="14"/>
      <c r="BI785" s="14"/>
      <c r="BJ785" s="14"/>
      <c r="BK785" s="14"/>
      <c r="BL785" s="14"/>
      <c r="BM785" s="14"/>
      <c r="BN785" s="1695" t="s">
        <v>479</v>
      </c>
      <c r="BO785" s="1696"/>
      <c r="BP785" s="3"/>
      <c r="BQ785" s="3"/>
      <c r="BR785" s="3"/>
      <c r="BS785" s="14" t="s">
        <v>644</v>
      </c>
      <c r="BT785" s="14"/>
      <c r="BU785" s="14"/>
      <c r="BV785" s="14"/>
      <c r="BW785" s="14"/>
      <c r="BX785" s="14"/>
      <c r="BY785" s="14"/>
      <c r="BZ785" s="14"/>
      <c r="CA785" s="14"/>
      <c r="CB785" s="1692" t="str">
        <f>T189</f>
        <v>San Mateo</v>
      </c>
      <c r="CC785" s="1693"/>
      <c r="CD785" s="1693"/>
      <c r="CE785" s="1693"/>
      <c r="CF785" s="1693"/>
      <c r="CG785" s="1693"/>
      <c r="CH785" s="169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8">
        <v>62</v>
      </c>
      <c r="AA790" s="1622"/>
      <c r="AB790" s="1622"/>
      <c r="AC790" s="1622"/>
      <c r="AD790" s="1622"/>
      <c r="AE790" s="162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1">
        <v>20</v>
      </c>
      <c r="AA791" s="1622"/>
      <c r="AB791" s="1622"/>
      <c r="AC791" s="1622"/>
      <c r="AD791" s="1622"/>
      <c r="AE791" s="162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52996</v>
      </c>
      <c r="AA792" s="1588"/>
      <c r="AB792" s="1588"/>
      <c r="AC792" s="1588"/>
      <c r="AD792" s="1588"/>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1545816</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v>15000</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605" t="s">
        <v>2768</v>
      </c>
      <c r="Q800" s="1606"/>
      <c r="R800" s="1606"/>
      <c r="S800" s="1606"/>
      <c r="T800" s="1606"/>
      <c r="U800" s="1606"/>
      <c r="V800" s="1606"/>
      <c r="W800" s="1606"/>
      <c r="X800" s="1606"/>
      <c r="Y800" s="1607"/>
      <c r="Z800" s="1599">
        <v>5456</v>
      </c>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20456</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4230284</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82" t="s">
        <v>127</v>
      </c>
      <c r="N807" s="1582"/>
      <c r="O807" s="1582"/>
      <c r="P807" s="1583"/>
      <c r="Q807" s="1616" t="s">
        <v>292</v>
      </c>
      <c r="R807" s="1616"/>
      <c r="S807" s="1616"/>
      <c r="T807" s="1616"/>
      <c r="U807" s="1616" t="s">
        <v>293</v>
      </c>
      <c r="V807" s="1616"/>
      <c r="W807" s="1616"/>
      <c r="X807" s="1616"/>
      <c r="Y807" s="1616" t="s">
        <v>294</v>
      </c>
      <c r="Z807" s="1616"/>
      <c r="AA807" s="1616"/>
      <c r="AB807" s="1616"/>
      <c r="AC807" s="1616" t="s">
        <v>363</v>
      </c>
      <c r="AD807" s="1616"/>
      <c r="AE807" s="1616"/>
      <c r="AF807" s="1616"/>
      <c r="AG807" s="1630" t="s">
        <v>337</v>
      </c>
      <c r="AH807" s="1630"/>
      <c r="AI807" s="1630"/>
      <c r="AJ807" s="16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84"/>
      <c r="N808" s="1584"/>
      <c r="O808" s="1584"/>
      <c r="P808" s="1585"/>
      <c r="Q808" s="1616"/>
      <c r="R808" s="1616"/>
      <c r="S808" s="1616"/>
      <c r="T808" s="1616"/>
      <c r="U808" s="1616"/>
      <c r="V808" s="1616"/>
      <c r="W808" s="1616"/>
      <c r="X808" s="1616"/>
      <c r="Y808" s="1616"/>
      <c r="Z808" s="1616"/>
      <c r="AA808" s="1616"/>
      <c r="AB808" s="1616"/>
      <c r="AC808" s="1616"/>
      <c r="AD808" s="1616"/>
      <c r="AE808" s="1616"/>
      <c r="AF808" s="1616"/>
      <c r="AG808" s="1630"/>
      <c r="AH808" s="1630"/>
      <c r="AI808" s="1630"/>
      <c r="AJ808" s="16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586" t="s">
        <v>40</v>
      </c>
      <c r="D809" s="1510"/>
      <c r="E809" s="1510"/>
      <c r="F809" s="1510"/>
      <c r="G809" s="1510"/>
      <c r="H809" s="1510"/>
      <c r="I809" s="48"/>
      <c r="J809" s="48"/>
      <c r="K809" s="48"/>
      <c r="L809" s="49"/>
      <c r="M809" s="1581"/>
      <c r="N809" s="1581"/>
      <c r="O809" s="1581"/>
      <c r="P809" s="1581"/>
      <c r="Q809" s="1581">
        <v>22</v>
      </c>
      <c r="R809" s="1581"/>
      <c r="S809" s="1581"/>
      <c r="T809" s="1581"/>
      <c r="U809" s="1581">
        <v>27</v>
      </c>
      <c r="V809" s="1581"/>
      <c r="W809" s="1581"/>
      <c r="X809" s="1581"/>
      <c r="Y809" s="1581">
        <v>33</v>
      </c>
      <c r="Z809" s="1581"/>
      <c r="AA809" s="1581"/>
      <c r="AB809" s="1581"/>
      <c r="AC809" s="1578"/>
      <c r="AD809" s="1579"/>
      <c r="AE809" s="1579"/>
      <c r="AF809" s="1580"/>
      <c r="AG809" s="1578"/>
      <c r="AH809" s="1579"/>
      <c r="AI809" s="1579"/>
      <c r="AJ809" s="15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423" t="s">
        <v>41</v>
      </c>
      <c r="D810" s="1424"/>
      <c r="E810" s="1424"/>
      <c r="F810" s="1424"/>
      <c r="G810" s="1424"/>
      <c r="H810" s="1424"/>
      <c r="I810" s="5"/>
      <c r="J810" s="5"/>
      <c r="K810" s="5"/>
      <c r="L810" s="46"/>
      <c r="M810" s="1581"/>
      <c r="N810" s="1581"/>
      <c r="O810" s="1581"/>
      <c r="P810" s="1581"/>
      <c r="Q810" s="1581">
        <v>12</v>
      </c>
      <c r="R810" s="1581"/>
      <c r="S810" s="1581"/>
      <c r="T810" s="1581"/>
      <c r="U810" s="1581">
        <v>17</v>
      </c>
      <c r="V810" s="1581"/>
      <c r="W810" s="1581"/>
      <c r="X810" s="1581"/>
      <c r="Y810" s="1581">
        <v>24</v>
      </c>
      <c r="Z810" s="1581"/>
      <c r="AA810" s="1581"/>
      <c r="AB810" s="1581"/>
      <c r="AC810" s="1578"/>
      <c r="AD810" s="1579"/>
      <c r="AE810" s="1579"/>
      <c r="AF810" s="1580"/>
      <c r="AG810" s="1578"/>
      <c r="AH810" s="1579"/>
      <c r="AI810" s="1579"/>
      <c r="AJ810" s="15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423" t="s">
        <v>42</v>
      </c>
      <c r="D811" s="1424"/>
      <c r="E811" s="1424"/>
      <c r="F811" s="1424"/>
      <c r="G811" s="1424"/>
      <c r="H811" s="1424"/>
      <c r="I811" s="60"/>
      <c r="J811" s="60"/>
      <c r="K811" s="60"/>
      <c r="L811" s="61"/>
      <c r="M811" s="1581"/>
      <c r="N811" s="1581"/>
      <c r="O811" s="1581"/>
      <c r="P811" s="1581"/>
      <c r="Q811" s="1581">
        <v>9</v>
      </c>
      <c r="R811" s="1581"/>
      <c r="S811" s="1581"/>
      <c r="T811" s="1581"/>
      <c r="U811" s="1581">
        <v>13</v>
      </c>
      <c r="V811" s="1581"/>
      <c r="W811" s="1581"/>
      <c r="X811" s="1581"/>
      <c r="Y811" s="1581">
        <v>17</v>
      </c>
      <c r="Z811" s="1581"/>
      <c r="AA811" s="1581"/>
      <c r="AB811" s="1581"/>
      <c r="AC811" s="1578"/>
      <c r="AD811" s="1579"/>
      <c r="AE811" s="1579"/>
      <c r="AF811" s="1580"/>
      <c r="AG811" s="1578"/>
      <c r="AH811" s="1579"/>
      <c r="AI811" s="1579"/>
      <c r="AJ811" s="15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423" t="s">
        <v>787</v>
      </c>
      <c r="D812" s="1424"/>
      <c r="E812" s="1424"/>
      <c r="F812" s="1424"/>
      <c r="G812" s="1424"/>
      <c r="H812" s="1424"/>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8"/>
      <c r="AD812" s="1579"/>
      <c r="AE812" s="1579"/>
      <c r="AF812" s="1580"/>
      <c r="AG812" s="1578"/>
      <c r="AH812" s="1579"/>
      <c r="AI812" s="1579"/>
      <c r="AJ812" s="15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423" t="s">
        <v>469</v>
      </c>
      <c r="D813" s="1424"/>
      <c r="E813" s="1424"/>
      <c r="F813" s="1424"/>
      <c r="G813" s="1424"/>
      <c r="H813" s="1424"/>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578"/>
      <c r="AD813" s="1579"/>
      <c r="AE813" s="1579"/>
      <c r="AF813" s="1580"/>
      <c r="AG813" s="1578"/>
      <c r="AH813" s="1579"/>
      <c r="AI813" s="1579"/>
      <c r="AJ813" s="15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20" t="s">
        <v>808</v>
      </c>
      <c r="D814" s="1424"/>
      <c r="E814" s="1424"/>
      <c r="F814" s="1424"/>
      <c r="G814" s="1424"/>
      <c r="H814" s="1424"/>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8"/>
      <c r="AD814" s="1579"/>
      <c r="AE814" s="1579"/>
      <c r="AF814" s="1580"/>
      <c r="AG814" s="1578"/>
      <c r="AH814" s="1579"/>
      <c r="AI814" s="1579"/>
      <c r="AJ814" s="15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605" t="s">
        <v>2769</v>
      </c>
      <c r="G815" s="1606"/>
      <c r="H815" s="1606"/>
      <c r="I815" s="1606"/>
      <c r="J815" s="1606"/>
      <c r="K815" s="1606"/>
      <c r="L815" s="1606"/>
      <c r="M815" s="1581"/>
      <c r="N815" s="1581"/>
      <c r="O815" s="1581"/>
      <c r="P815" s="1581"/>
      <c r="Q815" s="1581">
        <v>32</v>
      </c>
      <c r="R815" s="1581"/>
      <c r="S815" s="1581"/>
      <c r="T815" s="1581"/>
      <c r="U815" s="1581">
        <v>45</v>
      </c>
      <c r="V815" s="1581"/>
      <c r="W815" s="1581"/>
      <c r="X815" s="1581"/>
      <c r="Y815" s="1581">
        <v>62</v>
      </c>
      <c r="Z815" s="1581"/>
      <c r="AA815" s="1581"/>
      <c r="AB815" s="1581"/>
      <c r="AC815" s="1578"/>
      <c r="AD815" s="1579"/>
      <c r="AE815" s="1579"/>
      <c r="AF815" s="1580"/>
      <c r="AG815" s="1578"/>
      <c r="AH815" s="1579"/>
      <c r="AI815" s="1579"/>
      <c r="AJ815" s="15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18" t="s">
        <v>125</v>
      </c>
      <c r="D816" s="1519"/>
      <c r="E816" s="1519"/>
      <c r="F816" s="1519"/>
      <c r="G816" s="1519"/>
      <c r="H816" s="1519"/>
      <c r="I816" s="1519"/>
      <c r="J816" s="1519"/>
      <c r="K816" s="1519"/>
      <c r="L816" s="1521"/>
      <c r="M816" s="1619">
        <f>SUM(M809:P815)</f>
        <v>0</v>
      </c>
      <c r="N816" s="1619"/>
      <c r="O816" s="1619"/>
      <c r="P816" s="1619"/>
      <c r="Q816" s="1619">
        <f>SUM(Q809:T815)</f>
        <v>75</v>
      </c>
      <c r="R816" s="1619"/>
      <c r="S816" s="1619"/>
      <c r="T816" s="1619"/>
      <c r="U816" s="1619">
        <f>SUM(U809:X815)</f>
        <v>102</v>
      </c>
      <c r="V816" s="1619"/>
      <c r="W816" s="1619"/>
      <c r="X816" s="1619"/>
      <c r="Y816" s="1619">
        <f>SUM(Y809:AB815)</f>
        <v>136</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75" t="s">
        <v>2751</v>
      </c>
      <c r="D821" s="1676"/>
      <c r="E821" s="1676"/>
      <c r="F821" s="1676"/>
      <c r="G821" s="1676"/>
      <c r="H821" s="1676"/>
      <c r="I821" s="1676"/>
      <c r="J821" s="1676"/>
      <c r="K821" s="1676"/>
      <c r="L821" s="1676"/>
      <c r="M821" s="1676"/>
      <c r="N821" s="1676"/>
      <c r="O821" s="1676"/>
      <c r="P821" s="1676"/>
      <c r="Q821" s="1676"/>
      <c r="R821" s="1676"/>
      <c r="S821" s="1676"/>
      <c r="T821" s="1676"/>
      <c r="U821" s="1676"/>
      <c r="V821" s="1676"/>
      <c r="W821" s="1676"/>
      <c r="X821" s="1676"/>
      <c r="Y821" s="1676"/>
      <c r="Z821" s="1676"/>
      <c r="AA821" s="1676"/>
      <c r="AB821" s="1676"/>
      <c r="AC821" s="1676"/>
      <c r="AD821" s="1676"/>
      <c r="AE821" s="1676"/>
      <c r="AF821" s="1676"/>
      <c r="AG821" s="1676"/>
      <c r="AH821" s="1676"/>
      <c r="AI821" s="1676"/>
      <c r="AJ821" s="167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611">
        <v>78125</v>
      </c>
      <c r="X826" s="1611"/>
      <c r="Y826" s="1611"/>
      <c r="Z826" s="1611"/>
      <c r="AA826" s="1611"/>
      <c r="AB826" s="1611"/>
      <c r="AC826" s="161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611">
        <v>3873</v>
      </c>
      <c r="X827" s="1611"/>
      <c r="Y827" s="1611"/>
      <c r="Z827" s="1611"/>
      <c r="AA827" s="1611"/>
      <c r="AB827" s="1611"/>
      <c r="AC827" s="161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611">
        <v>9500</v>
      </c>
      <c r="X828" s="1611"/>
      <c r="Y828" s="1611"/>
      <c r="Z828" s="1611"/>
      <c r="AA828" s="1611"/>
      <c r="AB828" s="1611"/>
      <c r="AC828" s="161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611"/>
      <c r="X829" s="1611"/>
      <c r="Y829" s="1611"/>
      <c r="Z829" s="1611"/>
      <c r="AA829" s="1611"/>
      <c r="AB829" s="1611"/>
      <c r="AC829" s="161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605" t="s">
        <v>336</v>
      </c>
      <c r="N830" s="1606"/>
      <c r="O830" s="1606"/>
      <c r="P830" s="1606"/>
      <c r="Q830" s="1606"/>
      <c r="R830" s="1606"/>
      <c r="S830" s="1606"/>
      <c r="T830" s="1606"/>
      <c r="U830" s="1606"/>
      <c r="V830" s="1607"/>
      <c r="W830" s="1611"/>
      <c r="X830" s="1611"/>
      <c r="Y830" s="1611"/>
      <c r="Z830" s="1611"/>
      <c r="AA830" s="1611"/>
      <c r="AB830" s="1611"/>
      <c r="AC830" s="1611"/>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515">
        <f>SUM(W826:AC830)</f>
        <v>91498</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599">
        <v>167027</v>
      </c>
      <c r="X833" s="1600"/>
      <c r="Y833" s="1600"/>
      <c r="Z833" s="1600"/>
      <c r="AA833" s="1600"/>
      <c r="AB833" s="1600"/>
      <c r="AC833" s="1601"/>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608"/>
      <c r="X835" s="1608"/>
      <c r="Y835" s="1608"/>
      <c r="Z835" s="1608"/>
      <c r="AA835" s="1608"/>
      <c r="AB835" s="1608"/>
      <c r="AC835" s="1608"/>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608">
        <v>34375</v>
      </c>
      <c r="X836" s="1608"/>
      <c r="Y836" s="1608"/>
      <c r="Z836" s="1608"/>
      <c r="AA836" s="1608"/>
      <c r="AB836" s="1608"/>
      <c r="AC836" s="1608"/>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608">
        <v>50000</v>
      </c>
      <c r="X837" s="1608"/>
      <c r="Y837" s="1608"/>
      <c r="Z837" s="1608"/>
      <c r="AA837" s="1608"/>
      <c r="AB837" s="1608"/>
      <c r="AC837" s="1608"/>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608">
        <f>73750+137500</f>
        <v>211250</v>
      </c>
      <c r="X838" s="1608"/>
      <c r="Y838" s="1608"/>
      <c r="Z838" s="1608"/>
      <c r="AA838" s="1608"/>
      <c r="AB838" s="1608"/>
      <c r="AC838" s="160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295625</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7.5000000000000011E-2</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631">
        <v>52000</v>
      </c>
      <c r="X841" s="1632"/>
      <c r="Y841" s="1632"/>
      <c r="Z841" s="1632"/>
      <c r="AA841" s="1632"/>
      <c r="AB841" s="1632"/>
      <c r="AC841" s="1633"/>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1837</v>
      </c>
      <c r="K842" s="5"/>
      <c r="L842" s="5"/>
      <c r="M842" s="5"/>
      <c r="N842" s="5"/>
      <c r="O842" s="5"/>
      <c r="P842" s="5"/>
      <c r="Q842" s="5"/>
      <c r="R842" s="5"/>
      <c r="S842" s="5"/>
      <c r="T842" s="1682"/>
      <c r="U842" s="1530"/>
      <c r="V842" s="168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631">
        <f>52000+43680</f>
        <v>95680</v>
      </c>
      <c r="X843" s="1632"/>
      <c r="Y843" s="1632"/>
      <c r="Z843" s="1632"/>
      <c r="AA843" s="1632"/>
      <c r="AB843" s="1632"/>
      <c r="AC843" s="163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1838</v>
      </c>
      <c r="K844" s="5"/>
      <c r="L844" s="5"/>
      <c r="M844" s="5"/>
      <c r="N844" s="5"/>
      <c r="O844" s="5"/>
      <c r="P844" s="5"/>
      <c r="Q844" s="5"/>
      <c r="R844" s="5"/>
      <c r="S844" s="5"/>
      <c r="T844" s="1682"/>
      <c r="U844" s="1530"/>
      <c r="V844" s="168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605" t="s">
        <v>2752</v>
      </c>
      <c r="N845" s="1606"/>
      <c r="O845" s="1606"/>
      <c r="P845" s="1606"/>
      <c r="Q845" s="1606"/>
      <c r="R845" s="1606"/>
      <c r="S845" s="1606"/>
      <c r="T845" s="1606"/>
      <c r="U845" s="1606"/>
      <c r="V845" s="1607"/>
      <c r="W845" s="1631">
        <v>79055</v>
      </c>
      <c r="X845" s="1632"/>
      <c r="Y845" s="1632"/>
      <c r="Z845" s="1632"/>
      <c r="AA845" s="1632"/>
      <c r="AB845" s="1632"/>
      <c r="AC845" s="163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640">
        <f>SUM(W841:AC845)</f>
        <v>226735</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31">
        <v>58877</v>
      </c>
      <c r="X847" s="1632"/>
      <c r="Y847" s="1632"/>
      <c r="Z847" s="1632"/>
      <c r="AA847" s="1632"/>
      <c r="AB847" s="1632"/>
      <c r="AC847" s="163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611">
        <v>9500</v>
      </c>
      <c r="X849" s="1611"/>
      <c r="Y849" s="1611"/>
      <c r="Z849" s="1611"/>
      <c r="AA849" s="1611"/>
      <c r="AB849" s="1611"/>
      <c r="AC849" s="161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611">
        <v>62670</v>
      </c>
      <c r="X850" s="1611"/>
      <c r="Y850" s="1611"/>
      <c r="Z850" s="1611"/>
      <c r="AA850" s="1611"/>
      <c r="AB850" s="1611"/>
      <c r="AC850" s="161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611">
        <v>49896</v>
      </c>
      <c r="X851" s="1611"/>
      <c r="Y851" s="1611"/>
      <c r="Z851" s="1611"/>
      <c r="AA851" s="1611"/>
      <c r="AB851" s="1611"/>
      <c r="AC851" s="161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611">
        <v>15500</v>
      </c>
      <c r="X852" s="1611"/>
      <c r="Y852" s="1611"/>
      <c r="Z852" s="1611"/>
      <c r="AA852" s="1611"/>
      <c r="AB852" s="1611"/>
      <c r="AC852" s="161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611">
        <v>63391</v>
      </c>
      <c r="X853" s="1611"/>
      <c r="Y853" s="1611"/>
      <c r="Z853" s="1611"/>
      <c r="AA853" s="1611"/>
      <c r="AB853" s="1611"/>
      <c r="AC853" s="161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611"/>
      <c r="X854" s="1611"/>
      <c r="Y854" s="1611"/>
      <c r="Z854" s="1611"/>
      <c r="AA854" s="1611"/>
      <c r="AB854" s="1611"/>
      <c r="AC854" s="161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605" t="s">
        <v>2753</v>
      </c>
      <c r="N855" s="1606"/>
      <c r="O855" s="1606"/>
      <c r="P855" s="1606"/>
      <c r="Q855" s="1606"/>
      <c r="R855" s="1606"/>
      <c r="S855" s="1606"/>
      <c r="T855" s="1606"/>
      <c r="U855" s="1606"/>
      <c r="V855" s="1607"/>
      <c r="W855" s="1611">
        <f>30049+7189</f>
        <v>37238</v>
      </c>
      <c r="X855" s="1611"/>
      <c r="Y855" s="1611"/>
      <c r="Z855" s="1611"/>
      <c r="AA855" s="1611"/>
      <c r="AB855" s="1611"/>
      <c r="AC855" s="161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38">
        <f>SUM(W849:AC855)</f>
        <v>238195</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605" t="s">
        <v>2754</v>
      </c>
      <c r="N858" s="1606"/>
      <c r="O858" s="1606"/>
      <c r="P858" s="1606"/>
      <c r="Q858" s="1606"/>
      <c r="R858" s="1606"/>
      <c r="S858" s="1606"/>
      <c r="T858" s="1606"/>
      <c r="U858" s="1606"/>
      <c r="V858" s="1607"/>
      <c r="W858" s="1599">
        <v>21951</v>
      </c>
      <c r="X858" s="1600"/>
      <c r="Y858" s="1600"/>
      <c r="Z858" s="1600"/>
      <c r="AA858" s="1600"/>
      <c r="AB858" s="1600"/>
      <c r="AC858" s="160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605" t="s">
        <v>156</v>
      </c>
      <c r="N859" s="1606"/>
      <c r="O859" s="1606"/>
      <c r="P859" s="1606"/>
      <c r="Q859" s="1606"/>
      <c r="R859" s="1606"/>
      <c r="S859" s="1606"/>
      <c r="T859" s="1606"/>
      <c r="U859" s="1606"/>
      <c r="V859" s="1607"/>
      <c r="W859" s="1599">
        <v>58244</v>
      </c>
      <c r="X859" s="1600"/>
      <c r="Y859" s="1600"/>
      <c r="Z859" s="1600"/>
      <c r="AA859" s="1600"/>
      <c r="AB859" s="1600"/>
      <c r="AC859" s="160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605" t="s">
        <v>336</v>
      </c>
      <c r="N860" s="1606"/>
      <c r="O860" s="1606"/>
      <c r="P860" s="1606"/>
      <c r="Q860" s="1606"/>
      <c r="R860" s="1606"/>
      <c r="S860" s="1606"/>
      <c r="T860" s="1606"/>
      <c r="U860" s="1606"/>
      <c r="V860" s="1607"/>
      <c r="W860" s="1599"/>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605" t="s">
        <v>336</v>
      </c>
      <c r="N861" s="1606"/>
      <c r="O861" s="1606"/>
      <c r="P861" s="1606"/>
      <c r="Q861" s="1606"/>
      <c r="R861" s="1606"/>
      <c r="S861" s="1606"/>
      <c r="T861" s="1606"/>
      <c r="U861" s="1606"/>
      <c r="V861" s="1607"/>
      <c r="W861" s="1599"/>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605" t="s">
        <v>336</v>
      </c>
      <c r="N862" s="1606"/>
      <c r="O862" s="1606"/>
      <c r="P862" s="1606"/>
      <c r="Q862" s="1606"/>
      <c r="R862" s="1606"/>
      <c r="S862" s="1606"/>
      <c r="T862" s="1606"/>
      <c r="U862" s="1606"/>
      <c r="V862" s="1607"/>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515">
        <f>SUM(W858:AC862)</f>
        <v>80195</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1158152</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0">
        <f>O782+O762+G739</f>
        <v>125</v>
      </c>
      <c r="AD868" s="1680"/>
      <c r="AE868" s="1680"/>
      <c r="AF868" s="1680"/>
      <c r="AG868" s="1680"/>
      <c r="AH868" s="168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78" t="s">
        <v>32</v>
      </c>
      <c r="F869" s="1678"/>
      <c r="G869" s="1678"/>
      <c r="H869" s="1678"/>
      <c r="I869" s="1678"/>
      <c r="J869" s="1678"/>
      <c r="K869" s="1678"/>
      <c r="L869" s="1678"/>
      <c r="M869" s="1678"/>
      <c r="N869" s="1678"/>
      <c r="O869" s="1678"/>
      <c r="P869" s="1678"/>
      <c r="Q869" s="1678"/>
      <c r="R869" s="1678"/>
      <c r="S869" s="1678"/>
      <c r="T869" s="1678"/>
      <c r="U869" s="1678"/>
      <c r="V869" s="1678"/>
      <c r="W869" s="1678"/>
      <c r="X869" s="1678"/>
      <c r="Y869" s="1678"/>
      <c r="Z869" s="1678"/>
      <c r="AA869" s="1678"/>
      <c r="AB869" s="1679"/>
      <c r="AC869" s="1638">
        <f>IF(ISERROR((ROUNDDOWN(AC867/AC868,0))),0,(ROUNDDOWN(AC867/AC868,0)))</f>
        <v>9265</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09">
        <v>923694</v>
      </c>
      <c r="AD870" s="1610"/>
      <c r="AE870" s="1610"/>
      <c r="AF870" s="1610"/>
      <c r="AG870" s="1610"/>
      <c r="AH870" s="161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1"/>
      <c r="AD871" s="1611"/>
      <c r="AE871" s="1611"/>
      <c r="AF871" s="1611"/>
      <c r="AG871" s="1611"/>
      <c r="AH871" s="161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0">
        <v>125680</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37500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8"/>
      <c r="AD874" s="1579"/>
      <c r="AE874" s="1579"/>
      <c r="AF874" s="1579"/>
      <c r="AG874" s="1579"/>
      <c r="AH874" s="15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v>0</v>
      </c>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0">
        <v>214000</v>
      </c>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627" t="s">
        <v>997</v>
      </c>
      <c r="D877" s="1628"/>
      <c r="E877" s="1628"/>
      <c r="F877" s="1628"/>
      <c r="G877" s="1628"/>
      <c r="H877" s="1628"/>
      <c r="I877" s="1628"/>
      <c r="J877" s="1628"/>
      <c r="K877" s="1628"/>
      <c r="L877" s="1628"/>
      <c r="M877" s="1628"/>
      <c r="N877" s="1628"/>
      <c r="O877" s="1628"/>
      <c r="P877" s="1628"/>
      <c r="Q877" s="1628"/>
      <c r="R877" s="1628"/>
      <c r="S877" s="1628"/>
      <c r="T877" s="1628"/>
      <c r="U877" s="1628"/>
      <c r="V877" s="1628"/>
      <c r="W877" s="1628"/>
      <c r="X877" s="1628"/>
      <c r="Y877" s="1628"/>
      <c r="Z877" s="1628"/>
      <c r="AA877" s="1628"/>
      <c r="AB877" s="1629"/>
      <c r="AC877" s="1611"/>
      <c r="AD877" s="1611"/>
      <c r="AE877" s="1611"/>
      <c r="AF877" s="1611"/>
      <c r="AG877" s="1611"/>
      <c r="AH877" s="161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627" t="s">
        <v>997</v>
      </c>
      <c r="D878" s="1628"/>
      <c r="E878" s="1628"/>
      <c r="F878" s="1628"/>
      <c r="G878" s="1628"/>
      <c r="H878" s="1628"/>
      <c r="I878" s="1628"/>
      <c r="J878" s="1628"/>
      <c r="K878" s="1628"/>
      <c r="L878" s="1628"/>
      <c r="M878" s="1628"/>
      <c r="N878" s="1628"/>
      <c r="O878" s="1628"/>
      <c r="P878" s="1628"/>
      <c r="Q878" s="1628"/>
      <c r="R878" s="1628"/>
      <c r="S878" s="1628"/>
      <c r="T878" s="1628"/>
      <c r="U878" s="1628"/>
      <c r="V878" s="1628"/>
      <c r="W878" s="1628"/>
      <c r="X878" s="1628"/>
      <c r="Y878" s="1628"/>
      <c r="Z878" s="1628"/>
      <c r="AA878" s="1628"/>
      <c r="AB878" s="1629"/>
      <c r="AC878" s="1611"/>
      <c r="AD878" s="1611"/>
      <c r="AE878" s="1611"/>
      <c r="AF878" s="1611"/>
      <c r="AG878" s="1611"/>
      <c r="AH878" s="161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599"/>
      <c r="AA882" s="1600"/>
      <c r="AB882" s="1600"/>
      <c r="AC882" s="1600"/>
      <c r="AD882" s="1600"/>
      <c r="AE882" s="160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599"/>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599"/>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5"/>
      <c r="BE887" s="162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5"/>
      <c r="BE888" s="162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625"/>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24"/>
      <c r="BE893" s="1624"/>
      <c r="BF893" s="16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5"/>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805" t="s">
        <v>817</v>
      </c>
      <c r="G898" s="1806"/>
      <c r="H898" s="1806"/>
      <c r="I898" s="1806"/>
      <c r="J898" s="1806"/>
      <c r="K898" s="1806"/>
      <c r="L898" s="1806"/>
      <c r="M898" s="1806"/>
      <c r="N898" s="1806"/>
      <c r="O898" s="1806"/>
      <c r="P898" s="1806"/>
      <c r="Q898" s="1806"/>
      <c r="R898" s="1806"/>
      <c r="S898" s="1806"/>
      <c r="T898" s="1807"/>
      <c r="U898" s="1801" t="s">
        <v>31</v>
      </c>
      <c r="V898" s="1582"/>
      <c r="W898" s="1582"/>
      <c r="X898" s="1582"/>
      <c r="Y898" s="1582"/>
      <c r="Z898" s="1582"/>
      <c r="AA898" s="43"/>
      <c r="AB898" s="105"/>
      <c r="AC898" s="105"/>
      <c r="AD898" s="105"/>
      <c r="AE898" s="105"/>
      <c r="AF898" s="106"/>
      <c r="AZ898" s="34"/>
      <c r="BA898" s="34"/>
      <c r="BB898" s="30"/>
      <c r="BC898" s="30"/>
      <c r="BD898" s="1625"/>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659" t="s">
        <v>845</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662"/>
      <c r="G900" s="1584"/>
      <c r="H900" s="1584"/>
      <c r="I900" s="1584"/>
      <c r="J900" s="1584"/>
      <c r="K900" s="1584"/>
      <c r="L900" s="1584"/>
      <c r="M900" s="1584"/>
      <c r="N900" s="1584"/>
      <c r="O900" s="1584"/>
      <c r="P900" s="1584"/>
      <c r="Q900" s="1584"/>
      <c r="R900" s="1584"/>
      <c r="S900" s="1584"/>
      <c r="T900" s="1585"/>
      <c r="U900" s="1662"/>
      <c r="V900" s="1584"/>
      <c r="W900" s="1584"/>
      <c r="X900" s="1584"/>
      <c r="Y900" s="1584"/>
      <c r="Z900" s="1584"/>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648" t="s">
        <v>555</v>
      </c>
      <c r="V901" s="1355"/>
      <c r="W901" s="1355"/>
      <c r="X901" s="1355"/>
      <c r="Y901" s="1355"/>
      <c r="Z901" s="1356"/>
      <c r="AA901" s="1644">
        <v>68245298</v>
      </c>
      <c r="AB901" s="1439"/>
      <c r="AC901" s="1439"/>
      <c r="AD901" s="1439"/>
      <c r="AE901" s="1439"/>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648" t="s">
        <v>555</v>
      </c>
      <c r="V902" s="1355"/>
      <c r="W902" s="1355"/>
      <c r="X902" s="1355"/>
      <c r="Y902" s="1355"/>
      <c r="Z902" s="1356"/>
      <c r="AA902" s="1644">
        <v>23246075</v>
      </c>
      <c r="AB902" s="1439"/>
      <c r="AC902" s="1439"/>
      <c r="AD902" s="1439"/>
      <c r="AE902" s="1439"/>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648" t="s">
        <v>601</v>
      </c>
      <c r="V903" s="1355"/>
      <c r="W903" s="1355"/>
      <c r="X903" s="1355"/>
      <c r="Y903" s="1355"/>
      <c r="Z903" s="1356"/>
      <c r="AA903" s="1644"/>
      <c r="AB903" s="1439"/>
      <c r="AC903" s="1439"/>
      <c r="AD903" s="1439"/>
      <c r="AE903" s="1439"/>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648" t="s">
        <v>601</v>
      </c>
      <c r="V904" s="1355"/>
      <c r="W904" s="1355"/>
      <c r="X904" s="1355"/>
      <c r="Y904" s="1355"/>
      <c r="Z904" s="1356"/>
      <c r="AA904" s="1644"/>
      <c r="AB904" s="1439"/>
      <c r="AC904" s="1439"/>
      <c r="AD904" s="1439"/>
      <c r="AE904" s="1439"/>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648" t="s">
        <v>601</v>
      </c>
      <c r="V905" s="1355"/>
      <c r="W905" s="1355"/>
      <c r="X905" s="1355"/>
      <c r="Y905" s="1355"/>
      <c r="Z905" s="1356"/>
      <c r="AA905" s="1644"/>
      <c r="AB905" s="1439"/>
      <c r="AC905" s="1439"/>
      <c r="AD905" s="1439"/>
      <c r="AE905" s="1439"/>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648" t="s">
        <v>601</v>
      </c>
      <c r="V906" s="1355"/>
      <c r="W906" s="1355"/>
      <c r="X906" s="1355"/>
      <c r="Y906" s="1355"/>
      <c r="Z906" s="1356"/>
      <c r="AA906" s="1644"/>
      <c r="AB906" s="1439"/>
      <c r="AC906" s="1439"/>
      <c r="AD906" s="1439"/>
      <c r="AE906" s="1439"/>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648" t="s">
        <v>601</v>
      </c>
      <c r="V907" s="1355"/>
      <c r="W907" s="1355"/>
      <c r="X907" s="1355"/>
      <c r="Y907" s="1355"/>
      <c r="Z907" s="1356"/>
      <c r="AA907" s="1644"/>
      <c r="AB907" s="1439"/>
      <c r="AC907" s="1439"/>
      <c r="AD907" s="1439"/>
      <c r="AE907" s="1439"/>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648" t="s">
        <v>601</v>
      </c>
      <c r="V908" s="1355"/>
      <c r="W908" s="1355"/>
      <c r="X908" s="1355"/>
      <c r="Y908" s="1355"/>
      <c r="Z908" s="1356"/>
      <c r="AA908" s="1644"/>
      <c r="AB908" s="1439"/>
      <c r="AC908" s="1439"/>
      <c r="AD908" s="1439"/>
      <c r="AE908" s="1439"/>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648" t="s">
        <v>601</v>
      </c>
      <c r="V909" s="1355"/>
      <c r="W909" s="1355"/>
      <c r="X909" s="1355"/>
      <c r="Y909" s="1355"/>
      <c r="Z909" s="1356"/>
      <c r="AA909" s="1644"/>
      <c r="AB909" s="1439"/>
      <c r="AC909" s="1439"/>
      <c r="AD909" s="1439"/>
      <c r="AE909" s="1439"/>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648" t="s">
        <v>601</v>
      </c>
      <c r="V910" s="1355"/>
      <c r="W910" s="1355"/>
      <c r="X910" s="1355"/>
      <c r="Y910" s="1355"/>
      <c r="Z910" s="1356"/>
      <c r="AA910" s="1644"/>
      <c r="AB910" s="1439"/>
      <c r="AC910" s="1439"/>
      <c r="AD910" s="1439"/>
      <c r="AE910" s="1439"/>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1437</v>
      </c>
      <c r="G911" s="5"/>
      <c r="H911" s="5"/>
      <c r="I911" s="5"/>
      <c r="J911" s="5"/>
      <c r="K911" s="5"/>
      <c r="L911" s="5"/>
      <c r="M911" s="5"/>
      <c r="N911" s="5"/>
      <c r="O911" s="5"/>
      <c r="P911" s="5"/>
      <c r="Q911" s="5"/>
      <c r="R911" s="5"/>
      <c r="S911" s="5"/>
      <c r="T911" s="46"/>
      <c r="U911" s="1648" t="s">
        <v>601</v>
      </c>
      <c r="V911" s="1355"/>
      <c r="W911" s="1355"/>
      <c r="X911" s="1355"/>
      <c r="Y911" s="1355"/>
      <c r="Z911" s="1356"/>
      <c r="AA911" s="1644"/>
      <c r="AB911" s="1439"/>
      <c r="AC911" s="1439"/>
      <c r="AD911" s="1439"/>
      <c r="AE911" s="1439"/>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648" t="s">
        <v>601</v>
      </c>
      <c r="V912" s="1355"/>
      <c r="W912" s="1355"/>
      <c r="X912" s="1355"/>
      <c r="Y912" s="1355"/>
      <c r="Z912" s="1356"/>
      <c r="AA912" s="1644"/>
      <c r="AB912" s="1439"/>
      <c r="AC912" s="1439"/>
      <c r="AD912" s="1439"/>
      <c r="AE912" s="1439"/>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648" t="s">
        <v>601</v>
      </c>
      <c r="V913" s="1355"/>
      <c r="W913" s="1355"/>
      <c r="X913" s="1355"/>
      <c r="Y913" s="1355"/>
      <c r="Z913" s="1356"/>
      <c r="AA913" s="1644"/>
      <c r="AB913" s="1439"/>
      <c r="AC913" s="1439"/>
      <c r="AD913" s="1439"/>
      <c r="AE913" s="1439"/>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648" t="s">
        <v>601</v>
      </c>
      <c r="V914" s="1355"/>
      <c r="W914" s="1355"/>
      <c r="X914" s="1355"/>
      <c r="Y914" s="1355"/>
      <c r="Z914" s="1356"/>
      <c r="AA914" s="1644"/>
      <c r="AB914" s="1439"/>
      <c r="AC914" s="1439"/>
      <c r="AD914" s="1439"/>
      <c r="AE914" s="1439"/>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648" t="s">
        <v>601</v>
      </c>
      <c r="V915" s="1355"/>
      <c r="W915" s="1355"/>
      <c r="X915" s="1355"/>
      <c r="Y915" s="1355"/>
      <c r="Z915" s="1356"/>
      <c r="AA915" s="1644"/>
      <c r="AB915" s="1439"/>
      <c r="AC915" s="1439"/>
      <c r="AD915" s="1439"/>
      <c r="AE915" s="1439"/>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648" t="s">
        <v>679</v>
      </c>
      <c r="Q916" s="1355"/>
      <c r="R916" s="1355"/>
      <c r="S916" s="1355"/>
      <c r="T916" s="1356"/>
      <c r="U916" s="1648" t="s">
        <v>601</v>
      </c>
      <c r="V916" s="1355"/>
      <c r="W916" s="1355"/>
      <c r="X916" s="1355"/>
      <c r="Y916" s="1355"/>
      <c r="Z916" s="1356"/>
      <c r="AA916" s="1644"/>
      <c r="AB916" s="1439"/>
      <c r="AC916" s="1439"/>
      <c r="AD916" s="1439"/>
      <c r="AE916" s="1439"/>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605" t="s">
        <v>336</v>
      </c>
      <c r="J917" s="1606"/>
      <c r="K917" s="1606"/>
      <c r="L917" s="1606"/>
      <c r="M917" s="1606"/>
      <c r="N917" s="1606"/>
      <c r="O917" s="1606"/>
      <c r="P917" s="1606"/>
      <c r="Q917" s="1606"/>
      <c r="R917" s="1606"/>
      <c r="S917" s="1606"/>
      <c r="T917" s="1607"/>
      <c r="U917" s="1648" t="s">
        <v>601</v>
      </c>
      <c r="V917" s="1355"/>
      <c r="W917" s="1355"/>
      <c r="X917" s="1355"/>
      <c r="Y917" s="1355"/>
      <c r="Z917" s="1356"/>
      <c r="AA917" s="1644"/>
      <c r="AB917" s="1439"/>
      <c r="AC917" s="1439"/>
      <c r="AD917" s="1439"/>
      <c r="AE917" s="1439"/>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656" t="s">
        <v>2744</v>
      </c>
      <c r="J918" s="1657"/>
      <c r="K918" s="1657"/>
      <c r="L918" s="1657"/>
      <c r="M918" s="1657"/>
      <c r="N918" s="1657"/>
      <c r="O918" s="1657"/>
      <c r="P918" s="1657"/>
      <c r="Q918" s="1657"/>
      <c r="R918" s="1657"/>
      <c r="S918" s="1657"/>
      <c r="T918" s="1658"/>
      <c r="U918" s="1648" t="s">
        <v>601</v>
      </c>
      <c r="V918" s="1355"/>
      <c r="W918" s="1355"/>
      <c r="X918" s="1355"/>
      <c r="Y918" s="1355"/>
      <c r="Z918" s="1356"/>
      <c r="AA918" s="1644">
        <v>13900000</v>
      </c>
      <c r="AB918" s="1439"/>
      <c r="AC918" s="1439"/>
      <c r="AD918" s="1439"/>
      <c r="AE918" s="1439"/>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656" t="s">
        <v>2746</v>
      </c>
      <c r="J919" s="1657"/>
      <c r="K919" s="1657"/>
      <c r="L919" s="1657"/>
      <c r="M919" s="1657"/>
      <c r="N919" s="1657"/>
      <c r="O919" s="1657"/>
      <c r="P919" s="1657"/>
      <c r="Q919" s="1657"/>
      <c r="R919" s="1657"/>
      <c r="S919" s="1657"/>
      <c r="T919" s="1658"/>
      <c r="U919" s="1648" t="s">
        <v>601</v>
      </c>
      <c r="V919" s="1355"/>
      <c r="W919" s="1355"/>
      <c r="X919" s="1355"/>
      <c r="Y919" s="1355"/>
      <c r="Z919" s="1356"/>
      <c r="AA919" s="1644">
        <v>2500000</v>
      </c>
      <c r="AB919" s="1439"/>
      <c r="AC919" s="1439"/>
      <c r="AD919" s="1439"/>
      <c r="AE919" s="1439"/>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656" t="s">
        <v>336</v>
      </c>
      <c r="J920" s="1657"/>
      <c r="K920" s="1657"/>
      <c r="L920" s="1657"/>
      <c r="M920" s="1657"/>
      <c r="N920" s="1657"/>
      <c r="O920" s="1657"/>
      <c r="P920" s="1657"/>
      <c r="Q920" s="1657"/>
      <c r="R920" s="1657"/>
      <c r="S920" s="1657"/>
      <c r="T920" s="1658"/>
      <c r="U920" s="1648" t="s">
        <v>601</v>
      </c>
      <c r="V920" s="1355"/>
      <c r="W920" s="1355"/>
      <c r="X920" s="1355"/>
      <c r="Y920" s="1355"/>
      <c r="Z920" s="1356"/>
      <c r="AA920" s="1644"/>
      <c r="AB920" s="1439"/>
      <c r="AC920" s="1439"/>
      <c r="AD920" s="1439"/>
      <c r="AE920" s="1439"/>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55">
        <v>44960</v>
      </c>
      <c r="N925" s="1588"/>
      <c r="O925" s="1588"/>
      <c r="P925" s="1588"/>
      <c r="Q925" s="1588"/>
      <c r="R925" s="1588"/>
      <c r="S925" s="1618"/>
      <c r="U925" s="66" t="s">
        <v>11</v>
      </c>
      <c r="V925" s="5"/>
      <c r="W925" s="5"/>
      <c r="X925" s="5"/>
      <c r="Y925" s="5"/>
      <c r="Z925" s="5"/>
      <c r="AA925" s="5"/>
      <c r="AB925" s="5"/>
      <c r="AC925" s="5"/>
      <c r="AD925" s="46"/>
      <c r="AE925" s="1655">
        <v>44960</v>
      </c>
      <c r="AF925" s="1588"/>
      <c r="AG925" s="1588"/>
      <c r="AH925" s="1588"/>
      <c r="AI925" s="1588"/>
      <c r="AJ925" s="1588"/>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46" t="s">
        <v>2755</v>
      </c>
      <c r="N926" s="1462"/>
      <c r="O926" s="1462"/>
      <c r="P926" s="1462"/>
      <c r="Q926" s="1462"/>
      <c r="R926" s="1462"/>
      <c r="S926" s="1647"/>
      <c r="U926" s="66" t="s">
        <v>12</v>
      </c>
      <c r="V926" s="5"/>
      <c r="W926" s="5"/>
      <c r="X926" s="5"/>
      <c r="Y926" s="5"/>
      <c r="Z926" s="5"/>
      <c r="AA926" s="5"/>
      <c r="AB926" s="5"/>
      <c r="AC926" s="5"/>
      <c r="AD926" s="46"/>
      <c r="AE926" s="1646" t="s">
        <v>2756</v>
      </c>
      <c r="AF926" s="1462"/>
      <c r="AG926" s="1462"/>
      <c r="AH926" s="1462"/>
      <c r="AI926" s="1462"/>
      <c r="AJ926" s="1462"/>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649" t="s">
        <v>309</v>
      </c>
      <c r="K927" s="1650"/>
      <c r="L927" s="1650"/>
      <c r="M927" s="1650"/>
      <c r="N927" s="1650"/>
      <c r="O927" s="1650"/>
      <c r="P927" s="1650"/>
      <c r="Q927" s="1650"/>
      <c r="R927" s="1650"/>
      <c r="S927" s="1651"/>
      <c r="U927" s="66" t="s">
        <v>910</v>
      </c>
      <c r="V927" s="5"/>
      <c r="W927" s="5"/>
      <c r="AB927" s="1649" t="s">
        <v>2757</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809">
        <v>0.16</v>
      </c>
      <c r="N928" s="1666"/>
      <c r="O928" s="1666"/>
      <c r="P928" s="1666"/>
      <c r="Q928" s="1666"/>
      <c r="R928" s="1666"/>
      <c r="S928" s="1667"/>
      <c r="U928" s="66" t="s">
        <v>13</v>
      </c>
      <c r="V928" s="5"/>
      <c r="W928" s="5"/>
      <c r="X928" s="5"/>
      <c r="Y928" s="5"/>
      <c r="Z928" s="5"/>
      <c r="AA928" s="5"/>
      <c r="AB928" s="5"/>
      <c r="AC928" s="5"/>
      <c r="AD928" s="46"/>
      <c r="AE928" s="1665">
        <v>0.33600000000000002</v>
      </c>
      <c r="AF928" s="1666"/>
      <c r="AG928" s="1666"/>
      <c r="AH928" s="1666"/>
      <c r="AI928" s="1666"/>
      <c r="AJ928" s="1666"/>
      <c r="AK928" s="166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668">
        <v>20</v>
      </c>
      <c r="N929" s="1622"/>
      <c r="O929" s="1622"/>
      <c r="P929" s="1622"/>
      <c r="Q929" s="1622"/>
      <c r="R929" s="1622"/>
      <c r="S929" s="1623"/>
      <c r="U929" s="66" t="s">
        <v>14</v>
      </c>
      <c r="V929" s="5"/>
      <c r="W929" s="5"/>
      <c r="X929" s="5"/>
      <c r="Y929" s="5"/>
      <c r="Z929" s="5"/>
      <c r="AA929" s="5"/>
      <c r="AB929" s="5"/>
      <c r="AC929" s="5"/>
      <c r="AD929" s="46"/>
      <c r="AE929" s="1668">
        <v>42</v>
      </c>
      <c r="AF929" s="1622"/>
      <c r="AG929" s="1622"/>
      <c r="AH929" s="1622"/>
      <c r="AI929" s="1622"/>
      <c r="AJ929" s="1622"/>
      <c r="AK929" s="162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644">
        <f>24695*12</f>
        <v>296340</v>
      </c>
      <c r="N930" s="1439"/>
      <c r="O930" s="1439"/>
      <c r="P930" s="1439"/>
      <c r="Q930" s="1439"/>
      <c r="R930" s="1439"/>
      <c r="S930" s="1645"/>
      <c r="U930" s="66" t="s">
        <v>15</v>
      </c>
      <c r="V930" s="5"/>
      <c r="W930" s="5"/>
      <c r="X930" s="5"/>
      <c r="Y930" s="5"/>
      <c r="Z930" s="5"/>
      <c r="AA930" s="5"/>
      <c r="AB930" s="5"/>
      <c r="AC930" s="5"/>
      <c r="AD930" s="46"/>
      <c r="AE930" s="1644">
        <f>104123*12</f>
        <v>1249476</v>
      </c>
      <c r="AF930" s="1439"/>
      <c r="AG930" s="1439"/>
      <c r="AH930" s="1439"/>
      <c r="AI930" s="1439"/>
      <c r="AJ930" s="1439"/>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644">
        <f>+M930*M932</f>
        <v>5926800</v>
      </c>
      <c r="N931" s="1439"/>
      <c r="O931" s="1439"/>
      <c r="P931" s="1439"/>
      <c r="Q931" s="1439"/>
      <c r="R931" s="1439"/>
      <c r="S931" s="1645"/>
      <c r="U931" s="66" t="s">
        <v>16</v>
      </c>
      <c r="V931" s="5"/>
      <c r="W931" s="5"/>
      <c r="X931" s="5"/>
      <c r="Y931" s="5"/>
      <c r="Z931" s="5"/>
      <c r="AA931" s="5"/>
      <c r="AB931" s="5"/>
      <c r="AC931" s="5"/>
      <c r="AD931" s="46"/>
      <c r="AE931" s="1644">
        <f>AE930*AE932</f>
        <v>24989520</v>
      </c>
      <c r="AF931" s="1439"/>
      <c r="AG931" s="1439"/>
      <c r="AH931" s="1439"/>
      <c r="AI931" s="1439"/>
      <c r="AJ931" s="1439"/>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1844</v>
      </c>
      <c r="D932" s="5"/>
      <c r="E932" s="5"/>
      <c r="F932" s="5"/>
      <c r="G932" s="5"/>
      <c r="H932" s="5"/>
      <c r="I932" s="5"/>
      <c r="J932" s="5"/>
      <c r="K932" s="5"/>
      <c r="L932" s="46"/>
      <c r="M932" s="1663">
        <v>20</v>
      </c>
      <c r="N932" s="1589"/>
      <c r="O932" s="1589"/>
      <c r="P932" s="1589"/>
      <c r="Q932" s="1589"/>
      <c r="R932" s="1589"/>
      <c r="S932" s="1664"/>
      <c r="U932" s="121" t="s">
        <v>1844</v>
      </c>
      <c r="V932" s="5"/>
      <c r="W932" s="5"/>
      <c r="X932" s="5"/>
      <c r="Y932" s="5"/>
      <c r="Z932" s="5"/>
      <c r="AA932" s="5"/>
      <c r="AB932" s="5"/>
      <c r="AC932" s="5"/>
      <c r="AD932" s="46"/>
      <c r="AE932" s="1663">
        <v>20</v>
      </c>
      <c r="AF932" s="1589"/>
      <c r="AG932" s="1589"/>
      <c r="AH932" s="1589"/>
      <c r="AI932" s="1589"/>
      <c r="AJ932" s="1589"/>
      <c r="AK932" s="166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685" t="s">
        <v>601</v>
      </c>
      <c r="N939" s="1686"/>
      <c r="O939" s="1686"/>
      <c r="P939" s="1686"/>
      <c r="Q939" s="1686"/>
      <c r="R939" s="1686"/>
      <c r="S939" s="1687"/>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672" t="s">
        <v>309</v>
      </c>
      <c r="N942" s="1673"/>
      <c r="O942" s="1673"/>
      <c r="P942" s="1673"/>
      <c r="Q942" s="1673"/>
      <c r="R942" s="1673"/>
      <c r="S942" s="1674"/>
      <c r="T942" s="1652"/>
      <c r="U942" s="1653"/>
      <c r="V942" s="1653"/>
      <c r="W942" s="1653"/>
      <c r="X942" s="1653"/>
      <c r="Y942" s="1653"/>
      <c r="Z942" s="1654"/>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634"/>
      <c r="N943" s="1635"/>
      <c r="O943" s="1635"/>
      <c r="P943" s="1635"/>
      <c r="Q943" s="1635"/>
      <c r="R943" s="1635"/>
      <c r="S943" s="1636"/>
      <c r="T943" s="1652"/>
      <c r="U943" s="1653"/>
      <c r="V943" s="1653"/>
      <c r="W943" s="1653"/>
      <c r="X943" s="1653"/>
      <c r="Y943" s="1653"/>
      <c r="Z943" s="1654"/>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366" t="s">
        <v>679</v>
      </c>
      <c r="P944" s="1368"/>
      <c r="Q944" s="92"/>
      <c r="R944" s="92"/>
      <c r="S944" s="93"/>
      <c r="T944" s="41" t="s">
        <v>171</v>
      </c>
      <c r="U944" s="42"/>
      <c r="V944" s="42"/>
      <c r="W944" s="1669" t="s">
        <v>336</v>
      </c>
      <c r="X944" s="1670"/>
      <c r="Y944" s="1670"/>
      <c r="Z944" s="1670"/>
      <c r="AA944" s="1670"/>
      <c r="AB944" s="1670"/>
      <c r="AC944" s="1670"/>
      <c r="AD944" s="1670"/>
      <c r="AE944" s="1670"/>
      <c r="AF944" s="1670"/>
      <c r="AG944" s="167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6" t="s">
        <v>33</v>
      </c>
      <c r="G945" s="1510"/>
      <c r="H945" s="1510"/>
      <c r="I945" s="1510"/>
      <c r="J945" s="1510"/>
      <c r="K945" s="1510"/>
      <c r="L945" s="1510"/>
      <c r="M945" s="1634"/>
      <c r="N945" s="1635"/>
      <c r="O945" s="1635"/>
      <c r="P945" s="1635"/>
      <c r="Q945" s="1635"/>
      <c r="R945" s="1635"/>
      <c r="S945" s="1636"/>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808" t="s">
        <v>558</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795" t="s">
        <v>648</v>
      </c>
      <c r="E954" s="1796"/>
      <c r="F954" s="1796"/>
      <c r="G954" s="1796"/>
      <c r="H954" s="1796"/>
      <c r="I954" s="1796"/>
      <c r="J954" s="1796"/>
      <c r="K954" s="1796"/>
      <c r="L954" s="1796"/>
      <c r="M954" s="1796"/>
      <c r="N954" s="1796"/>
      <c r="O954" s="1796"/>
      <c r="P954" s="1796"/>
      <c r="Q954" s="1797"/>
      <c r="R954" s="1795" t="s">
        <v>649</v>
      </c>
      <c r="S954" s="1796"/>
      <c r="T954" s="1796"/>
      <c r="U954" s="1796"/>
      <c r="V954" s="1796"/>
      <c r="W954" s="1796"/>
      <c r="X954" s="1796"/>
      <c r="Y954" s="1796"/>
      <c r="Z954" s="1796"/>
      <c r="AA954" s="1797"/>
      <c r="AB954" s="1795" t="s">
        <v>650</v>
      </c>
      <c r="AC954" s="1796"/>
      <c r="AD954" s="1796"/>
      <c r="AE954" s="1796"/>
      <c r="AF954" s="1796"/>
      <c r="AG954" s="1796"/>
      <c r="AH954" s="1796"/>
      <c r="AI954" s="1797"/>
      <c r="AJ954" s="1795" t="s">
        <v>651</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710" t="s">
        <v>643</v>
      </c>
      <c r="E955" s="1711"/>
      <c r="F955" s="1711"/>
      <c r="G955" s="1711"/>
      <c r="H955" s="1711"/>
      <c r="I955" s="1711"/>
      <c r="J955" s="1711"/>
      <c r="K955" s="1711"/>
      <c r="L955" s="1711"/>
      <c r="M955" s="1711"/>
      <c r="N955" s="1711"/>
      <c r="O955" s="1711"/>
      <c r="P955" s="1711"/>
      <c r="Q955" s="1712"/>
      <c r="R955" s="1691">
        <f>IF(ISNA(IF($BN$785="4%",(INDEX($BP$795:$BT$852,MATCH($CB$785,$BO$795:$BO$852,0),MATCH(D955,$BP$794:$BT$794,0))),(INDEX($BW$795:$CA$852,MATCH($CB$785,$BV$795:$BV$852,0),MATCH(D955,$BW$794:$CA$794,0))))),0,IF($BN$785="4%",(INDEX($BP$795:$BT$852,MATCH($CB$785,$BO$795:$BO$852,0),MATCH(D955,$BP$794:$BT$794,0))),(INDEX($BW$795:$CA$852,MATCH($CB$785,$BV$795:$BV$852,0),MATCH(D955,$BW$794:$CA$794,0)))))</f>
        <v>532060</v>
      </c>
      <c r="S955" s="1691"/>
      <c r="T955" s="1691"/>
      <c r="U955" s="1691"/>
      <c r="V955" s="1691"/>
      <c r="W955" s="1691"/>
      <c r="X955" s="1691"/>
      <c r="Y955" s="1691"/>
      <c r="Z955" s="1691"/>
      <c r="AA955" s="1691"/>
      <c r="AB955" s="1798">
        <f>BN649</f>
        <v>0</v>
      </c>
      <c r="AC955" s="1799"/>
      <c r="AD955" s="1799"/>
      <c r="AE955" s="1799"/>
      <c r="AF955" s="1799"/>
      <c r="AG955" s="1799"/>
      <c r="AH955" s="1799"/>
      <c r="AI955" s="1800"/>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710" t="s">
        <v>327</v>
      </c>
      <c r="E956" s="1711"/>
      <c r="F956" s="1711"/>
      <c r="G956" s="1711"/>
      <c r="H956" s="1711"/>
      <c r="I956" s="1711"/>
      <c r="J956" s="1711"/>
      <c r="K956" s="1711"/>
      <c r="L956" s="1711"/>
      <c r="M956" s="1711"/>
      <c r="N956" s="1711"/>
      <c r="O956" s="1711"/>
      <c r="P956" s="1711"/>
      <c r="Q956" s="1712"/>
      <c r="R956" s="1691">
        <f>IF(ISNA(IF($BN$785="4%",(INDEX($BP$795:$BT$852,MATCH($CB$785,$BO$795:$BO$852,0),MATCH(D956,$BP$794:$BT$794,0))),(INDEX($BW$795:$CA$852,MATCH($CB$785,$BV$795:$BV$852,0),MATCH(D956,$BW$794:$CA$794,0))))),0,IF($BN$785="4%",(INDEX($BP$795:$BT$852,MATCH($CB$785,$BO$795:$BO$852,0),MATCH(D956,$BP$794:$BT$794,0))),(INDEX($BW$795:$CA$852,MATCH($CB$785,$BV$795:$BV$852,0),MATCH(D956,$BW$794:$CA$794,0)))))</f>
        <v>613460</v>
      </c>
      <c r="S956" s="1691"/>
      <c r="T956" s="1691"/>
      <c r="U956" s="1691"/>
      <c r="V956" s="1691"/>
      <c r="W956" s="1691"/>
      <c r="X956" s="1691"/>
      <c r="Y956" s="1691"/>
      <c r="Z956" s="1691"/>
      <c r="AA956" s="1691"/>
      <c r="AB956" s="1798">
        <f>BS649</f>
        <v>52</v>
      </c>
      <c r="AC956" s="1799"/>
      <c r="AD956" s="1799"/>
      <c r="AE956" s="1799"/>
      <c r="AF956" s="1799"/>
      <c r="AG956" s="1799"/>
      <c r="AH956" s="1799"/>
      <c r="AI956" s="1800"/>
      <c r="AJ956" s="1715">
        <f>IF(ISERROR((R956*AB956)),0,(R956*AB956))</f>
        <v>31899920</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710" t="s">
        <v>164</v>
      </c>
      <c r="E957" s="1711"/>
      <c r="F957" s="1711"/>
      <c r="G957" s="1711"/>
      <c r="H957" s="1711"/>
      <c r="I957" s="1711"/>
      <c r="J957" s="1711"/>
      <c r="K957" s="1711"/>
      <c r="L957" s="1711"/>
      <c r="M957" s="1711"/>
      <c r="N957" s="1711"/>
      <c r="O957" s="1711"/>
      <c r="P957" s="1711"/>
      <c r="Q957" s="1712"/>
      <c r="R957" s="1691">
        <f>IF(ISNA(IF($BN$785="4%",(INDEX($BP$795:$BT$852,MATCH($CB$785,$BO$795:$BO$852,0),MATCH(D957,$BP$794:$BT$794,0))),(INDEX($BW$795:$CA$852,MATCH($CB$785,$BV$795:$BV$852,0),MATCH(D957,$BW$794:$CA$794,0))))),0,IF($BN$785="4%",(INDEX($BP$795:$BT$852,MATCH($CB$785,$BO$795:$BO$852,0),MATCH(D957,$BP$794:$BT$794,0))),(INDEX($BW$795:$CA$852,MATCH($CB$785,$BV$795:$BV$852,0),MATCH(D957,$BW$794:$CA$794,0)))))</f>
        <v>740000</v>
      </c>
      <c r="S957" s="1691"/>
      <c r="T957" s="1691"/>
      <c r="U957" s="1691"/>
      <c r="V957" s="1691"/>
      <c r="W957" s="1691"/>
      <c r="X957" s="1691"/>
      <c r="Y957" s="1691"/>
      <c r="Z957" s="1691"/>
      <c r="AA957" s="1691"/>
      <c r="AB957" s="1798">
        <f>BX649</f>
        <v>40</v>
      </c>
      <c r="AC957" s="1799"/>
      <c r="AD957" s="1799"/>
      <c r="AE957" s="1799"/>
      <c r="AF957" s="1799"/>
      <c r="AG957" s="1799"/>
      <c r="AH957" s="1799"/>
      <c r="AI957" s="1800"/>
      <c r="AJ957" s="1715">
        <f>IF(ISERROR((R957*AB957)),0,(R957*AB957))</f>
        <v>29600000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710" t="s">
        <v>165</v>
      </c>
      <c r="E958" s="1711"/>
      <c r="F958" s="1711"/>
      <c r="G958" s="1711"/>
      <c r="H958" s="1711"/>
      <c r="I958" s="1711"/>
      <c r="J958" s="1711"/>
      <c r="K958" s="1711"/>
      <c r="L958" s="1711"/>
      <c r="M958" s="1711"/>
      <c r="N958" s="1711"/>
      <c r="O958" s="1711"/>
      <c r="P958" s="1711"/>
      <c r="Q958" s="1712"/>
      <c r="R958" s="1691">
        <f>IF(ISNA(IF($BN$785="4%",(INDEX($BP$795:$BT$852,MATCH($CB$785,$BO$795:$BO$852,0),MATCH(D958,$BP$794:$BT$794,0))),(INDEX($BW$795:$CA$852,MATCH($CB$785,$BV$795:$BV$852,0),MATCH(D958,$BW$794:$CA$794,0))))),0,IF($BN$785="4%",(INDEX($BP$795:$BT$852,MATCH($CB$785,$BO$795:$BO$852,0),MATCH(D958,$BP$794:$BT$794,0))),(INDEX($BW$795:$CA$852,MATCH($CB$785,$BV$795:$BV$852,0),MATCH(D958,$BW$794:$CA$794,0)))))</f>
        <v>947200</v>
      </c>
      <c r="S958" s="1691"/>
      <c r="T958" s="1691"/>
      <c r="U958" s="1691"/>
      <c r="V958" s="1691"/>
      <c r="W958" s="1691"/>
      <c r="X958" s="1691"/>
      <c r="Y958" s="1691"/>
      <c r="Z958" s="1691"/>
      <c r="AA958" s="1691"/>
      <c r="AB958" s="1798">
        <f>CC649</f>
        <v>33</v>
      </c>
      <c r="AC958" s="1799"/>
      <c r="AD958" s="1799"/>
      <c r="AE958" s="1799"/>
      <c r="AF958" s="1799"/>
      <c r="AG958" s="1799"/>
      <c r="AH958" s="1799"/>
      <c r="AI958" s="1800"/>
      <c r="AJ958" s="1715">
        <f>IF(ISERROR((R958*AB958)),0,(R958*AB958))</f>
        <v>31257600</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710" t="s">
        <v>470</v>
      </c>
      <c r="E959" s="1711"/>
      <c r="F959" s="1711"/>
      <c r="G959" s="1711"/>
      <c r="H959" s="1711"/>
      <c r="I959" s="1711"/>
      <c r="J959" s="1711"/>
      <c r="K959" s="1711"/>
      <c r="L959" s="1711"/>
      <c r="M959" s="1711"/>
      <c r="N959" s="1711"/>
      <c r="O959" s="1711"/>
      <c r="P959" s="1711"/>
      <c r="Q959" s="1712"/>
      <c r="R959" s="1691">
        <f>IF(ISNA(IF($BN$785="4%",(INDEX($BP$795:$BT$852,MATCH($CB$785,$BO$795:$BO$852,0),MATCH(D959,$BP$794:$BT$794,0))),(INDEX($BW$795:$CA$852,MATCH($CB$785,$BV$795:$BV$852,0),MATCH(D959,$BW$794:$CA$794,0))))),0,IF($BN$785="4%",(INDEX($BP$795:$BT$852,MATCH($CB$785,$BO$795:$BO$852,0),MATCH(D959,$BP$794:$BT$794,0))),(INDEX($BW$795:$CA$852,MATCH($CB$785,$BV$795:$BV$852,0),MATCH(D959,$BW$794:$CA$794,0)))))</f>
        <v>1055240</v>
      </c>
      <c r="S959" s="1691"/>
      <c r="T959" s="1691"/>
      <c r="U959" s="1691"/>
      <c r="V959" s="1691"/>
      <c r="W959" s="1691"/>
      <c r="X959" s="1691"/>
      <c r="Y959" s="1691"/>
      <c r="Z959" s="1691"/>
      <c r="AA959" s="1691"/>
      <c r="AB959" s="1798">
        <f>CM649+CH649</f>
        <v>0</v>
      </c>
      <c r="AC959" s="1799"/>
      <c r="AD959" s="1799"/>
      <c r="AE959" s="1799"/>
      <c r="AF959" s="1799"/>
      <c r="AG959" s="1799"/>
      <c r="AH959" s="1799"/>
      <c r="AI959" s="1800"/>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810" t="s">
        <v>816</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125</v>
      </c>
      <c r="AC960" s="1799"/>
      <c r="AD960" s="1799"/>
      <c r="AE960" s="1799"/>
      <c r="AF960" s="1799"/>
      <c r="AG960" s="1799"/>
      <c r="AH960" s="1799"/>
      <c r="AI960" s="1800"/>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828" t="s">
        <v>522</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5">
        <f>SUM(AJ955:AQ959)</f>
        <v>92757520</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676</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792" t="s">
        <v>1365</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555</v>
      </c>
      <c r="AH963" s="1835"/>
      <c r="AI963" s="87"/>
      <c r="AJ963" s="1772">
        <f>ROUND(IF(AND(AG963="yes",D965&gt;0),AJ961*0.2,0),0)</f>
        <v>18551504</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1366</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816" t="s">
        <v>2770</v>
      </c>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753" t="s">
        <v>1452</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679</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813" t="s">
        <v>1450</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753" t="s">
        <v>1945</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555</v>
      </c>
      <c r="AH972" s="1766"/>
      <c r="AI972" s="87"/>
      <c r="AJ972" s="1772">
        <f>ROUND(IF(AG972="yes",AJ961*0.1,0),0)</f>
        <v>9275752</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756" t="s">
        <v>1451</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124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0.33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753" t="s">
        <v>1453</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679</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0.37</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769" t="s">
        <v>1454</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2.9" customHeight="1">
      <c r="A978" s="14"/>
      <c r="B978" s="79"/>
      <c r="C978" s="80" t="s">
        <v>217</v>
      </c>
      <c r="D978" s="1753" t="s">
        <v>1455</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679</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2.9" customHeight="1">
      <c r="A979" s="14"/>
      <c r="B979" s="73"/>
      <c r="C979" s="74"/>
      <c r="D979" s="1756" t="s">
        <v>1456</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2.9"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2.9" customHeight="1">
      <c r="A981" s="14"/>
      <c r="B981" s="79"/>
      <c r="C981" s="80" t="s">
        <v>220</v>
      </c>
      <c r="D981" s="1792" t="s">
        <v>1457</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679</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2.9" customHeight="1">
      <c r="A982" s="14"/>
      <c r="B982" s="73"/>
      <c r="C982" s="74"/>
      <c r="D982" s="1756" t="s">
        <v>1458</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2.9"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2.9"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2.9" customHeight="1">
      <c r="A985" s="14"/>
      <c r="B985" s="79"/>
      <c r="C985" s="80" t="s">
        <v>225</v>
      </c>
      <c r="D985" s="1822" t="s">
        <v>1459</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679</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2.9"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2.9" customHeight="1">
      <c r="A987" s="14"/>
      <c r="B987" s="81"/>
      <c r="C987" s="84"/>
      <c r="D987" s="1756" t="s">
        <v>1460</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2.9"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844" t="s">
        <v>601</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2.9" customHeight="1">
      <c r="A990" s="14"/>
      <c r="B990" s="79"/>
      <c r="C990" s="80" t="s">
        <v>231</v>
      </c>
      <c r="D990" s="1753" t="s">
        <v>1461</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679</v>
      </c>
      <c r="AH990" s="1766"/>
      <c r="AI990" s="87"/>
      <c r="AJ990" s="1772">
        <f>ROUND(IF(AG990="Yes",AF992,0),0)</f>
        <v>0</v>
      </c>
      <c r="AK990" s="1773"/>
      <c r="AL990" s="1773"/>
      <c r="AM990" s="1773"/>
      <c r="AN990" s="1773"/>
      <c r="AO990" s="1773"/>
      <c r="AP990" s="1773"/>
      <c r="AQ990" s="1774"/>
      <c r="AR990" s="68"/>
      <c r="AS990" s="68"/>
      <c r="AT990" s="68"/>
      <c r="AU990" s="68"/>
      <c r="AV990" s="68"/>
      <c r="AW990" s="68"/>
      <c r="AX990" s="68"/>
      <c r="AY990" s="68"/>
      <c r="BA990" s="213">
        <f>IF(A1064="Yes",0.02,0)</f>
        <v>0</v>
      </c>
    </row>
    <row r="991" spans="1:58" ht="12.9" customHeight="1">
      <c r="A991" s="14"/>
      <c r="B991" s="73"/>
      <c r="C991" s="74"/>
      <c r="D991" s="1756" t="s">
        <v>1952</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2.9"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2.9"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2.9" customHeight="1">
      <c r="A994" s="14"/>
      <c r="B994" s="79"/>
      <c r="C994" s="80" t="s">
        <v>236</v>
      </c>
      <c r="D994" s="1792" t="s">
        <v>1462</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555</v>
      </c>
      <c r="AH994" s="1766"/>
      <c r="AI994" s="87"/>
      <c r="AJ994" s="1772">
        <f>ROUND(IF(AG994="yes",(AJ961*0.1),0),0)</f>
        <v>9275752</v>
      </c>
      <c r="AK994" s="1773"/>
      <c r="AL994" s="1773"/>
      <c r="AM994" s="1773"/>
      <c r="AN994" s="1773"/>
      <c r="AO994" s="1773"/>
      <c r="AP994" s="1773"/>
      <c r="AQ994" s="1774"/>
      <c r="AR994" s="68"/>
      <c r="AS994" s="68"/>
      <c r="AT994" s="68"/>
      <c r="AU994" s="68"/>
      <c r="AV994" s="68"/>
      <c r="AW994" s="68"/>
      <c r="AX994" s="68"/>
      <c r="AY994" s="68"/>
    </row>
    <row r="995" spans="1:51" ht="12.9" customHeight="1">
      <c r="A995" s="14"/>
      <c r="B995" s="73"/>
      <c r="C995" s="74"/>
      <c r="D995" s="1756" t="s">
        <v>1463</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2.9"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2.9" customHeight="1">
      <c r="A997" s="14"/>
      <c r="B997" s="73"/>
      <c r="C997" s="368" t="s">
        <v>698</v>
      </c>
      <c r="D997" s="1753" t="s">
        <v>1948</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679</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2.9" customHeight="1">
      <c r="A998" s="14"/>
      <c r="B998" s="73"/>
      <c r="C998" s="74"/>
      <c r="D998" s="1784"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2.9" customHeight="1">
      <c r="A999" s="14"/>
      <c r="B999" s="73"/>
      <c r="C999" s="74"/>
      <c r="D999" s="17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2.9"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2.9" customHeight="1">
      <c r="A1001" s="14"/>
      <c r="B1001" s="73"/>
      <c r="C1001" s="368" t="s">
        <v>698</v>
      </c>
      <c r="D1001" s="1792" t="s">
        <v>1950</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555</v>
      </c>
      <c r="AH1001" s="1768"/>
      <c r="AI1001" s="83"/>
      <c r="AJ1001" s="1772">
        <f>ROUND(IF(AND(AG1001="yes",AJ997=0),(AJ961*0.1),0),0)</f>
        <v>9275752</v>
      </c>
      <c r="AK1001" s="1773"/>
      <c r="AL1001" s="1773"/>
      <c r="AM1001" s="1773"/>
      <c r="AN1001" s="1773"/>
      <c r="AO1001" s="1773"/>
      <c r="AP1001" s="1773"/>
      <c r="AQ1001" s="1774"/>
      <c r="AR1001" s="68"/>
      <c r="AS1001" s="68"/>
      <c r="AT1001" s="68"/>
      <c r="AU1001" s="68"/>
      <c r="AV1001" s="68"/>
      <c r="AW1001" s="68"/>
      <c r="AX1001" s="68"/>
      <c r="AY1001" s="68"/>
    </row>
    <row r="1002" spans="1:51" ht="12.9" customHeight="1">
      <c r="A1002" s="14"/>
      <c r="B1002" s="73"/>
      <c r="C1002" s="74"/>
      <c r="D1002" s="1784"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2.9" customHeight="1">
      <c r="A1003" s="14"/>
      <c r="B1003" s="73"/>
      <c r="C1003" s="74"/>
      <c r="D1003" s="17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2.9" customHeight="1">
      <c r="A1004" s="14"/>
      <c r="B1004" s="73"/>
      <c r="C1004" s="74"/>
      <c r="D1004" s="17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2.9"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2.9" customHeight="1">
      <c r="A1006" s="14"/>
      <c r="B1006" s="79"/>
      <c r="C1006" s="131" t="s">
        <v>1068</v>
      </c>
      <c r="D1006" s="1753" t="s">
        <v>1464</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679</v>
      </c>
      <c r="AH1006" s="1766"/>
      <c r="AI1006" s="87"/>
      <c r="AJ1006" s="1772">
        <f>ROUND(IF(AG1006="yes",(AJ961*0.1),0),0)</f>
        <v>0</v>
      </c>
      <c r="AK1006" s="1773"/>
      <c r="AL1006" s="1773"/>
      <c r="AM1006" s="1773"/>
      <c r="AN1006" s="1773"/>
      <c r="AO1006" s="1773"/>
      <c r="AP1006" s="1773"/>
      <c r="AQ1006" s="1774"/>
      <c r="AR1006" s="68"/>
      <c r="AS1006" s="68"/>
      <c r="AT1006" s="68"/>
      <c r="AU1006" s="68"/>
      <c r="AV1006" s="68"/>
      <c r="AW1006" s="68"/>
      <c r="AX1006" s="68"/>
      <c r="AY1006" s="68"/>
    </row>
    <row r="1007" spans="1:51" ht="12.9" customHeight="1">
      <c r="A1007" s="14"/>
      <c r="B1007" s="73"/>
      <c r="C1007" s="74"/>
      <c r="D1007" s="1756" t="s">
        <v>2517</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2.9"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2.9"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2.9" customHeight="1">
      <c r="A1010" s="14"/>
      <c r="B1010" s="79"/>
      <c r="C1010" s="131" t="s">
        <v>1946</v>
      </c>
      <c r="D1010" s="1792" t="s">
        <v>2130</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Yes</v>
      </c>
      <c r="AH1010" s="1764"/>
      <c r="AI1010" s="87"/>
      <c r="AJ1010" s="1772">
        <f>IF((X1013=0),0,BA975*AJ961)</f>
        <v>30609981.600000001</v>
      </c>
      <c r="AK1010" s="1773"/>
      <c r="AL1010" s="1773"/>
      <c r="AM1010" s="1773"/>
      <c r="AN1010" s="1773"/>
      <c r="AO1010" s="1773"/>
      <c r="AP1010" s="1773"/>
      <c r="AQ1010" s="1774"/>
      <c r="AR1010" s="68"/>
      <c r="AS1010" s="68"/>
      <c r="AT1010" s="68"/>
      <c r="AU1010" s="68"/>
      <c r="AV1010" s="68"/>
      <c r="AW1010" s="68"/>
      <c r="AX1010" s="68"/>
      <c r="AY1010" s="68"/>
    </row>
    <row r="1011" spans="1:51" ht="12.9" customHeight="1">
      <c r="A1011" s="14"/>
      <c r="B1011" s="73"/>
      <c r="C1011" s="477"/>
      <c r="D1011" s="1756" t="s">
        <v>1466</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2.9"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761">
        <f>BA973</f>
        <v>124</v>
      </c>
      <c r="J1013" s="1762"/>
      <c r="K1013" s="7"/>
      <c r="L1013" s="133"/>
      <c r="M1013" s="133"/>
      <c r="N1013" s="133"/>
      <c r="O1013" s="133"/>
      <c r="P1013" s="133"/>
      <c r="Q1013" s="133"/>
      <c r="R1013" s="133"/>
      <c r="S1013" s="133"/>
      <c r="T1013" s="133"/>
      <c r="U1013" s="133"/>
      <c r="V1013" s="134" t="s">
        <v>1014</v>
      </c>
      <c r="W1013" s="48"/>
      <c r="X1013" s="1759">
        <f>BG621</f>
        <v>41</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2.9" customHeight="1">
      <c r="A1014" s="14"/>
      <c r="B1014" s="79"/>
      <c r="C1014" s="131" t="s">
        <v>1947</v>
      </c>
      <c r="D1014" s="1753" t="s">
        <v>2131</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68640564.799999997</v>
      </c>
      <c r="AK1014" s="1773"/>
      <c r="AL1014" s="1773"/>
      <c r="AM1014" s="1773"/>
      <c r="AN1014" s="1773"/>
      <c r="AO1014" s="1773"/>
      <c r="AP1014" s="1773"/>
      <c r="AQ1014" s="1774"/>
      <c r="AR1014" s="68"/>
      <c r="AS1014" s="68"/>
      <c r="AT1014" s="68"/>
      <c r="AU1014" s="68"/>
      <c r="AV1014" s="68"/>
      <c r="AW1014" s="68"/>
      <c r="AX1014" s="68"/>
      <c r="AY1014" s="68"/>
    </row>
    <row r="1015" spans="1:51" ht="12.9" customHeight="1">
      <c r="A1015" s="14"/>
      <c r="B1015" s="73"/>
      <c r="C1015" s="477"/>
      <c r="D1015" s="1756" t="s">
        <v>1465</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2.9"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761">
        <f>BA973</f>
        <v>124</v>
      </c>
      <c r="J1017" s="1762"/>
      <c r="K1017" s="14"/>
      <c r="L1017" s="133"/>
      <c r="M1017" s="133"/>
      <c r="N1017" s="133"/>
      <c r="O1017" s="133"/>
      <c r="P1017" s="133"/>
      <c r="Q1017" s="133"/>
      <c r="R1017" s="133"/>
      <c r="S1017" s="133"/>
      <c r="T1017" s="133"/>
      <c r="U1017" s="133"/>
      <c r="V1017" s="134" t="s">
        <v>1015</v>
      </c>
      <c r="X1017" s="1759">
        <f>BK621</f>
        <v>47</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2.9" customHeight="1">
      <c r="A1018" s="14"/>
      <c r="B1018" s="102"/>
      <c r="C1018" s="103"/>
      <c r="D1018" s="1751" t="s">
        <v>523</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238386826.39999998</v>
      </c>
      <c r="AK1018" s="1782"/>
      <c r="AL1018" s="1782"/>
      <c r="AM1018" s="1782"/>
      <c r="AN1018" s="1782"/>
      <c r="AO1018" s="1782"/>
      <c r="AP1018" s="1782"/>
      <c r="AQ1018" s="1783"/>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 customHeight="1" thickBot="1">
      <c r="A1026" s="1684" t="s">
        <v>819</v>
      </c>
      <c r="B1026" s="1684"/>
      <c r="C1026" s="1684"/>
      <c r="D1026" s="1684"/>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4"/>
      <c r="AF1026" s="1684"/>
      <c r="AG1026" s="1684"/>
      <c r="AH1026" s="1684"/>
      <c r="AI1026" s="1684"/>
      <c r="AJ1026" s="1684"/>
      <c r="AK1026" s="1684"/>
      <c r="AL1026" s="1684"/>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74" t="s">
        <v>601</v>
      </c>
      <c r="B1030" s="1374"/>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 customHeight="1">
      <c r="A1036" s="1374" t="s">
        <v>601</v>
      </c>
      <c r="B1036" s="1374"/>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 customHeight="1">
      <c r="A1042" s="1374" t="s">
        <v>601</v>
      </c>
      <c r="B1042" s="1374"/>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 customHeight="1">
      <c r="A1049" s="1374" t="s">
        <v>601</v>
      </c>
      <c r="B1049" s="1374"/>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 customHeight="1">
      <c r="A1052" s="1374" t="s">
        <v>601</v>
      </c>
      <c r="B1052" s="1374"/>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 customHeight="1">
      <c r="A1057" s="1374" t="s">
        <v>601</v>
      </c>
      <c r="B1057" s="1374"/>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 customHeight="1">
      <c r="A1060" s="1374" t="s">
        <v>601</v>
      </c>
      <c r="B1060" s="1374"/>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 customHeight="1">
      <c r="A1064" s="1374" t="s">
        <v>601</v>
      </c>
      <c r="B1064" s="1374"/>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 customHeight="1">
      <c r="A1068" s="1374" t="s">
        <v>601</v>
      </c>
      <c r="B1068" s="1374"/>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N136" sqref="N136"/>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1859" t="s">
        <v>631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1)Permanent Loan</v>
      </c>
      <c r="G2" s="139" t="str">
        <f>Application!B624&amp;Application!C624</f>
        <v>2)Lease-Up NOI</v>
      </c>
      <c r="H2" s="139" t="str">
        <f>Application!B625&amp;Application!C625</f>
        <v>3)Deferred Developer Fee</v>
      </c>
      <c r="I2" s="139" t="str">
        <f>Application!B626&amp;Application!C626</f>
        <v>4)HASMC AHF Loan</v>
      </c>
      <c r="J2" s="139" t="str">
        <f>Application!B627&amp;Application!C627</f>
        <v>5)City of Belmont Loan</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14210000</v>
      </c>
      <c r="C4" s="1016">
        <v>14210000</v>
      </c>
      <c r="D4" s="147"/>
      <c r="E4" s="147"/>
      <c r="F4" s="147"/>
      <c r="G4" s="147"/>
      <c r="H4" s="147"/>
      <c r="I4" s="147">
        <v>13900000</v>
      </c>
      <c r="J4" s="147">
        <f>14210000-13900000</f>
        <v>310000</v>
      </c>
      <c r="K4" s="147"/>
      <c r="L4" s="147"/>
      <c r="M4" s="147"/>
      <c r="N4" s="147"/>
      <c r="O4" s="147"/>
      <c r="P4" s="147"/>
      <c r="Q4" s="147"/>
      <c r="R4" s="551">
        <f>SUM(E4:Q4)</f>
        <v>14210000</v>
      </c>
      <c r="S4" s="148"/>
      <c r="T4" s="148"/>
      <c r="U4" s="143"/>
    </row>
    <row r="5" spans="1:21" s="144" customFormat="1">
      <c r="A5" s="145" t="s">
        <v>28</v>
      </c>
      <c r="B5" s="146">
        <f>SUM(C5+D5)</f>
        <v>149424</v>
      </c>
      <c r="C5" s="147">
        <v>149424</v>
      </c>
      <c r="D5" s="147"/>
      <c r="E5" s="147">
        <v>149424</v>
      </c>
      <c r="F5" s="147"/>
      <c r="G5" s="147"/>
      <c r="H5" s="147"/>
      <c r="I5" s="147"/>
      <c r="J5" s="147"/>
      <c r="K5" s="147"/>
      <c r="L5" s="147"/>
      <c r="M5" s="147"/>
      <c r="N5" s="147"/>
      <c r="O5" s="147"/>
      <c r="P5" s="147"/>
      <c r="Q5" s="147"/>
      <c r="R5" s="551">
        <f>SUM(E5:Q5)</f>
        <v>149424</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14359424</v>
      </c>
      <c r="C8" s="146">
        <f t="shared" ref="C8:Q8" si="0">SUM(C4:C7)</f>
        <v>14359424</v>
      </c>
      <c r="D8" s="146">
        <f t="shared" si="0"/>
        <v>0</v>
      </c>
      <c r="E8" s="146">
        <f t="shared" si="0"/>
        <v>149424</v>
      </c>
      <c r="F8" s="146">
        <f t="shared" si="0"/>
        <v>0</v>
      </c>
      <c r="G8" s="146">
        <f t="shared" si="0"/>
        <v>0</v>
      </c>
      <c r="H8" s="146">
        <f t="shared" si="0"/>
        <v>0</v>
      </c>
      <c r="I8" s="146">
        <f t="shared" si="0"/>
        <v>13900000</v>
      </c>
      <c r="J8" s="146">
        <f t="shared" si="0"/>
        <v>310000</v>
      </c>
      <c r="K8" s="146">
        <f t="shared" si="0"/>
        <v>0</v>
      </c>
      <c r="L8" s="146">
        <f t="shared" si="0"/>
        <v>0</v>
      </c>
      <c r="M8" s="146">
        <f t="shared" si="0"/>
        <v>0</v>
      </c>
      <c r="N8" s="146">
        <f t="shared" si="0"/>
        <v>0</v>
      </c>
      <c r="O8" s="146">
        <f t="shared" si="0"/>
        <v>0</v>
      </c>
      <c r="P8" s="146"/>
      <c r="Q8" s="146">
        <f t="shared" si="0"/>
        <v>0</v>
      </c>
      <c r="R8" s="371">
        <f>SUM(R4:R7)</f>
        <v>14359424</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2">
      <c r="A12" s="149" t="s">
        <v>85</v>
      </c>
      <c r="B12" s="146">
        <f t="shared" ref="B12:Q12" si="2">SUM(B8+B11)</f>
        <v>14359424</v>
      </c>
      <c r="C12" s="146">
        <f t="shared" si="2"/>
        <v>14359424</v>
      </c>
      <c r="D12" s="146">
        <f t="shared" si="2"/>
        <v>0</v>
      </c>
      <c r="E12" s="146">
        <f t="shared" si="2"/>
        <v>149424</v>
      </c>
      <c r="F12" s="146">
        <f t="shared" si="2"/>
        <v>0</v>
      </c>
      <c r="G12" s="146">
        <f t="shared" si="2"/>
        <v>0</v>
      </c>
      <c r="H12" s="146">
        <f t="shared" si="2"/>
        <v>0</v>
      </c>
      <c r="I12" s="146">
        <f t="shared" si="2"/>
        <v>13900000</v>
      </c>
      <c r="J12" s="146">
        <f t="shared" si="2"/>
        <v>310000</v>
      </c>
      <c r="K12" s="146">
        <f t="shared" si="2"/>
        <v>0</v>
      </c>
      <c r="L12" s="146">
        <f t="shared" si="2"/>
        <v>0</v>
      </c>
      <c r="M12" s="146">
        <f t="shared" si="2"/>
        <v>0</v>
      </c>
      <c r="N12" s="146">
        <f t="shared" si="2"/>
        <v>0</v>
      </c>
      <c r="O12" s="146">
        <f t="shared" si="2"/>
        <v>0</v>
      </c>
      <c r="P12" s="146"/>
      <c r="Q12" s="146">
        <f t="shared" si="2"/>
        <v>0</v>
      </c>
      <c r="R12" s="371">
        <f>SUM(R8+R11)</f>
        <v>14359424</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9448667</v>
      </c>
      <c r="C29" s="147">
        <v>9448667</v>
      </c>
      <c r="D29" s="147"/>
      <c r="E29" s="147"/>
      <c r="F29" s="147">
        <v>9448667</v>
      </c>
      <c r="G29" s="147"/>
      <c r="H29" s="147"/>
      <c r="I29" s="147"/>
      <c r="J29" s="147"/>
      <c r="K29" s="147"/>
      <c r="L29" s="147"/>
      <c r="M29" s="147"/>
      <c r="N29" s="147"/>
      <c r="O29" s="147"/>
      <c r="P29" s="147"/>
      <c r="Q29" s="147"/>
      <c r="R29" s="551">
        <f t="shared" ref="R29:R37" si="7">SUM(E29:Q29)</f>
        <v>9448667</v>
      </c>
      <c r="S29" s="147">
        <v>9448667</v>
      </c>
      <c r="T29" s="147"/>
      <c r="U29" s="143"/>
    </row>
    <row r="30" spans="1:21" s="144" customFormat="1">
      <c r="A30" s="145" t="s">
        <v>609</v>
      </c>
      <c r="B30" s="146">
        <f t="shared" si="6"/>
        <v>60537192</v>
      </c>
      <c r="C30" s="147">
        <v>60537192</v>
      </c>
      <c r="D30" s="147"/>
      <c r="E30" s="147">
        <f>C30-F30-J30</f>
        <v>35295859</v>
      </c>
      <c r="F30" s="147">
        <f>32500000-F29</f>
        <v>23051333</v>
      </c>
      <c r="G30" s="147"/>
      <c r="H30" s="147"/>
      <c r="I30" s="147"/>
      <c r="J30" s="147">
        <f>2500000-310000</f>
        <v>2190000</v>
      </c>
      <c r="K30" s="147"/>
      <c r="L30" s="147"/>
      <c r="M30" s="147"/>
      <c r="N30" s="147"/>
      <c r="O30" s="147"/>
      <c r="P30" s="147"/>
      <c r="Q30" s="147"/>
      <c r="R30" s="551">
        <f t="shared" si="7"/>
        <v>60537192</v>
      </c>
      <c r="S30" s="147">
        <v>60537192</v>
      </c>
      <c r="T30" s="147"/>
      <c r="U30" s="143"/>
    </row>
    <row r="31" spans="1:21" s="144" customFormat="1">
      <c r="A31" s="145" t="s">
        <v>610</v>
      </c>
      <c r="B31" s="146">
        <f t="shared" si="6"/>
        <v>4827339</v>
      </c>
      <c r="C31" s="147">
        <v>4827339</v>
      </c>
      <c r="D31" s="147"/>
      <c r="E31" s="147">
        <f>C31</f>
        <v>4827339</v>
      </c>
      <c r="F31" s="147"/>
      <c r="G31" s="147"/>
      <c r="H31" s="147"/>
      <c r="I31" s="147"/>
      <c r="J31" s="147"/>
      <c r="K31" s="147"/>
      <c r="L31" s="147"/>
      <c r="M31" s="147"/>
      <c r="N31" s="147"/>
      <c r="O31" s="147"/>
      <c r="P31" s="147"/>
      <c r="Q31" s="147"/>
      <c r="R31" s="551">
        <f t="shared" si="7"/>
        <v>4827339</v>
      </c>
      <c r="S31" s="147">
        <f>R31</f>
        <v>4827339</v>
      </c>
      <c r="T31" s="147"/>
      <c r="U31" s="143"/>
    </row>
    <row r="32" spans="1:21" s="144" customFormat="1">
      <c r="A32" s="145" t="s">
        <v>138</v>
      </c>
      <c r="B32" s="146">
        <f t="shared" si="6"/>
        <v>3159274</v>
      </c>
      <c r="C32" s="147">
        <v>3159274</v>
      </c>
      <c r="D32" s="147"/>
      <c r="E32" s="147">
        <f>C32</f>
        <v>3159274</v>
      </c>
      <c r="F32" s="147"/>
      <c r="G32" s="147"/>
      <c r="H32" s="147"/>
      <c r="I32" s="147"/>
      <c r="J32" s="147"/>
      <c r="K32" s="147"/>
      <c r="L32" s="147"/>
      <c r="M32" s="147"/>
      <c r="N32" s="147"/>
      <c r="O32" s="147"/>
      <c r="P32" s="147"/>
      <c r="Q32" s="147"/>
      <c r="R32" s="551">
        <f t="shared" si="7"/>
        <v>3159274</v>
      </c>
      <c r="S32" s="147">
        <f>R32</f>
        <v>3159274</v>
      </c>
      <c r="T32" s="147"/>
      <c r="U32" s="143"/>
    </row>
    <row r="33" spans="1:21" s="144" customFormat="1">
      <c r="A33" s="145" t="s">
        <v>139</v>
      </c>
      <c r="B33" s="146">
        <f t="shared" si="6"/>
        <v>3159274</v>
      </c>
      <c r="C33" s="147">
        <v>3159274</v>
      </c>
      <c r="D33" s="147"/>
      <c r="E33" s="147">
        <f>C33</f>
        <v>3159274</v>
      </c>
      <c r="F33" s="147"/>
      <c r="G33" s="147"/>
      <c r="H33" s="147"/>
      <c r="I33" s="147"/>
      <c r="J33" s="147"/>
      <c r="K33" s="147"/>
      <c r="L33" s="147"/>
      <c r="M33" s="147"/>
      <c r="N33" s="147"/>
      <c r="O33" s="147"/>
      <c r="P33" s="147"/>
      <c r="Q33" s="147"/>
      <c r="R33" s="551">
        <f t="shared" si="7"/>
        <v>3159274</v>
      </c>
      <c r="S33" s="147">
        <f>R33</f>
        <v>3159274</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299832</v>
      </c>
      <c r="C35" s="147">
        <v>299832</v>
      </c>
      <c r="D35" s="147"/>
      <c r="E35" s="147">
        <f>C35</f>
        <v>299832</v>
      </c>
      <c r="F35" s="147"/>
      <c r="G35" s="147"/>
      <c r="H35" s="147"/>
      <c r="I35" s="147"/>
      <c r="J35" s="147"/>
      <c r="K35" s="147"/>
      <c r="L35" s="147"/>
      <c r="M35" s="147"/>
      <c r="N35" s="147"/>
      <c r="O35" s="147"/>
      <c r="P35" s="147"/>
      <c r="Q35" s="147"/>
      <c r="R35" s="551">
        <f t="shared" si="7"/>
        <v>299832</v>
      </c>
      <c r="S35" s="147">
        <f>R35</f>
        <v>299832</v>
      </c>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2">
      <c r="A38" s="149" t="s">
        <v>144</v>
      </c>
      <c r="B38" s="146">
        <f t="shared" si="6"/>
        <v>81431578</v>
      </c>
      <c r="C38" s="146">
        <f>SUM(C29:C37)</f>
        <v>81431578</v>
      </c>
      <c r="D38" s="146">
        <f t="shared" ref="D38:Q38" si="8">SUM(D29:D37)</f>
        <v>0</v>
      </c>
      <c r="E38" s="146">
        <f t="shared" si="8"/>
        <v>46741578</v>
      </c>
      <c r="F38" s="146">
        <f t="shared" si="8"/>
        <v>32500000</v>
      </c>
      <c r="G38" s="146">
        <f t="shared" si="8"/>
        <v>0</v>
      </c>
      <c r="H38" s="146">
        <f t="shared" si="8"/>
        <v>0</v>
      </c>
      <c r="I38" s="146">
        <f t="shared" si="8"/>
        <v>0</v>
      </c>
      <c r="J38" s="146">
        <f t="shared" si="8"/>
        <v>2190000</v>
      </c>
      <c r="K38" s="146">
        <f t="shared" si="8"/>
        <v>0</v>
      </c>
      <c r="L38" s="146">
        <f t="shared" si="8"/>
        <v>0</v>
      </c>
      <c r="M38" s="146">
        <f t="shared" si="8"/>
        <v>0</v>
      </c>
      <c r="N38" s="146">
        <f t="shared" si="8"/>
        <v>0</v>
      </c>
      <c r="O38" s="146">
        <f t="shared" si="8"/>
        <v>0</v>
      </c>
      <c r="P38" s="146">
        <f t="shared" si="8"/>
        <v>0</v>
      </c>
      <c r="Q38" s="146">
        <f t="shared" si="8"/>
        <v>0</v>
      </c>
      <c r="R38" s="371">
        <f>SUM(R29:R37)</f>
        <v>81431578</v>
      </c>
      <c r="S38" s="150">
        <f>SUM(S29:S37)</f>
        <v>81431578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864000</v>
      </c>
      <c r="C40" s="147">
        <v>864000</v>
      </c>
      <c r="D40" s="147"/>
      <c r="E40" s="147">
        <f>C40</f>
        <v>864000</v>
      </c>
      <c r="F40" s="147"/>
      <c r="G40" s="147"/>
      <c r="H40" s="147"/>
      <c r="I40" s="147"/>
      <c r="J40" s="147"/>
      <c r="K40" s="147"/>
      <c r="L40" s="147"/>
      <c r="M40" s="147"/>
      <c r="N40" s="147"/>
      <c r="O40" s="147"/>
      <c r="P40" s="147"/>
      <c r="Q40" s="147"/>
      <c r="R40" s="551">
        <f>SUM(E40:Q40)</f>
        <v>864000</v>
      </c>
      <c r="S40" s="147">
        <f>R40</f>
        <v>864000</v>
      </c>
      <c r="T40" s="147"/>
      <c r="U40" s="143"/>
    </row>
    <row r="41" spans="1:21" s="144" customFormat="1">
      <c r="A41" s="145" t="s">
        <v>147</v>
      </c>
      <c r="B41" s="146">
        <f>SUM(C41+D41)</f>
        <v>96000</v>
      </c>
      <c r="C41" s="147">
        <v>96000</v>
      </c>
      <c r="D41" s="147"/>
      <c r="E41" s="147">
        <f>C41</f>
        <v>96000</v>
      </c>
      <c r="F41" s="147"/>
      <c r="G41" s="147"/>
      <c r="H41" s="147"/>
      <c r="I41" s="147"/>
      <c r="J41" s="147"/>
      <c r="K41" s="147"/>
      <c r="L41" s="147"/>
      <c r="M41" s="147"/>
      <c r="N41" s="147"/>
      <c r="O41" s="147"/>
      <c r="P41" s="147"/>
      <c r="Q41" s="147"/>
      <c r="R41" s="551">
        <f>SUM(E41:Q41)</f>
        <v>96000</v>
      </c>
      <c r="S41" s="147">
        <f>R41</f>
        <v>96000</v>
      </c>
      <c r="T41" s="147"/>
      <c r="U41" s="143"/>
    </row>
    <row r="42" spans="1:21" s="144" customFormat="1" ht="12">
      <c r="A42" s="149" t="s">
        <v>148</v>
      </c>
      <c r="B42" s="146">
        <f>SUM(C42:D42)</f>
        <v>960000</v>
      </c>
      <c r="C42" s="146">
        <f>SUM(C39:C41)</f>
        <v>960000</v>
      </c>
      <c r="D42" s="146">
        <f>SUM(D39:D41)</f>
        <v>0</v>
      </c>
      <c r="E42" s="146">
        <f t="shared" ref="E42:T42" si="9">SUM(E40:E41)</f>
        <v>960000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960000</v>
      </c>
      <c r="S42" s="150">
        <f t="shared" si="9"/>
        <v>960000</v>
      </c>
      <c r="T42" s="150">
        <f t="shared" si="9"/>
        <v>0</v>
      </c>
      <c r="U42" s="143"/>
    </row>
    <row r="43" spans="1:21" s="144" customFormat="1" ht="12">
      <c r="A43" s="149" t="s">
        <v>149</v>
      </c>
      <c r="B43" s="146">
        <f>SUM(C43:D43)</f>
        <v>1007892</v>
      </c>
      <c r="C43" s="147">
        <v>1007892</v>
      </c>
      <c r="D43" s="147"/>
      <c r="E43" s="147">
        <v>1007892</v>
      </c>
      <c r="F43" s="147"/>
      <c r="G43" s="147"/>
      <c r="H43" s="147"/>
      <c r="I43" s="147"/>
      <c r="J43" s="147"/>
      <c r="K43" s="147"/>
      <c r="L43" s="147"/>
      <c r="M43" s="147"/>
      <c r="N43" s="147"/>
      <c r="O43" s="147"/>
      <c r="P43" s="147"/>
      <c r="Q43" s="147"/>
      <c r="R43" s="551">
        <f>SUM(E43:Q43)</f>
        <v>1007892</v>
      </c>
      <c r="S43" s="147">
        <v>1007892</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9641694</v>
      </c>
      <c r="C45" s="147">
        <v>9641694</v>
      </c>
      <c r="D45" s="147"/>
      <c r="E45" s="147">
        <f>C45-G45</f>
        <v>9277412</v>
      </c>
      <c r="F45" s="147"/>
      <c r="G45" s="147">
        <v>364282</v>
      </c>
      <c r="H45" s="147"/>
      <c r="I45" s="147"/>
      <c r="J45" s="147"/>
      <c r="K45" s="147"/>
      <c r="L45" s="147"/>
      <c r="M45" s="147"/>
      <c r="N45" s="147"/>
      <c r="O45" s="147"/>
      <c r="P45" s="147"/>
      <c r="Q45" s="147"/>
      <c r="R45" s="551">
        <f t="shared" ref="R45:R53" si="11">SUM(E45:Q45)</f>
        <v>9641694</v>
      </c>
      <c r="S45" s="147">
        <v>6830000</v>
      </c>
      <c r="T45" s="147"/>
      <c r="U45" s="143"/>
    </row>
    <row r="46" spans="1:21" s="144" customFormat="1">
      <c r="A46" s="145" t="s">
        <v>152</v>
      </c>
      <c r="B46" s="146">
        <f t="shared" si="10"/>
        <v>940031</v>
      </c>
      <c r="C46" s="147">
        <v>940031</v>
      </c>
      <c r="D46" s="147"/>
      <c r="E46" s="147">
        <f>C46</f>
        <v>940031</v>
      </c>
      <c r="F46" s="147"/>
      <c r="G46" s="147"/>
      <c r="H46" s="147"/>
      <c r="I46" s="147"/>
      <c r="J46" s="147"/>
      <c r="K46" s="147"/>
      <c r="L46" s="147"/>
      <c r="M46" s="147"/>
      <c r="N46" s="147"/>
      <c r="O46" s="147"/>
      <c r="P46" s="147"/>
      <c r="Q46" s="147"/>
      <c r="R46" s="551">
        <f t="shared" si="11"/>
        <v>940031</v>
      </c>
      <c r="S46" s="147">
        <v>649987</v>
      </c>
      <c r="T46" s="147"/>
      <c r="U46" s="143"/>
    </row>
    <row r="47" spans="1:21" s="144" customFormat="1">
      <c r="A47" s="198" t="s">
        <v>153</v>
      </c>
      <c r="B47" s="146">
        <f t="shared" si="10"/>
        <v>2500</v>
      </c>
      <c r="C47" s="147">
        <v>2500</v>
      </c>
      <c r="D47" s="147"/>
      <c r="E47" s="147">
        <f>C47</f>
        <v>2500</v>
      </c>
      <c r="F47" s="147"/>
      <c r="G47" s="147"/>
      <c r="H47" s="147"/>
      <c r="I47" s="147"/>
      <c r="J47" s="147"/>
      <c r="K47" s="147"/>
      <c r="L47" s="147"/>
      <c r="M47" s="147"/>
      <c r="N47" s="147"/>
      <c r="O47" s="147"/>
      <c r="P47" s="147"/>
      <c r="Q47" s="147"/>
      <c r="R47" s="551">
        <f t="shared" si="11"/>
        <v>2500</v>
      </c>
      <c r="S47" s="147">
        <f>0.5*R47</f>
        <v>1250</v>
      </c>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200331</v>
      </c>
      <c r="C49" s="147">
        <v>200331</v>
      </c>
      <c r="D49" s="147"/>
      <c r="E49" s="147">
        <f t="shared" ref="E49:E52" si="12">C49</f>
        <v>200331</v>
      </c>
      <c r="F49" s="147"/>
      <c r="G49" s="147"/>
      <c r="H49" s="147"/>
      <c r="I49" s="147"/>
      <c r="J49" s="147"/>
      <c r="K49" s="147"/>
      <c r="L49" s="147"/>
      <c r="M49" s="147"/>
      <c r="N49" s="147"/>
      <c r="O49" s="147"/>
      <c r="P49" s="147"/>
      <c r="Q49" s="147"/>
      <c r="R49" s="551">
        <f t="shared" si="11"/>
        <v>200331</v>
      </c>
      <c r="S49" s="147">
        <v>200307</v>
      </c>
      <c r="T49" s="147"/>
      <c r="U49" s="143"/>
    </row>
    <row r="50" spans="1:21" s="144" customFormat="1">
      <c r="A50" s="145" t="s">
        <v>157</v>
      </c>
      <c r="B50" s="146">
        <f t="shared" si="10"/>
        <v>75000</v>
      </c>
      <c r="C50" s="147">
        <v>75000</v>
      </c>
      <c r="D50" s="147"/>
      <c r="E50" s="147">
        <f t="shared" si="12"/>
        <v>75000</v>
      </c>
      <c r="F50" s="147"/>
      <c r="G50" s="147"/>
      <c r="H50" s="147"/>
      <c r="I50" s="147"/>
      <c r="J50" s="147"/>
      <c r="K50" s="147"/>
      <c r="L50" s="147"/>
      <c r="M50" s="147"/>
      <c r="N50" s="147"/>
      <c r="O50" s="147"/>
      <c r="P50" s="147"/>
      <c r="Q50" s="147"/>
      <c r="R50" s="551">
        <f t="shared" si="11"/>
        <v>75000</v>
      </c>
      <c r="S50" s="147">
        <f>0.5*R50</f>
        <v>37500</v>
      </c>
      <c r="T50" s="147"/>
      <c r="U50" s="143"/>
    </row>
    <row r="51" spans="1:21" s="144" customFormat="1">
      <c r="A51" s="304" t="s">
        <v>155</v>
      </c>
      <c r="B51" s="146">
        <f t="shared" si="10"/>
        <v>606333</v>
      </c>
      <c r="C51" s="147">
        <v>606333</v>
      </c>
      <c r="D51" s="147"/>
      <c r="E51" s="147">
        <f t="shared" si="12"/>
        <v>606333</v>
      </c>
      <c r="F51" s="147"/>
      <c r="G51" s="147"/>
      <c r="H51" s="147"/>
      <c r="I51" s="147"/>
      <c r="J51" s="147"/>
      <c r="K51" s="147"/>
      <c r="L51" s="147"/>
      <c r="M51" s="147"/>
      <c r="N51" s="147"/>
      <c r="O51" s="147"/>
      <c r="P51" s="147"/>
      <c r="Q51" s="147"/>
      <c r="R51" s="551">
        <f t="shared" si="11"/>
        <v>606333</v>
      </c>
      <c r="S51" s="147">
        <v>303167</v>
      </c>
      <c r="T51" s="147"/>
      <c r="U51" s="143"/>
    </row>
    <row r="52" spans="1:21" s="144" customFormat="1">
      <c r="A52" s="145" t="s">
        <v>156</v>
      </c>
      <c r="B52" s="146">
        <f t="shared" si="10"/>
        <v>1512205</v>
      </c>
      <c r="C52" s="147">
        <v>1512205</v>
      </c>
      <c r="D52" s="147"/>
      <c r="E52" s="147">
        <f t="shared" si="12"/>
        <v>1512205</v>
      </c>
      <c r="F52" s="147"/>
      <c r="G52" s="147"/>
      <c r="H52" s="147"/>
      <c r="I52" s="147"/>
      <c r="J52" s="147"/>
      <c r="K52" s="147"/>
      <c r="L52" s="147"/>
      <c r="M52" s="147"/>
      <c r="N52" s="147"/>
      <c r="O52" s="147"/>
      <c r="P52" s="147"/>
      <c r="Q52" s="147"/>
      <c r="R52" s="551">
        <f t="shared" si="11"/>
        <v>1512205</v>
      </c>
      <c r="S52" s="147">
        <v>772205</v>
      </c>
      <c r="T52" s="147"/>
      <c r="U52" s="143"/>
    </row>
    <row r="53" spans="1:21" s="144" customFormat="1">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c r="T53" s="147"/>
      <c r="U53" s="143"/>
    </row>
    <row r="54" spans="1:21" s="153" customFormat="1" ht="12">
      <c r="A54" s="149" t="s">
        <v>158</v>
      </c>
      <c r="B54" s="150">
        <f>SUM(C54:D54)</f>
        <v>12978094</v>
      </c>
      <c r="C54" s="150">
        <f t="shared" ref="C54:T54" si="13">SUM(C45:C53)</f>
        <v>12978094</v>
      </c>
      <c r="D54" s="150">
        <f t="shared" si="13"/>
        <v>0</v>
      </c>
      <c r="E54" s="150">
        <f t="shared" si="13"/>
        <v>12613812</v>
      </c>
      <c r="F54" s="150">
        <f t="shared" si="13"/>
        <v>0</v>
      </c>
      <c r="G54" s="150">
        <f t="shared" si="13"/>
        <v>364282</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12978094</v>
      </c>
      <c r="S54" s="150">
        <f t="shared" si="13"/>
        <v>8794416</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15000</v>
      </c>
      <c r="C57" s="202">
        <v>15000</v>
      </c>
      <c r="D57" s="202"/>
      <c r="E57" s="202">
        <f t="shared" ref="E57:E58" si="16">C57</f>
        <v>15000</v>
      </c>
      <c r="F57" s="202"/>
      <c r="G57" s="202"/>
      <c r="H57" s="202"/>
      <c r="I57" s="202"/>
      <c r="J57" s="202"/>
      <c r="K57" s="202"/>
      <c r="L57" s="202"/>
      <c r="M57" s="202"/>
      <c r="N57" s="202"/>
      <c r="O57" s="202"/>
      <c r="P57" s="202"/>
      <c r="Q57" s="202"/>
      <c r="R57" s="551">
        <f t="shared" si="15"/>
        <v>15000</v>
      </c>
      <c r="S57" s="206"/>
      <c r="T57" s="206"/>
      <c r="U57" s="203"/>
    </row>
    <row r="58" spans="1:21" s="144" customFormat="1">
      <c r="A58" s="145" t="s">
        <v>157</v>
      </c>
      <c r="B58" s="146">
        <f t="shared" si="14"/>
        <v>25000</v>
      </c>
      <c r="C58" s="147">
        <v>25000</v>
      </c>
      <c r="D58" s="147"/>
      <c r="E58" s="147">
        <f t="shared" si="16"/>
        <v>25000</v>
      </c>
      <c r="F58" s="147"/>
      <c r="G58" s="147"/>
      <c r="H58" s="147"/>
      <c r="I58" s="147"/>
      <c r="J58" s="147"/>
      <c r="K58" s="147"/>
      <c r="L58" s="147"/>
      <c r="M58" s="147"/>
      <c r="N58" s="147"/>
      <c r="O58" s="147"/>
      <c r="P58" s="147"/>
      <c r="Q58" s="147"/>
      <c r="R58" s="551">
        <f t="shared" si="15"/>
        <v>25000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65" customHeight="1">
      <c r="A62" s="149" t="s">
        <v>303</v>
      </c>
      <c r="B62" s="146">
        <f>SUM(C62:D62)</f>
        <v>40000</v>
      </c>
      <c r="C62" s="146">
        <f t="shared" ref="C62:R62" si="17">SUM(C56:C61)</f>
        <v>40000</v>
      </c>
      <c r="D62" s="146">
        <f t="shared" si="17"/>
        <v>0</v>
      </c>
      <c r="E62" s="146">
        <f t="shared" si="17"/>
        <v>40000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40000</v>
      </c>
      <c r="S62" s="148"/>
      <c r="T62" s="148"/>
      <c r="U62" s="143"/>
    </row>
    <row r="63" spans="1:21" s="144" customFormat="1">
      <c r="A63" s="154" t="s">
        <v>304</v>
      </c>
      <c r="B63" s="146">
        <f t="shared" ref="B63:R63" si="18">SUM(B8+B11+B13+B14+B15+B26+B27+B38+B42+B43+B54+B62)</f>
        <v>110776988</v>
      </c>
      <c r="C63" s="146">
        <f t="shared" si="18"/>
        <v>110776988</v>
      </c>
      <c r="D63" s="146">
        <f t="shared" si="18"/>
        <v>0</v>
      </c>
      <c r="E63" s="146">
        <f t="shared" si="18"/>
        <v>61512706</v>
      </c>
      <c r="F63" s="146">
        <f t="shared" si="18"/>
        <v>32500000</v>
      </c>
      <c r="G63" s="146">
        <f t="shared" si="18"/>
        <v>364282</v>
      </c>
      <c r="H63" s="146">
        <f t="shared" si="18"/>
        <v>0</v>
      </c>
      <c r="I63" s="146">
        <f t="shared" si="18"/>
        <v>13900000</v>
      </c>
      <c r="J63" s="146">
        <f t="shared" si="18"/>
        <v>2500000</v>
      </c>
      <c r="K63" s="146">
        <f t="shared" si="18"/>
        <v>0</v>
      </c>
      <c r="L63" s="146">
        <f t="shared" si="18"/>
        <v>0</v>
      </c>
      <c r="M63" s="146">
        <f t="shared" si="18"/>
        <v>0</v>
      </c>
      <c r="N63" s="146">
        <f t="shared" si="18"/>
        <v>0</v>
      </c>
      <c r="O63" s="146">
        <f t="shared" si="18"/>
        <v>0</v>
      </c>
      <c r="P63" s="146">
        <f t="shared" si="18"/>
        <v>0</v>
      </c>
      <c r="Q63" s="146">
        <f t="shared" si="18"/>
        <v>0</v>
      </c>
      <c r="R63" s="371">
        <f t="shared" si="18"/>
        <v>110776988</v>
      </c>
      <c r="S63" s="146">
        <f>SUM(S10+S13+S14+S15+S26+S27+S38+S42+S43+S54)</f>
        <v>92193886</v>
      </c>
      <c r="T63" s="146">
        <f>SUM(T11+T13+T14+T15+T26+T27+T38+T42+T43+T54)</f>
        <v>0</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290500</v>
      </c>
      <c r="C65" s="147">
        <v>290500</v>
      </c>
      <c r="D65" s="147"/>
      <c r="E65" s="147">
        <f>C65</f>
        <v>290500</v>
      </c>
      <c r="F65" s="147"/>
      <c r="G65" s="147"/>
      <c r="H65" s="147"/>
      <c r="I65" s="147"/>
      <c r="J65" s="147"/>
      <c r="K65" s="147"/>
      <c r="L65" s="147"/>
      <c r="M65" s="147"/>
      <c r="N65" s="147"/>
      <c r="O65" s="147"/>
      <c r="P65" s="147"/>
      <c r="Q65" s="147"/>
      <c r="R65" s="551">
        <f>SUM(E65:Q65)</f>
        <v>290500</v>
      </c>
      <c r="S65" s="147">
        <v>200000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1827</v>
      </c>
      <c r="B70" s="146">
        <f>SUM(C70:D70)</f>
        <v>290500</v>
      </c>
      <c r="C70" s="146">
        <f>SUM(C65:C69)</f>
        <v>290500</v>
      </c>
      <c r="D70" s="146">
        <f>SUM(D65:D69)</f>
        <v>0</v>
      </c>
      <c r="E70" s="146">
        <f t="shared" ref="E70:T70" si="19">SUM(E65:E69)</f>
        <v>290500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1">
        <f t="shared" si="19"/>
        <v>290500</v>
      </c>
      <c r="S70" s="150">
        <f t="shared" si="19"/>
        <v>200000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923694</v>
      </c>
      <c r="C75" s="147">
        <v>923694</v>
      </c>
      <c r="D75" s="147"/>
      <c r="E75" s="147">
        <f>C75</f>
        <v>923694</v>
      </c>
      <c r="F75" s="147"/>
      <c r="G75" s="147"/>
      <c r="H75" s="147"/>
      <c r="I75" s="147"/>
      <c r="J75" s="147"/>
      <c r="K75" s="147"/>
      <c r="L75" s="147"/>
      <c r="M75" s="147"/>
      <c r="N75" s="147"/>
      <c r="O75" s="147"/>
      <c r="P75" s="147"/>
      <c r="Q75" s="147"/>
      <c r="R75" s="551">
        <f>SUM(E75:Q75)</f>
        <v>923694</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923694</v>
      </c>
      <c r="C77" s="146">
        <f>SUM(C72:C76)</f>
        <v>923694</v>
      </c>
      <c r="D77" s="146">
        <f>SUM(D72:D76)</f>
        <v>0</v>
      </c>
      <c r="E77" s="146">
        <f t="shared" ref="E77:Q77" si="20">SUM(E72:E76)</f>
        <v>923694</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923694</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6904828</v>
      </c>
      <c r="C79" s="147">
        <v>6904828</v>
      </c>
      <c r="D79" s="147"/>
      <c r="E79" s="147">
        <f t="shared" ref="E79:E80" si="21">C79</f>
        <v>6904828</v>
      </c>
      <c r="F79" s="147"/>
      <c r="G79" s="147"/>
      <c r="H79" s="147"/>
      <c r="I79" s="147"/>
      <c r="J79" s="147"/>
      <c r="K79" s="147"/>
      <c r="L79" s="147"/>
      <c r="M79" s="147"/>
      <c r="N79" s="147"/>
      <c r="O79" s="147"/>
      <c r="P79" s="147"/>
      <c r="Q79" s="147"/>
      <c r="R79" s="551">
        <f>SUM(E79:Q79)</f>
        <v>6904828</v>
      </c>
      <c r="S79" s="147">
        <f>R79</f>
        <v>6904828</v>
      </c>
      <c r="T79" s="147"/>
      <c r="U79" s="143"/>
    </row>
    <row r="80" spans="1:21" s="144" customFormat="1">
      <c r="A80" s="304" t="s">
        <v>58</v>
      </c>
      <c r="B80" s="146">
        <f>SUM(C80:D80)</f>
        <v>531059</v>
      </c>
      <c r="C80" s="147">
        <v>531059</v>
      </c>
      <c r="D80" s="147"/>
      <c r="E80" s="147">
        <f t="shared" si="21"/>
        <v>531059</v>
      </c>
      <c r="F80" s="147"/>
      <c r="G80" s="147"/>
      <c r="H80" s="147"/>
      <c r="I80" s="147"/>
      <c r="J80" s="147"/>
      <c r="K80" s="147"/>
      <c r="L80" s="147"/>
      <c r="M80" s="147"/>
      <c r="N80" s="147"/>
      <c r="O80" s="147"/>
      <c r="P80" s="147"/>
      <c r="Q80" s="147"/>
      <c r="R80" s="551">
        <f>SUM(E80:Q80)</f>
        <v>531059</v>
      </c>
      <c r="S80" s="147">
        <v>211797</v>
      </c>
      <c r="T80" s="147"/>
      <c r="U80" s="143"/>
    </row>
    <row r="81" spans="1:21" s="144" customFormat="1" ht="12">
      <c r="A81" s="149" t="s">
        <v>1353</v>
      </c>
      <c r="B81" s="146">
        <f>SUM(C81:D81)</f>
        <v>7435887</v>
      </c>
      <c r="C81" s="544">
        <f>SUM(C79:C80)</f>
        <v>7435887</v>
      </c>
      <c r="D81" s="544">
        <f t="shared" ref="D81:T81" si="22">SUM(D79:D80)</f>
        <v>0</v>
      </c>
      <c r="E81" s="544">
        <f t="shared" si="22"/>
        <v>7435887</v>
      </c>
      <c r="F81" s="544">
        <f t="shared" si="22"/>
        <v>0</v>
      </c>
      <c r="G81" s="544">
        <f t="shared" si="22"/>
        <v>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7435887</v>
      </c>
      <c r="S81" s="544">
        <f t="shared" si="22"/>
        <v>7116625</v>
      </c>
      <c r="T81" s="544">
        <f t="shared" si="2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2520</v>
      </c>
      <c r="B83" s="146">
        <f t="shared" ref="B83:B95" si="23">SUM(C83+D83)</f>
        <v>109915</v>
      </c>
      <c r="C83" s="147">
        <v>109915</v>
      </c>
      <c r="D83" s="147"/>
      <c r="E83" s="147">
        <f t="shared" ref="E83:E86" si="24">C83</f>
        <v>109915</v>
      </c>
      <c r="F83" s="147"/>
      <c r="G83" s="147"/>
      <c r="H83" s="147"/>
      <c r="I83" s="147"/>
      <c r="J83" s="147"/>
      <c r="K83" s="147"/>
      <c r="L83" s="147"/>
      <c r="M83" s="147"/>
      <c r="N83" s="147"/>
      <c r="O83" s="147"/>
      <c r="P83" s="147"/>
      <c r="Q83" s="147"/>
      <c r="R83" s="551">
        <f t="shared" ref="R83:R95" si="25">SUM(E83:Q83)</f>
        <v>109915</v>
      </c>
      <c r="S83" s="148"/>
      <c r="T83" s="148"/>
      <c r="U83" s="143"/>
    </row>
    <row r="84" spans="1:21" s="144" customFormat="1">
      <c r="A84" s="145" t="s">
        <v>792</v>
      </c>
      <c r="B84" s="146">
        <f t="shared" si="23"/>
        <v>214000</v>
      </c>
      <c r="C84" s="147">
        <v>214000</v>
      </c>
      <c r="D84" s="147"/>
      <c r="E84" s="147">
        <f t="shared" si="24"/>
        <v>214000</v>
      </c>
      <c r="F84" s="147"/>
      <c r="G84" s="147"/>
      <c r="H84" s="147"/>
      <c r="I84" s="147"/>
      <c r="J84" s="147"/>
      <c r="K84" s="147"/>
      <c r="L84" s="147"/>
      <c r="M84" s="147"/>
      <c r="N84" s="147"/>
      <c r="O84" s="147"/>
      <c r="P84" s="147"/>
      <c r="Q84" s="147"/>
      <c r="R84" s="551">
        <f t="shared" si="25"/>
        <v>214000</v>
      </c>
      <c r="S84" s="147">
        <f>R84</f>
        <v>214000</v>
      </c>
      <c r="T84" s="147"/>
      <c r="U84" s="143"/>
    </row>
    <row r="85" spans="1:21" s="144" customFormat="1">
      <c r="A85" s="145" t="s">
        <v>793</v>
      </c>
      <c r="B85" s="146">
        <f t="shared" si="23"/>
        <v>2126910</v>
      </c>
      <c r="C85" s="147">
        <v>2126910</v>
      </c>
      <c r="D85" s="147"/>
      <c r="E85" s="147">
        <f t="shared" si="24"/>
        <v>2126910</v>
      </c>
      <c r="F85" s="147"/>
      <c r="G85" s="147"/>
      <c r="H85" s="147"/>
      <c r="I85" s="147"/>
      <c r="J85" s="147"/>
      <c r="K85" s="147"/>
      <c r="L85" s="147"/>
      <c r="M85" s="147"/>
      <c r="N85" s="147"/>
      <c r="O85" s="147"/>
      <c r="P85" s="147"/>
      <c r="Q85" s="147"/>
      <c r="R85" s="551">
        <f t="shared" si="25"/>
        <v>2126910</v>
      </c>
      <c r="S85" s="147">
        <f>R85</f>
        <v>2126910</v>
      </c>
      <c r="T85" s="147"/>
      <c r="U85" s="143"/>
    </row>
    <row r="86" spans="1:21" s="144" customFormat="1">
      <c r="A86" s="145" t="s">
        <v>794</v>
      </c>
      <c r="B86" s="146">
        <f t="shared" si="23"/>
        <v>1740199</v>
      </c>
      <c r="C86" s="147">
        <v>1740199</v>
      </c>
      <c r="D86" s="147"/>
      <c r="E86" s="147">
        <f t="shared" si="24"/>
        <v>1740199</v>
      </c>
      <c r="F86" s="147"/>
      <c r="G86" s="147"/>
      <c r="H86" s="147"/>
      <c r="I86" s="147"/>
      <c r="J86" s="147"/>
      <c r="K86" s="147"/>
      <c r="L86" s="147"/>
      <c r="M86" s="147"/>
      <c r="N86" s="147"/>
      <c r="O86" s="147"/>
      <c r="P86" s="147"/>
      <c r="Q86" s="147"/>
      <c r="R86" s="551">
        <f t="shared" si="25"/>
        <v>1740199</v>
      </c>
      <c r="S86" s="147">
        <f>R86</f>
        <v>1740199</v>
      </c>
      <c r="T86" s="147"/>
      <c r="U86" s="143"/>
    </row>
    <row r="87" spans="1:21" s="144" customFormat="1">
      <c r="A87" s="145" t="s">
        <v>795</v>
      </c>
      <c r="B87" s="146">
        <f t="shared" si="23"/>
        <v>0</v>
      </c>
      <c r="C87" s="147"/>
      <c r="D87" s="147"/>
      <c r="E87" s="147"/>
      <c r="F87" s="147"/>
      <c r="G87" s="147"/>
      <c r="H87" s="147"/>
      <c r="I87" s="147"/>
      <c r="J87" s="147"/>
      <c r="K87" s="147"/>
      <c r="L87" s="147"/>
      <c r="M87" s="147"/>
      <c r="N87" s="147"/>
      <c r="O87" s="147"/>
      <c r="P87" s="147"/>
      <c r="Q87" s="147"/>
      <c r="R87" s="551">
        <f t="shared" si="25"/>
        <v>0</v>
      </c>
      <c r="S87" s="147"/>
      <c r="T87" s="147"/>
      <c r="U87" s="143"/>
    </row>
    <row r="88" spans="1:21" s="144" customFormat="1">
      <c r="A88" s="145" t="s">
        <v>796</v>
      </c>
      <c r="B88" s="146">
        <f t="shared" si="23"/>
        <v>100000</v>
      </c>
      <c r="C88" s="147">
        <v>100000</v>
      </c>
      <c r="D88" s="147"/>
      <c r="E88" s="147">
        <f t="shared" ref="E88:E95" si="26">C88</f>
        <v>100000</v>
      </c>
      <c r="F88" s="147"/>
      <c r="G88" s="147"/>
      <c r="H88" s="147"/>
      <c r="I88" s="147"/>
      <c r="J88" s="147"/>
      <c r="K88" s="147"/>
      <c r="L88" s="147"/>
      <c r="M88" s="147"/>
      <c r="N88" s="147"/>
      <c r="O88" s="147"/>
      <c r="P88" s="147"/>
      <c r="Q88" s="147"/>
      <c r="R88" s="551">
        <f t="shared" si="25"/>
        <v>100000</v>
      </c>
      <c r="S88" s="148"/>
      <c r="T88" s="148"/>
      <c r="U88" s="143"/>
    </row>
    <row r="89" spans="1:21" s="144" customFormat="1">
      <c r="A89" s="145" t="s">
        <v>797</v>
      </c>
      <c r="B89" s="146">
        <f t="shared" si="23"/>
        <v>378000</v>
      </c>
      <c r="C89" s="147">
        <v>378000</v>
      </c>
      <c r="D89" s="147"/>
      <c r="E89" s="147">
        <f t="shared" si="26"/>
        <v>378000</v>
      </c>
      <c r="F89" s="147"/>
      <c r="G89" s="147"/>
      <c r="H89" s="147"/>
      <c r="I89" s="147"/>
      <c r="J89" s="147"/>
      <c r="K89" s="147"/>
      <c r="L89" s="147"/>
      <c r="M89" s="147"/>
      <c r="N89" s="147"/>
      <c r="O89" s="147"/>
      <c r="P89" s="147"/>
      <c r="Q89" s="147"/>
      <c r="R89" s="551">
        <f t="shared" si="25"/>
        <v>378000</v>
      </c>
      <c r="S89" s="147">
        <v>300000</v>
      </c>
      <c r="T89" s="147"/>
      <c r="U89" s="143"/>
    </row>
    <row r="90" spans="1:21" s="144" customFormat="1">
      <c r="A90" s="145" t="s">
        <v>798</v>
      </c>
      <c r="B90" s="146">
        <f t="shared" si="23"/>
        <v>15000</v>
      </c>
      <c r="C90" s="147">
        <v>15000</v>
      </c>
      <c r="D90" s="147"/>
      <c r="E90" s="147">
        <f t="shared" si="26"/>
        <v>15000</v>
      </c>
      <c r="F90" s="147"/>
      <c r="G90" s="147"/>
      <c r="H90" s="147"/>
      <c r="I90" s="147"/>
      <c r="J90" s="147"/>
      <c r="K90" s="147"/>
      <c r="L90" s="147"/>
      <c r="M90" s="147"/>
      <c r="N90" s="147"/>
      <c r="O90" s="147"/>
      <c r="P90" s="147"/>
      <c r="Q90" s="147"/>
      <c r="R90" s="551">
        <f t="shared" si="25"/>
        <v>15000</v>
      </c>
      <c r="S90" s="147">
        <f>R90</f>
        <v>15000</v>
      </c>
      <c r="T90" s="147"/>
      <c r="U90" s="143"/>
    </row>
    <row r="91" spans="1:21" s="144" customFormat="1">
      <c r="A91" s="145" t="s">
        <v>374</v>
      </c>
      <c r="B91" s="146">
        <f t="shared" si="23"/>
        <v>75000</v>
      </c>
      <c r="C91" s="147">
        <v>75000</v>
      </c>
      <c r="D91" s="147"/>
      <c r="E91" s="147">
        <f t="shared" si="26"/>
        <v>75000</v>
      </c>
      <c r="F91" s="147"/>
      <c r="G91" s="147"/>
      <c r="H91" s="147"/>
      <c r="I91" s="147"/>
      <c r="J91" s="147"/>
      <c r="K91" s="147"/>
      <c r="L91" s="147"/>
      <c r="M91" s="147"/>
      <c r="N91" s="147"/>
      <c r="O91" s="147"/>
      <c r="P91" s="147"/>
      <c r="Q91" s="147"/>
      <c r="R91" s="551">
        <f t="shared" si="25"/>
        <v>75000</v>
      </c>
      <c r="S91" s="147">
        <v>75000</v>
      </c>
      <c r="T91" s="147"/>
      <c r="U91" s="143"/>
    </row>
    <row r="92" spans="1:21" s="144" customFormat="1">
      <c r="A92" s="304" t="s">
        <v>1355</v>
      </c>
      <c r="B92" s="146">
        <f t="shared" si="23"/>
        <v>10000</v>
      </c>
      <c r="C92" s="147">
        <v>10000</v>
      </c>
      <c r="D92" s="147"/>
      <c r="E92" s="147">
        <f t="shared" si="26"/>
        <v>10000</v>
      </c>
      <c r="F92" s="147"/>
      <c r="G92" s="147"/>
      <c r="H92" s="147"/>
      <c r="I92" s="147"/>
      <c r="J92" s="147"/>
      <c r="K92" s="147"/>
      <c r="L92" s="147"/>
      <c r="M92" s="147"/>
      <c r="N92" s="147"/>
      <c r="O92" s="147"/>
      <c r="P92" s="147"/>
      <c r="Q92" s="147"/>
      <c r="R92" s="551">
        <f t="shared" si="25"/>
        <v>10000</v>
      </c>
      <c r="S92" s="147">
        <f>R92</f>
        <v>10000</v>
      </c>
      <c r="T92" s="147"/>
      <c r="U92" s="143"/>
    </row>
    <row r="93" spans="1:21" s="144" customFormat="1">
      <c r="A93" s="1202" t="s">
        <v>2758</v>
      </c>
      <c r="B93" s="146">
        <f t="shared" si="23"/>
        <v>67200</v>
      </c>
      <c r="C93" s="147">
        <v>67200</v>
      </c>
      <c r="D93" s="147"/>
      <c r="E93" s="147">
        <f t="shared" si="26"/>
        <v>67200</v>
      </c>
      <c r="F93" s="147"/>
      <c r="G93" s="147"/>
      <c r="H93" s="147"/>
      <c r="I93" s="147"/>
      <c r="J93" s="147"/>
      <c r="K93" s="147"/>
      <c r="L93" s="147"/>
      <c r="M93" s="147"/>
      <c r="N93" s="147"/>
      <c r="O93" s="147"/>
      <c r="P93" s="147"/>
      <c r="Q93" s="147"/>
      <c r="R93" s="551">
        <f t="shared" si="25"/>
        <v>67200</v>
      </c>
      <c r="S93" s="147">
        <v>67200</v>
      </c>
      <c r="T93" s="147"/>
      <c r="U93" s="143"/>
    </row>
    <row r="94" spans="1:21" s="144" customFormat="1">
      <c r="A94" s="1202" t="s">
        <v>2759</v>
      </c>
      <c r="B94" s="146">
        <f t="shared" si="23"/>
        <v>100000</v>
      </c>
      <c r="C94" s="147">
        <v>100000</v>
      </c>
      <c r="D94" s="147"/>
      <c r="E94" s="147">
        <f t="shared" si="26"/>
        <v>100000</v>
      </c>
      <c r="F94" s="147"/>
      <c r="G94" s="147" t="s">
        <v>252</v>
      </c>
      <c r="H94" s="147"/>
      <c r="I94" s="147"/>
      <c r="J94" s="147"/>
      <c r="K94" s="147"/>
      <c r="L94" s="147"/>
      <c r="M94" s="147"/>
      <c r="N94" s="147"/>
      <c r="O94" s="147"/>
      <c r="P94" s="147"/>
      <c r="Q94" s="147"/>
      <c r="R94" s="551">
        <f t="shared" si="25"/>
        <v>100000</v>
      </c>
      <c r="S94" s="147">
        <v>100000</v>
      </c>
      <c r="T94" s="147"/>
      <c r="U94" s="143"/>
    </row>
    <row r="95" spans="1:21" s="144" customFormat="1">
      <c r="A95" s="1202" t="s">
        <v>2760</v>
      </c>
      <c r="B95" s="146">
        <f t="shared" si="23"/>
        <v>103750</v>
      </c>
      <c r="C95" s="147">
        <v>103750</v>
      </c>
      <c r="D95" s="147"/>
      <c r="E95" s="147">
        <f t="shared" si="26"/>
        <v>103750</v>
      </c>
      <c r="F95" s="147"/>
      <c r="G95" s="147"/>
      <c r="H95" s="147"/>
      <c r="I95" s="147"/>
      <c r="J95" s="147"/>
      <c r="K95" s="147"/>
      <c r="L95" s="147"/>
      <c r="M95" s="147"/>
      <c r="N95" s="147"/>
      <c r="O95" s="147"/>
      <c r="P95" s="147"/>
      <c r="Q95" s="147"/>
      <c r="R95" s="551">
        <f t="shared" si="25"/>
        <v>103750</v>
      </c>
      <c r="S95" s="147"/>
      <c r="T95" s="147"/>
      <c r="U95" s="143"/>
    </row>
    <row r="96" spans="1:21" s="144" customFormat="1" ht="12">
      <c r="A96" s="149" t="s">
        <v>799</v>
      </c>
      <c r="B96" s="146">
        <f>SUM(C96:D96)</f>
        <v>5039974</v>
      </c>
      <c r="C96" s="146">
        <f t="shared" ref="C96:R96" si="27">SUM(C83:C95)</f>
        <v>5039974</v>
      </c>
      <c r="D96" s="146">
        <f t="shared" si="27"/>
        <v>0</v>
      </c>
      <c r="E96" s="146">
        <f t="shared" si="27"/>
        <v>5039974</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5039974</v>
      </c>
      <c r="S96" s="150">
        <f>SUM(S84:S87,S89:S95)</f>
        <v>4648309</v>
      </c>
      <c r="T96" s="146">
        <f>SUM(T84:T87,T89:T95)</f>
        <v>0</v>
      </c>
      <c r="U96" s="143"/>
    </row>
    <row r="97" spans="1:21" s="144" customFormat="1" ht="12">
      <c r="A97" s="149" t="s">
        <v>800</v>
      </c>
      <c r="B97" s="146">
        <f>SUM(C97:D97)</f>
        <v>124467043</v>
      </c>
      <c r="C97" s="146">
        <f t="shared" ref="C97:R97" si="28">SUM(C63+C70+C77+C81+C96)</f>
        <v>124467043</v>
      </c>
      <c r="D97" s="146">
        <f t="shared" si="28"/>
        <v>0</v>
      </c>
      <c r="E97" s="146">
        <f t="shared" si="28"/>
        <v>75202761</v>
      </c>
      <c r="F97" s="146">
        <f t="shared" si="28"/>
        <v>32500000</v>
      </c>
      <c r="G97" s="146">
        <f t="shared" si="28"/>
        <v>364282</v>
      </c>
      <c r="H97" s="146">
        <f t="shared" si="28"/>
        <v>0</v>
      </c>
      <c r="I97" s="146">
        <f t="shared" si="28"/>
        <v>13900000</v>
      </c>
      <c r="J97" s="146">
        <f t="shared" si="28"/>
        <v>2500000</v>
      </c>
      <c r="K97" s="146">
        <f t="shared" si="28"/>
        <v>0</v>
      </c>
      <c r="L97" s="146">
        <f t="shared" si="28"/>
        <v>0</v>
      </c>
      <c r="M97" s="146">
        <f t="shared" si="28"/>
        <v>0</v>
      </c>
      <c r="N97" s="146">
        <f t="shared" si="28"/>
        <v>0</v>
      </c>
      <c r="O97" s="146">
        <f t="shared" si="28"/>
        <v>0</v>
      </c>
      <c r="P97" s="146">
        <f t="shared" si="28"/>
        <v>0</v>
      </c>
      <c r="Q97" s="146">
        <f t="shared" si="28"/>
        <v>0</v>
      </c>
      <c r="R97" s="146">
        <f t="shared" si="28"/>
        <v>124467043</v>
      </c>
      <c r="S97" s="146">
        <f>SUM(S63+S70+S81+S96)</f>
        <v>104158820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5600000</v>
      </c>
      <c r="C99" s="1016">
        <v>5600000</v>
      </c>
      <c r="D99" s="1016"/>
      <c r="E99" s="1016">
        <f>C99-H99</f>
        <v>723589</v>
      </c>
      <c r="F99" s="147"/>
      <c r="G99" s="147"/>
      <c r="H99" s="147">
        <v>4876411</v>
      </c>
      <c r="I99" s="147"/>
      <c r="J99" s="147"/>
      <c r="K99" s="147"/>
      <c r="L99" s="147"/>
      <c r="M99" s="147"/>
      <c r="N99" s="147"/>
      <c r="O99" s="147"/>
      <c r="P99" s="147"/>
      <c r="Q99" s="147"/>
      <c r="R99" s="551">
        <f>SUM(E99:Q99)</f>
        <v>5600000</v>
      </c>
      <c r="S99" s="147">
        <v>5600000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5600000</v>
      </c>
      <c r="C104" s="146">
        <f>SUM(C99:C103)</f>
        <v>5600000</v>
      </c>
      <c r="D104" s="146">
        <f t="shared" ref="D104:T104" si="29">SUM(D99:D103)</f>
        <v>0</v>
      </c>
      <c r="E104" s="146">
        <f t="shared" si="29"/>
        <v>723589</v>
      </c>
      <c r="F104" s="146">
        <f t="shared" si="29"/>
        <v>0</v>
      </c>
      <c r="G104" s="146">
        <f t="shared" si="29"/>
        <v>0</v>
      </c>
      <c r="H104" s="146">
        <f t="shared" si="29"/>
        <v>4876411</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1">
        <f t="shared" si="29"/>
        <v>5600000</v>
      </c>
      <c r="S104" s="150">
        <f t="shared" si="29"/>
        <v>5600000</v>
      </c>
      <c r="T104" s="150">
        <f t="shared" si="29"/>
        <v>0</v>
      </c>
      <c r="U104" s="143"/>
    </row>
    <row r="105" spans="1:21" s="144" customFormat="1" ht="12">
      <c r="A105" s="149" t="s">
        <v>805</v>
      </c>
      <c r="B105" s="150">
        <f>SUM(C105:D105)</f>
        <v>130067043</v>
      </c>
      <c r="C105" s="150">
        <f t="shared" ref="C105:R105" si="30">SUM(C97+C104)</f>
        <v>130067043</v>
      </c>
      <c r="D105" s="150">
        <f t="shared" si="30"/>
        <v>0</v>
      </c>
      <c r="E105" s="150">
        <f t="shared" si="30"/>
        <v>75926350</v>
      </c>
      <c r="F105" s="150">
        <f t="shared" si="30"/>
        <v>32500000</v>
      </c>
      <c r="G105" s="150">
        <f t="shared" si="30"/>
        <v>364282</v>
      </c>
      <c r="H105" s="150">
        <f t="shared" si="30"/>
        <v>4876411</v>
      </c>
      <c r="I105" s="150">
        <f t="shared" si="30"/>
        <v>13900000</v>
      </c>
      <c r="J105" s="150">
        <f t="shared" si="30"/>
        <v>2500000</v>
      </c>
      <c r="K105" s="150">
        <f t="shared" si="30"/>
        <v>0</v>
      </c>
      <c r="L105" s="150">
        <f t="shared" si="30"/>
        <v>0</v>
      </c>
      <c r="M105" s="150">
        <f t="shared" si="30"/>
        <v>0</v>
      </c>
      <c r="N105" s="150">
        <f t="shared" si="30"/>
        <v>0</v>
      </c>
      <c r="O105" s="150">
        <f t="shared" si="30"/>
        <v>0</v>
      </c>
      <c r="P105" s="150">
        <f t="shared" si="30"/>
        <v>0</v>
      </c>
      <c r="Q105" s="150">
        <f t="shared" si="30"/>
        <v>0</v>
      </c>
      <c r="R105" s="371">
        <f t="shared" si="30"/>
        <v>130067043</v>
      </c>
      <c r="S105" s="150">
        <f>S97+S104</f>
        <v>109758820</v>
      </c>
      <c r="T105" s="150">
        <f>T97+T104</f>
        <v>0</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109758820</v>
      </c>
      <c r="T107" s="150">
        <f>T105+T106</f>
        <v>0</v>
      </c>
    </row>
    <row r="108" spans="1:21" s="201" customFormat="1" ht="12">
      <c r="A108" s="162" t="s">
        <v>909</v>
      </c>
      <c r="B108" s="157"/>
      <c r="C108" s="157"/>
      <c r="D108" s="157"/>
      <c r="E108" s="323">
        <f>Application!AO636</f>
        <v>75926350</v>
      </c>
      <c r="F108" s="323">
        <f>Application!AO623</f>
        <v>32500000</v>
      </c>
      <c r="G108" s="323">
        <f>Application!AO624</f>
        <v>364282</v>
      </c>
      <c r="H108" s="323">
        <f>Application!AO625</f>
        <v>4876411</v>
      </c>
      <c r="I108" s="323">
        <f>Application!AO626</f>
        <v>13900000</v>
      </c>
      <c r="J108" s="323">
        <f>Application!AO627</f>
        <v>2500000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2521</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3" t="s">
        <v>1048</v>
      </c>
      <c r="E122" s="1863"/>
      <c r="F122" s="1863"/>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4" t="s">
        <v>1372</v>
      </c>
      <c r="E123" s="1855"/>
      <c r="F123" s="1855"/>
      <c r="G123" s="1855"/>
      <c r="H123" s="1855"/>
      <c r="I123" s="1855"/>
      <c r="J123" s="1855"/>
      <c r="K123" s="1855"/>
      <c r="L123" s="1855"/>
      <c r="M123" s="1855"/>
      <c r="N123" s="1855"/>
      <c r="O123" s="1855"/>
      <c r="P123" s="1855"/>
      <c r="Q123" s="1855"/>
      <c r="R123" s="1855"/>
      <c r="S123" s="1855"/>
      <c r="T123" s="353"/>
      <c r="U123" s="355"/>
    </row>
    <row r="124" spans="1:21" ht="13.2">
      <c r="A124" s="117" t="s">
        <v>1050</v>
      </c>
      <c r="B124" s="362"/>
      <c r="C124" s="117"/>
      <c r="D124" s="1855"/>
      <c r="E124" s="1855"/>
      <c r="F124" s="1855"/>
      <c r="G124" s="1855"/>
      <c r="H124" s="1855"/>
      <c r="I124" s="1855"/>
      <c r="J124" s="1855"/>
      <c r="K124" s="1855"/>
      <c r="L124" s="1855"/>
      <c r="M124" s="1855"/>
      <c r="N124" s="1855"/>
      <c r="O124" s="1855"/>
      <c r="P124" s="1855"/>
      <c r="Q124" s="1855"/>
      <c r="R124" s="1855"/>
      <c r="S124" s="1855"/>
      <c r="T124" s="353"/>
      <c r="U124" s="355"/>
    </row>
    <row r="125" spans="1:21" ht="13.2">
      <c r="A125" s="117" t="s">
        <v>1051</v>
      </c>
      <c r="B125" s="362"/>
      <c r="C125" s="117"/>
      <c r="D125" s="1855"/>
      <c r="E125" s="1855"/>
      <c r="F125" s="1855"/>
      <c r="G125" s="1855"/>
      <c r="H125" s="1855"/>
      <c r="I125" s="1855"/>
      <c r="J125" s="1855"/>
      <c r="K125" s="1855"/>
      <c r="L125" s="1855"/>
      <c r="M125" s="1855"/>
      <c r="N125" s="1855"/>
      <c r="O125" s="1855"/>
      <c r="P125" s="1855"/>
      <c r="Q125" s="1855"/>
      <c r="R125" s="1855"/>
      <c r="S125" s="1855"/>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8"/>
      <c r="E128" s="1858"/>
      <c r="F128" s="1858"/>
      <c r="G128" s="1858"/>
      <c r="H128" s="1858"/>
      <c r="I128" s="117"/>
      <c r="J128" s="1853"/>
      <c r="K128" s="1853"/>
      <c r="L128" s="117"/>
      <c r="M128" s="117"/>
      <c r="N128" s="117"/>
      <c r="O128" s="117"/>
      <c r="P128" s="117"/>
      <c r="Q128" s="117"/>
      <c r="R128" s="117"/>
      <c r="S128" s="117"/>
      <c r="T128" s="353"/>
      <c r="U128" s="355"/>
    </row>
    <row r="129" spans="1:21" ht="13.2">
      <c r="A129" s="117" t="s">
        <v>302</v>
      </c>
      <c r="B129" s="362"/>
      <c r="C129" s="117"/>
      <c r="D129" s="1862" t="s">
        <v>1055</v>
      </c>
      <c r="E129" s="1862"/>
      <c r="F129" s="1862"/>
      <c r="G129" s="1862"/>
      <c r="H129" s="1862"/>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6" t="s">
        <v>1058</v>
      </c>
      <c r="E132" s="1856"/>
      <c r="F132" s="1856"/>
      <c r="G132" s="1856"/>
      <c r="H132" s="1856"/>
      <c r="I132" s="117"/>
      <c r="J132" s="1856" t="s">
        <v>1059</v>
      </c>
      <c r="K132" s="1856"/>
      <c r="L132" s="1856"/>
      <c r="M132" s="185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v>0.51500000000000001</v>
      </c>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3"/>
      <c r="F138" s="1853"/>
      <c r="G138" s="117"/>
      <c r="H138" s="117"/>
      <c r="I138" s="117"/>
      <c r="J138" s="117"/>
      <c r="K138" s="117"/>
      <c r="L138" s="117"/>
      <c r="M138" s="117"/>
      <c r="N138" s="117"/>
      <c r="O138" s="117"/>
      <c r="P138" s="117"/>
      <c r="Q138" s="117"/>
      <c r="R138" s="117"/>
      <c r="S138" s="117"/>
      <c r="T138" s="359"/>
      <c r="U138" s="360"/>
    </row>
    <row r="139" spans="1:21" ht="13.2">
      <c r="A139" s="1852" t="s">
        <v>1062</v>
      </c>
      <c r="B139" s="1852"/>
      <c r="C139" s="1852"/>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6" t="s">
        <v>1375</v>
      </c>
      <c r="B1" s="1867"/>
      <c r="C1" s="1867"/>
      <c r="D1" s="1867"/>
      <c r="E1" s="1867"/>
      <c r="F1" s="1867"/>
      <c r="G1" s="1867"/>
      <c r="H1" s="1867"/>
      <c r="I1" s="1867"/>
      <c r="J1" s="186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14210000</v>
      </c>
      <c r="C4" s="394"/>
      <c r="D4" s="394"/>
      <c r="E4" s="395"/>
      <c r="F4" s="395"/>
      <c r="G4" s="395"/>
      <c r="H4" s="395"/>
      <c r="I4" s="395"/>
      <c r="J4" s="395"/>
      <c r="K4" s="391"/>
    </row>
    <row r="5" spans="1:11" s="392" customFormat="1" ht="11.4">
      <c r="A5" s="396" t="s">
        <v>28</v>
      </c>
      <c r="B5" s="393">
        <f>'Sources and Uses Budget'!C5</f>
        <v>149424</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14359424</v>
      </c>
      <c r="C8" s="393">
        <f>SUM(C4:C7)</f>
        <v>0</v>
      </c>
      <c r="D8" s="393">
        <f>SUM(D4:D7)</f>
        <v>0</v>
      </c>
      <c r="E8" s="395"/>
      <c r="F8" s="395"/>
      <c r="G8" s="395"/>
      <c r="H8" s="395"/>
      <c r="I8" s="395"/>
      <c r="J8" s="395"/>
      <c r="K8" s="391"/>
    </row>
    <row r="9" spans="1:11" s="392" customFormat="1" ht="11.4">
      <c r="A9" s="396" t="s">
        <v>604</v>
      </c>
      <c r="B9" s="393">
        <f>'Sources and Uses Budget'!C9</f>
        <v>0</v>
      </c>
      <c r="C9" s="394"/>
      <c r="D9" s="394"/>
      <c r="E9" s="395"/>
      <c r="F9" s="395"/>
      <c r="G9" s="395"/>
      <c r="H9" s="393">
        <f>'Sources and Uses Budget'!T9</f>
        <v>0</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14359424</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9448667</v>
      </c>
      <c r="C29" s="394"/>
      <c r="D29" s="394"/>
      <c r="E29" s="393">
        <f>'Sources and Uses Budget'!S29</f>
        <v>9448667</v>
      </c>
      <c r="F29" s="394"/>
      <c r="G29" s="394"/>
      <c r="H29" s="393">
        <f>'Sources and Uses Budget'!T29</f>
        <v>0</v>
      </c>
      <c r="I29" s="394"/>
      <c r="J29" s="394"/>
      <c r="K29" s="391"/>
    </row>
    <row r="30" spans="1:11" s="392" customFormat="1" ht="11.4">
      <c r="A30" s="145" t="s">
        <v>609</v>
      </c>
      <c r="B30" s="393">
        <f>'Sources and Uses Budget'!C30</f>
        <v>60537192</v>
      </c>
      <c r="C30" s="394"/>
      <c r="D30" s="394"/>
      <c r="E30" s="393">
        <f>'Sources and Uses Budget'!S30</f>
        <v>60537192</v>
      </c>
      <c r="F30" s="394"/>
      <c r="G30" s="394"/>
      <c r="H30" s="393">
        <f>'Sources and Uses Budget'!T30</f>
        <v>0</v>
      </c>
      <c r="I30" s="394"/>
      <c r="J30" s="394"/>
      <c r="K30" s="391"/>
    </row>
    <row r="31" spans="1:11" s="392" customFormat="1" ht="11.4">
      <c r="A31" s="145" t="s">
        <v>610</v>
      </c>
      <c r="B31" s="393">
        <f>'Sources and Uses Budget'!C31</f>
        <v>4827339</v>
      </c>
      <c r="C31" s="394"/>
      <c r="D31" s="394"/>
      <c r="E31" s="393">
        <f>'Sources and Uses Budget'!S31</f>
        <v>4827339</v>
      </c>
      <c r="F31" s="394"/>
      <c r="G31" s="394"/>
      <c r="H31" s="393">
        <f>'Sources and Uses Budget'!T31</f>
        <v>0</v>
      </c>
      <c r="I31" s="394"/>
      <c r="J31" s="394"/>
      <c r="K31" s="391"/>
    </row>
    <row r="32" spans="1:11" s="392" customFormat="1" ht="11.4">
      <c r="A32" s="145" t="s">
        <v>138</v>
      </c>
      <c r="B32" s="393">
        <f>'Sources and Uses Budget'!C32</f>
        <v>3159274</v>
      </c>
      <c r="C32" s="394"/>
      <c r="D32" s="394"/>
      <c r="E32" s="393">
        <f>'Sources and Uses Budget'!S32</f>
        <v>3159274</v>
      </c>
      <c r="F32" s="394"/>
      <c r="G32" s="394"/>
      <c r="H32" s="393">
        <f>'Sources and Uses Budget'!T32</f>
        <v>0</v>
      </c>
      <c r="I32" s="394"/>
      <c r="J32" s="394"/>
      <c r="K32" s="391"/>
    </row>
    <row r="33" spans="1:11" s="392" customFormat="1" ht="11.4">
      <c r="A33" s="145" t="s">
        <v>139</v>
      </c>
      <c r="B33" s="393">
        <f>'Sources and Uses Budget'!C33</f>
        <v>3159274</v>
      </c>
      <c r="C33" s="394"/>
      <c r="D33" s="394"/>
      <c r="E33" s="393">
        <f>'Sources and Uses Budget'!S33</f>
        <v>3159274</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299832</v>
      </c>
      <c r="C35" s="394"/>
      <c r="D35" s="394"/>
      <c r="E35" s="393">
        <f>'Sources and Uses Budget'!S35</f>
        <v>299832</v>
      </c>
      <c r="F35" s="394"/>
      <c r="G35" s="394"/>
      <c r="H35" s="393">
        <f>'Sources and Uses Budget'!T35</f>
        <v>0</v>
      </c>
      <c r="I35" s="394"/>
      <c r="J35" s="394"/>
      <c r="K35" s="391"/>
    </row>
    <row r="36" spans="1:11" s="392" customFormat="1" ht="11.4">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81431578</v>
      </c>
      <c r="C38" s="393">
        <f>SUM(C29:C37)</f>
        <v>0</v>
      </c>
      <c r="D38" s="393">
        <f>SUM(D29:D37)</f>
        <v>0</v>
      </c>
      <c r="E38" s="393">
        <f>'Sources and Uses Budget'!S38</f>
        <v>81431578</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864000</v>
      </c>
      <c r="C40" s="394"/>
      <c r="D40" s="394"/>
      <c r="E40" s="393">
        <f>'Sources and Uses Budget'!S40</f>
        <v>864000</v>
      </c>
      <c r="F40" s="394"/>
      <c r="G40" s="394"/>
      <c r="H40" s="393">
        <f>'Sources and Uses Budget'!T40</f>
        <v>0</v>
      </c>
      <c r="I40" s="394"/>
      <c r="J40" s="394"/>
      <c r="K40" s="391"/>
    </row>
    <row r="41" spans="1:11" s="392" customFormat="1" ht="11.4">
      <c r="A41" s="396" t="s">
        <v>147</v>
      </c>
      <c r="B41" s="393">
        <f>'Sources and Uses Budget'!C41</f>
        <v>96000</v>
      </c>
      <c r="C41" s="394"/>
      <c r="D41" s="394"/>
      <c r="E41" s="393">
        <f>'Sources and Uses Budget'!S41</f>
        <v>96000</v>
      </c>
      <c r="F41" s="394"/>
      <c r="G41" s="394"/>
      <c r="H41" s="393">
        <f>'Sources and Uses Budget'!T41</f>
        <v>0</v>
      </c>
      <c r="I41" s="394"/>
      <c r="J41" s="394"/>
      <c r="K41" s="391"/>
    </row>
    <row r="42" spans="1:11" s="392" customFormat="1">
      <c r="A42" s="397" t="s">
        <v>148</v>
      </c>
      <c r="B42" s="393">
        <f>'Sources and Uses Budget'!C42</f>
        <v>960000</v>
      </c>
      <c r="C42" s="393">
        <f>SUM(C39:C41)</f>
        <v>0</v>
      </c>
      <c r="D42" s="393">
        <f>SUM(D39:D41)</f>
        <v>0</v>
      </c>
      <c r="E42" s="393">
        <f>'Sources and Uses Budget'!S42</f>
        <v>960000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1007892</v>
      </c>
      <c r="C43" s="394"/>
      <c r="D43" s="394"/>
      <c r="E43" s="393">
        <f>'Sources and Uses Budget'!S43</f>
        <v>1007892</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9641694</v>
      </c>
      <c r="C45" s="394"/>
      <c r="D45" s="394"/>
      <c r="E45" s="393">
        <f>'Sources and Uses Budget'!S45</f>
        <v>6830000</v>
      </c>
      <c r="F45" s="394"/>
      <c r="G45" s="394"/>
      <c r="H45" s="393">
        <f>'Sources and Uses Budget'!T45</f>
        <v>0</v>
      </c>
      <c r="I45" s="394"/>
      <c r="J45" s="394"/>
      <c r="K45" s="391"/>
    </row>
    <row r="46" spans="1:11" s="392" customFormat="1" ht="11.4">
      <c r="A46" s="396" t="s">
        <v>152</v>
      </c>
      <c r="B46" s="393">
        <f>'Sources and Uses Budget'!C46</f>
        <v>940031</v>
      </c>
      <c r="C46" s="394"/>
      <c r="D46" s="394"/>
      <c r="E46" s="393">
        <f>'Sources and Uses Budget'!S46</f>
        <v>649987</v>
      </c>
      <c r="F46" s="394"/>
      <c r="G46" s="394"/>
      <c r="H46" s="393">
        <f>'Sources and Uses Budget'!T46</f>
        <v>0</v>
      </c>
      <c r="I46" s="394"/>
      <c r="J46" s="394"/>
      <c r="K46" s="391"/>
    </row>
    <row r="47" spans="1:11" s="392" customFormat="1" ht="12" customHeight="1">
      <c r="A47" s="396" t="s">
        <v>153</v>
      </c>
      <c r="B47" s="393">
        <f>'Sources and Uses Budget'!C47</f>
        <v>2500</v>
      </c>
      <c r="C47" s="394"/>
      <c r="D47" s="394"/>
      <c r="E47" s="393">
        <f>'Sources and Uses Budget'!S47</f>
        <v>1250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200331</v>
      </c>
      <c r="C49" s="394"/>
      <c r="D49" s="394"/>
      <c r="E49" s="393">
        <f>'Sources and Uses Budget'!S49</f>
        <v>200307</v>
      </c>
      <c r="F49" s="394"/>
      <c r="G49" s="394"/>
      <c r="H49" s="393">
        <f>'Sources and Uses Budget'!T49</f>
        <v>0</v>
      </c>
      <c r="I49" s="394"/>
      <c r="J49" s="394"/>
      <c r="K49" s="391"/>
    </row>
    <row r="50" spans="1:11" s="392" customFormat="1" ht="11.4">
      <c r="A50" s="396" t="s">
        <v>157</v>
      </c>
      <c r="B50" s="393">
        <f>'Sources and Uses Budget'!C50</f>
        <v>75000</v>
      </c>
      <c r="C50" s="394"/>
      <c r="D50" s="394"/>
      <c r="E50" s="393">
        <f>'Sources and Uses Budget'!S50</f>
        <v>37500</v>
      </c>
      <c r="F50" s="394"/>
      <c r="G50" s="394"/>
      <c r="H50" s="393">
        <f>'Sources and Uses Budget'!T50</f>
        <v>0</v>
      </c>
      <c r="I50" s="394"/>
      <c r="J50" s="394"/>
      <c r="K50" s="391"/>
    </row>
    <row r="51" spans="1:11" s="392" customFormat="1" ht="11.4">
      <c r="A51" s="396" t="s">
        <v>155</v>
      </c>
      <c r="B51" s="393">
        <f>'Sources and Uses Budget'!C51</f>
        <v>606333</v>
      </c>
      <c r="C51" s="394"/>
      <c r="D51" s="394"/>
      <c r="E51" s="393">
        <f>'Sources and Uses Budget'!S51</f>
        <v>303167</v>
      </c>
      <c r="F51" s="394"/>
      <c r="G51" s="394"/>
      <c r="H51" s="393">
        <f>'Sources and Uses Budget'!T51</f>
        <v>0</v>
      </c>
      <c r="I51" s="394"/>
      <c r="J51" s="394"/>
      <c r="K51" s="391"/>
    </row>
    <row r="52" spans="1:11" s="392" customFormat="1" ht="11.4">
      <c r="A52" s="396" t="s">
        <v>156</v>
      </c>
      <c r="B52" s="393">
        <f>'Sources and Uses Budget'!C52</f>
        <v>1512205</v>
      </c>
      <c r="C52" s="394"/>
      <c r="D52" s="394"/>
      <c r="E52" s="393">
        <f>'Sources and Uses Budget'!S52</f>
        <v>772205</v>
      </c>
      <c r="F52" s="394"/>
      <c r="G52" s="394"/>
      <c r="H52" s="393">
        <f>'Sources and Uses Budget'!T52</f>
        <v>0</v>
      </c>
      <c r="I52" s="394"/>
      <c r="J52" s="394"/>
      <c r="K52" s="391"/>
    </row>
    <row r="53" spans="1:11" s="392" customFormat="1" ht="11.4">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12978094</v>
      </c>
      <c r="C54" s="399">
        <f>SUM(C45:C53)</f>
        <v>0</v>
      </c>
      <c r="D54" s="399">
        <f>SUM(D45:D53)</f>
        <v>0</v>
      </c>
      <c r="E54" s="393">
        <f>'Sources and Uses Budget'!S54</f>
        <v>8794416</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15000</v>
      </c>
      <c r="C57" s="394"/>
      <c r="D57" s="394"/>
      <c r="E57" s="395"/>
      <c r="F57" s="395"/>
      <c r="G57" s="395"/>
      <c r="H57" s="395"/>
      <c r="I57" s="395"/>
      <c r="J57" s="395"/>
      <c r="K57" s="391"/>
    </row>
    <row r="58" spans="1:11" s="392" customFormat="1" ht="11.4">
      <c r="A58" s="396" t="s">
        <v>157</v>
      </c>
      <c r="B58" s="393">
        <f>'Sources and Uses Budget'!C58</f>
        <v>25000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(Specify)</v>
      </c>
      <c r="B61" s="393">
        <f>'Sources and Uses Budget'!C61</f>
        <v>0</v>
      </c>
      <c r="C61" s="394"/>
      <c r="D61" s="394"/>
      <c r="E61" s="395"/>
      <c r="F61" s="395"/>
      <c r="G61" s="395"/>
      <c r="H61" s="395"/>
      <c r="I61" s="395"/>
      <c r="J61" s="395"/>
      <c r="K61" s="391"/>
    </row>
    <row r="62" spans="1:11" s="392" customFormat="1" ht="13.65" customHeight="1">
      <c r="A62" s="397" t="s">
        <v>303</v>
      </c>
      <c r="B62" s="393">
        <f>'Sources and Uses Budget'!C62</f>
        <v>40000</v>
      </c>
      <c r="C62" s="393">
        <f>SUM(C56:C61)</f>
        <v>0</v>
      </c>
      <c r="D62" s="393">
        <f>SUM(D56:D61)</f>
        <v>0</v>
      </c>
      <c r="E62" s="395"/>
      <c r="F62" s="395"/>
      <c r="G62" s="395"/>
      <c r="H62" s="395"/>
      <c r="I62" s="395"/>
      <c r="J62" s="395"/>
      <c r="K62" s="391"/>
    </row>
    <row r="63" spans="1:11" s="392" customFormat="1" ht="11.4">
      <c r="A63" s="402" t="s">
        <v>304</v>
      </c>
      <c r="B63" s="393">
        <f>'Sources and Uses Budget'!C63</f>
        <v>110776988</v>
      </c>
      <c r="C63" s="393">
        <f>SUM(C8+C11+C13+C14+C15+C26+C27+C38+C42+C43+C54+C62)</f>
        <v>0</v>
      </c>
      <c r="D63" s="393">
        <f>SUM(D8+D11+D13+D14+D15+D26+D27+D38+D42+D43+D54+D62)</f>
        <v>0</v>
      </c>
      <c r="E63" s="393">
        <f>'Sources and Uses Budget'!S63</f>
        <v>92193886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290500</v>
      </c>
      <c r="C65" s="394"/>
      <c r="D65" s="394"/>
      <c r="E65" s="393">
        <f>'Sources and Uses Budget'!S65</f>
        <v>200000</v>
      </c>
      <c r="F65" s="394"/>
      <c r="G65" s="394"/>
      <c r="H65" s="393">
        <f>'Sources and Uses Budget'!T65</f>
        <v>0</v>
      </c>
      <c r="I65" s="394"/>
      <c r="J65" s="394"/>
      <c r="K65" s="391"/>
    </row>
    <row r="66" spans="1:11" s="392" customFormat="1" ht="22.8">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290500</v>
      </c>
      <c r="C70" s="393">
        <f>SUM(C64:C69)</f>
        <v>0</v>
      </c>
      <c r="D70" s="393">
        <f>SUM(D64:D69)</f>
        <v>0</v>
      </c>
      <c r="E70" s="393">
        <f>'Sources and Uses Budget'!S70</f>
        <v>200000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923694</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923694</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6904828</v>
      </c>
      <c r="C79" s="394"/>
      <c r="D79" s="394"/>
      <c r="E79" s="393">
        <f>'Sources and Uses Budget'!S79</f>
        <v>6904828</v>
      </c>
      <c r="F79" s="394"/>
      <c r="G79" s="394"/>
      <c r="H79" s="393">
        <f>'Sources and Uses Budget'!T79</f>
        <v>0</v>
      </c>
      <c r="I79" s="394"/>
      <c r="J79" s="394"/>
      <c r="K79" s="391"/>
    </row>
    <row r="80" spans="1:11" s="392" customFormat="1" ht="11.4">
      <c r="A80" s="396" t="s">
        <v>58</v>
      </c>
      <c r="B80" s="393">
        <f>'Sources and Uses Budget'!C80</f>
        <v>531059</v>
      </c>
      <c r="C80" s="394"/>
      <c r="D80" s="394"/>
      <c r="E80" s="393">
        <f>'Sources and Uses Budget'!S80</f>
        <v>211797</v>
      </c>
      <c r="F80" s="394"/>
      <c r="G80" s="394"/>
      <c r="H80" s="393">
        <f>'Sources and Uses Budget'!T80</f>
        <v>0</v>
      </c>
      <c r="I80" s="394"/>
      <c r="J80" s="394"/>
      <c r="K80" s="391"/>
    </row>
    <row r="81" spans="1:11" s="392" customFormat="1">
      <c r="A81" s="397" t="s">
        <v>1353</v>
      </c>
      <c r="B81" s="393">
        <f>'Sources and Uses Budget'!C81</f>
        <v>7435887</v>
      </c>
      <c r="C81" s="393">
        <f>SUM(C79:C80)</f>
        <v>0</v>
      </c>
      <c r="D81" s="393">
        <f>SUM(D79:D80)</f>
        <v>0</v>
      </c>
      <c r="E81" s="393">
        <f>'Sources and Uses Budget'!S81</f>
        <v>7116625</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2520</v>
      </c>
      <c r="B83" s="393">
        <f>'Sources and Uses Budget'!C83</f>
        <v>109915</v>
      </c>
      <c r="C83" s="394"/>
      <c r="D83" s="394"/>
      <c r="E83" s="395"/>
      <c r="F83" s="395"/>
      <c r="G83" s="395"/>
      <c r="H83" s="395"/>
      <c r="I83" s="395"/>
      <c r="J83" s="395"/>
      <c r="K83" s="391"/>
    </row>
    <row r="84" spans="1:11" s="392" customFormat="1" ht="11.4">
      <c r="A84" s="145" t="s">
        <v>792</v>
      </c>
      <c r="B84" s="393">
        <f>'Sources and Uses Budget'!C84</f>
        <v>214000</v>
      </c>
      <c r="C84" s="394"/>
      <c r="D84" s="394"/>
      <c r="E84" s="393">
        <f>'Sources and Uses Budget'!S84</f>
        <v>214000</v>
      </c>
      <c r="F84" s="394"/>
      <c r="G84" s="394"/>
      <c r="H84" s="393">
        <f>'Sources and Uses Budget'!T84</f>
        <v>0</v>
      </c>
      <c r="I84" s="394"/>
      <c r="J84" s="394"/>
      <c r="K84" s="391"/>
    </row>
    <row r="85" spans="1:11" s="392" customFormat="1" ht="11.4">
      <c r="A85" s="145" t="s">
        <v>793</v>
      </c>
      <c r="B85" s="393">
        <f>'Sources and Uses Budget'!C85</f>
        <v>2126910</v>
      </c>
      <c r="C85" s="394"/>
      <c r="D85" s="394"/>
      <c r="E85" s="393">
        <f>'Sources and Uses Budget'!S85</f>
        <v>2126910</v>
      </c>
      <c r="F85" s="394"/>
      <c r="G85" s="394"/>
      <c r="H85" s="393">
        <f>'Sources and Uses Budget'!T85</f>
        <v>0</v>
      </c>
      <c r="I85" s="394"/>
      <c r="J85" s="394"/>
      <c r="K85" s="391"/>
    </row>
    <row r="86" spans="1:11" s="392" customFormat="1" ht="11.4">
      <c r="A86" s="145" t="s">
        <v>794</v>
      </c>
      <c r="B86" s="393">
        <f>'Sources and Uses Budget'!C86</f>
        <v>1740199</v>
      </c>
      <c r="C86" s="394"/>
      <c r="D86" s="394"/>
      <c r="E86" s="393">
        <f>'Sources and Uses Budget'!S86</f>
        <v>1740199</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100000</v>
      </c>
      <c r="C88" s="394"/>
      <c r="D88" s="394"/>
      <c r="E88" s="395"/>
      <c r="F88" s="395"/>
      <c r="G88" s="395"/>
      <c r="H88" s="395"/>
      <c r="I88" s="395"/>
      <c r="J88" s="395"/>
      <c r="K88" s="391"/>
    </row>
    <row r="89" spans="1:11" s="392" customFormat="1" ht="11.4">
      <c r="A89" s="145" t="s">
        <v>797</v>
      </c>
      <c r="B89" s="393">
        <f>'Sources and Uses Budget'!C89</f>
        <v>378000</v>
      </c>
      <c r="C89" s="394"/>
      <c r="D89" s="394"/>
      <c r="E89" s="393">
        <f>'Sources and Uses Budget'!S89</f>
        <v>300000</v>
      </c>
      <c r="F89" s="394"/>
      <c r="G89" s="394"/>
      <c r="H89" s="393">
        <f>'Sources and Uses Budget'!T89</f>
        <v>0</v>
      </c>
      <c r="I89" s="394"/>
      <c r="J89" s="394"/>
      <c r="K89" s="391"/>
    </row>
    <row r="90" spans="1:11" s="392" customFormat="1" ht="11.4">
      <c r="A90" s="145" t="s">
        <v>798</v>
      </c>
      <c r="B90" s="393">
        <f>'Sources and Uses Budget'!C90</f>
        <v>15000</v>
      </c>
      <c r="C90" s="394"/>
      <c r="D90" s="394"/>
      <c r="E90" s="393">
        <f>'Sources and Uses Budget'!S90</f>
        <v>15000</v>
      </c>
      <c r="F90" s="394"/>
      <c r="G90" s="394"/>
      <c r="H90" s="393">
        <f>'Sources and Uses Budget'!T90</f>
        <v>0</v>
      </c>
      <c r="I90" s="394"/>
      <c r="J90" s="394"/>
      <c r="K90" s="391"/>
    </row>
    <row r="91" spans="1:11" s="392" customFormat="1" ht="11.4">
      <c r="A91" s="155" t="s">
        <v>374</v>
      </c>
      <c r="B91" s="393">
        <f>'Sources and Uses Budget'!C91</f>
        <v>75000</v>
      </c>
      <c r="C91" s="394"/>
      <c r="D91" s="394"/>
      <c r="E91" s="393">
        <f>'Sources and Uses Budget'!S91</f>
        <v>75000</v>
      </c>
      <c r="F91" s="394"/>
      <c r="G91" s="394"/>
      <c r="H91" s="393">
        <f>'Sources and Uses Budget'!T91</f>
        <v>0</v>
      </c>
      <c r="I91" s="394"/>
      <c r="J91" s="394"/>
      <c r="K91" s="391"/>
    </row>
    <row r="92" spans="1:11" s="392" customFormat="1" ht="11.4">
      <c r="A92" s="543" t="s">
        <v>1355</v>
      </c>
      <c r="B92" s="393">
        <f>'Sources and Uses Budget'!C92</f>
        <v>10000</v>
      </c>
      <c r="C92" s="394"/>
      <c r="D92" s="394"/>
      <c r="E92" s="393">
        <f>'Sources and Uses Budget'!S92</f>
        <v>10000</v>
      </c>
      <c r="F92" s="394"/>
      <c r="G92" s="394"/>
      <c r="H92" s="393">
        <f>'Sources and Uses Budget'!T92</f>
        <v>0</v>
      </c>
      <c r="I92" s="394"/>
      <c r="J92" s="394"/>
      <c r="K92" s="391"/>
    </row>
    <row r="93" spans="1:11" s="392" customFormat="1" ht="11.4">
      <c r="A93" s="396" t="str">
        <f>'Sources and Uses Budget'!$A93</f>
        <v>Consruction Inspections</v>
      </c>
      <c r="B93" s="393">
        <f>'Sources and Uses Budget'!C93</f>
        <v>67200</v>
      </c>
      <c r="C93" s="394"/>
      <c r="D93" s="394"/>
      <c r="E93" s="393">
        <f>'Sources and Uses Budget'!S93</f>
        <v>67200</v>
      </c>
      <c r="F93" s="394"/>
      <c r="G93" s="394"/>
      <c r="H93" s="393">
        <f>'Sources and Uses Budget'!T93</f>
        <v>0</v>
      </c>
      <c r="I93" s="394"/>
      <c r="J93" s="394"/>
      <c r="K93" s="391"/>
    </row>
    <row r="94" spans="1:11" s="392" customFormat="1" ht="11.4">
      <c r="A94" s="396" t="str">
        <f>'Sources and Uses Budget'!$A94</f>
        <v>Planning/Misc. Cons.</v>
      </c>
      <c r="B94" s="393">
        <f>'Sources and Uses Budget'!C94</f>
        <v>100000</v>
      </c>
      <c r="C94" s="394"/>
      <c r="D94" s="394"/>
      <c r="E94" s="393">
        <f>'Sources and Uses Budget'!S94</f>
        <v>100000</v>
      </c>
      <c r="F94" s="394"/>
      <c r="G94" s="394"/>
      <c r="H94" s="393">
        <f>'Sources and Uses Budget'!T94</f>
        <v>0</v>
      </c>
      <c r="I94" s="394"/>
      <c r="J94" s="394"/>
      <c r="K94" s="391"/>
    </row>
    <row r="95" spans="1:11" s="392" customFormat="1" ht="11.4">
      <c r="A95" s="396" t="str">
        <f>'Sources and Uses Budget'!$A95</f>
        <v>Other: Broker Commission</v>
      </c>
      <c r="B95" s="393">
        <f>'Sources and Uses Budget'!C95</f>
        <v>103750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5039974</v>
      </c>
      <c r="C96" s="393">
        <f>SUM(C83:C95)</f>
        <v>0</v>
      </c>
      <c r="D96" s="393">
        <f>SUM(D83:D95)</f>
        <v>0</v>
      </c>
      <c r="E96" s="393">
        <f>'Sources and Uses Budget'!S96</f>
        <v>4648309</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124467043</v>
      </c>
      <c r="C97" s="393">
        <f>SUM(C63+C70+C77+C81+C96)</f>
        <v>0</v>
      </c>
      <c r="D97" s="393">
        <f>SUM(D63+D70+D77+D81+D96)</f>
        <v>0</v>
      </c>
      <c r="E97" s="393">
        <f>'Sources and Uses Budget'!S97</f>
        <v>104158820</v>
      </c>
      <c r="F97" s="399">
        <f>SUM(+F63+F70+F81+F96)</f>
        <v>0</v>
      </c>
      <c r="G97" s="399">
        <f>SUM(+G63+G70+G81+G96)</f>
        <v>0</v>
      </c>
      <c r="H97" s="393">
        <f>'Sources and Uses Budget'!T97</f>
        <v>0</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5600000</v>
      </c>
      <c r="C99" s="394"/>
      <c r="D99" s="394"/>
      <c r="E99" s="393">
        <f>'Sources and Uses Budget'!S99</f>
        <v>5600000</v>
      </c>
      <c r="F99" s="394"/>
      <c r="G99" s="394"/>
      <c r="H99" s="393">
        <f>'Sources and Uses Budget'!T99</f>
        <v>0</v>
      </c>
      <c r="I99" s="394"/>
      <c r="J99" s="394"/>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5600000</v>
      </c>
      <c r="C104" s="393">
        <f>SUM(C99:C103)</f>
        <v>0</v>
      </c>
      <c r="D104" s="393">
        <f>SUM(D99:D103)</f>
        <v>0</v>
      </c>
      <c r="E104" s="393">
        <f>'Sources and Uses Budget'!S104</f>
        <v>5600000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130067043</v>
      </c>
      <c r="C105" s="399">
        <f>SUM(C97+C104)</f>
        <v>0</v>
      </c>
      <c r="D105" s="399">
        <f>SUM(D97+D104)</f>
        <v>0</v>
      </c>
      <c r="E105" s="393">
        <f>'Sources and Uses Budget'!S105</f>
        <v>109758820</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109758820</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4"/>
      <c r="E124" s="1337"/>
      <c r="F124" s="1337"/>
      <c r="G124" s="1337"/>
      <c r="H124" s="1337"/>
      <c r="I124" s="1337"/>
      <c r="J124" s="408"/>
      <c r="K124" s="391"/>
    </row>
    <row r="125" spans="1:11" s="392" customFormat="1" ht="13.2">
      <c r="A125" s="417"/>
      <c r="B125" s="416"/>
      <c r="C125" s="417"/>
      <c r="D125" s="1337"/>
      <c r="E125" s="1337"/>
      <c r="F125" s="1337"/>
      <c r="G125" s="1337"/>
      <c r="H125" s="1337"/>
      <c r="I125" s="1337"/>
      <c r="J125" s="408"/>
      <c r="K125" s="391"/>
    </row>
    <row r="126" spans="1:11" s="392" customFormat="1" ht="13.2">
      <c r="A126" s="417"/>
      <c r="B126" s="416"/>
      <c r="C126" s="417"/>
      <c r="D126" s="1337"/>
      <c r="E126" s="1337"/>
      <c r="F126" s="1337"/>
      <c r="G126" s="1337"/>
      <c r="H126" s="1337"/>
      <c r="I126" s="1337"/>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82" zoomScaleNormal="100" zoomScaleSheetLayoutView="100" workbookViewId="0">
      <selection activeCell="AD200" sqref="AD200:AJ200"/>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093" t="s">
        <v>1474</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571"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9" t="s">
        <v>1479</v>
      </c>
      <c r="AF7" s="1909"/>
      <c r="AG7" s="1909"/>
      <c r="AH7" s="1909"/>
      <c r="AI7" s="1909"/>
      <c r="AJ7" s="1909"/>
      <c r="AK7" s="190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7" t="s">
        <v>601</v>
      </c>
      <c r="C13" s="208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5"/>
      <c r="AH13" s="2095"/>
      <c r="AI13" s="2095"/>
      <c r="AJ13" s="209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7" t="s">
        <v>601</v>
      </c>
      <c r="C16" s="2087"/>
      <c r="D16" s="582"/>
      <c r="E16" s="2079" t="s">
        <v>1481</v>
      </c>
      <c r="F16" s="2080"/>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1"/>
      <c r="AK16" s="575"/>
      <c r="AL16" s="575"/>
      <c r="AM16" s="575"/>
      <c r="AN16" s="570"/>
      <c r="AO16" s="585">
        <f>IF($B25="yes",20,0)</f>
        <v>0</v>
      </c>
      <c r="AP16" s="14"/>
    </row>
    <row r="17" spans="1:42" s="571" customFormat="1" ht="12.75" customHeight="1">
      <c r="A17" s="575"/>
      <c r="B17" s="575"/>
      <c r="C17" s="575"/>
      <c r="D17" s="586"/>
      <c r="E17" s="2082"/>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4"/>
      <c r="AK17" s="575"/>
      <c r="AL17" s="575"/>
      <c r="AM17" s="575"/>
      <c r="AN17" s="570"/>
      <c r="AO17" s="571">
        <f>IF(SUM(AO13:AO16)&gt;20,20,(SUM(AO13:AO16)))</f>
        <v>0</v>
      </c>
      <c r="AP17" s="571" t="s">
        <v>1482</v>
      </c>
    </row>
    <row r="18" spans="1:42" s="571" customFormat="1" ht="12.75" customHeight="1">
      <c r="A18" s="575"/>
      <c r="B18" s="575"/>
      <c r="C18" s="575"/>
      <c r="D18" s="586"/>
      <c r="E18" s="2082"/>
      <c r="F18" s="2083"/>
      <c r="G18" s="2083"/>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3"/>
      <c r="AE18" s="2083"/>
      <c r="AF18" s="2083"/>
      <c r="AG18" s="2083"/>
      <c r="AH18" s="2083"/>
      <c r="AI18" s="2083"/>
      <c r="AJ18" s="2084"/>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3"/>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7" t="s">
        <v>601</v>
      </c>
      <c r="C22" s="2087"/>
      <c r="D22" s="582"/>
      <c r="E22" s="2097" t="s">
        <v>1484</v>
      </c>
      <c r="F22" s="2098"/>
      <c r="G22" s="2098"/>
      <c r="H22" s="2098"/>
      <c r="I22" s="209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9"/>
      <c r="AK22" s="575"/>
      <c r="AL22" s="575"/>
      <c r="AM22" s="575"/>
      <c r="AN22" s="570"/>
      <c r="AO22" s="571">
        <f>IF(SUM(AO20:AO21)&gt;14,14,SUM(AO20:AO21))</f>
        <v>0</v>
      </c>
      <c r="AP22" s="571" t="s">
        <v>1482</v>
      </c>
    </row>
    <row r="23" spans="1:42" s="571" customFormat="1" ht="12.75" customHeight="1">
      <c r="A23" s="575"/>
      <c r="B23" s="575"/>
      <c r="C23" s="575"/>
      <c r="D23" s="585"/>
      <c r="E23" s="2100"/>
      <c r="F23" s="2101"/>
      <c r="G23" s="2101"/>
      <c r="H23" s="2101"/>
      <c r="I23" s="2101"/>
      <c r="J23" s="2101"/>
      <c r="K23" s="2101"/>
      <c r="L23" s="2101"/>
      <c r="M23" s="2101"/>
      <c r="N23" s="2101"/>
      <c r="O23" s="2101"/>
      <c r="P23" s="2101"/>
      <c r="Q23" s="2101"/>
      <c r="R23" s="2101"/>
      <c r="S23" s="2101"/>
      <c r="T23" s="2101"/>
      <c r="U23" s="2101"/>
      <c r="V23" s="2101"/>
      <c r="W23" s="2101"/>
      <c r="X23" s="2101"/>
      <c r="Y23" s="2101"/>
      <c r="Z23" s="2101"/>
      <c r="AA23" s="2101"/>
      <c r="AB23" s="2101"/>
      <c r="AC23" s="2101"/>
      <c r="AD23" s="2101"/>
      <c r="AE23" s="2101"/>
      <c r="AF23" s="2101"/>
      <c r="AG23" s="2101"/>
      <c r="AH23" s="2101"/>
      <c r="AI23" s="2101"/>
      <c r="AJ23" s="210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7" t="s">
        <v>601</v>
      </c>
      <c r="C25" s="2087"/>
      <c r="D25" s="582"/>
      <c r="E25" s="2015" t="s">
        <v>2433</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7"/>
      <c r="AK25" s="575"/>
      <c r="AL25" s="575"/>
      <c r="AM25" s="575"/>
      <c r="AN25" s="570"/>
      <c r="AO25" s="571">
        <f>IF(AO24&gt;6,6,AO24)</f>
        <v>0</v>
      </c>
      <c r="AP25" s="571" t="s">
        <v>1482</v>
      </c>
    </row>
    <row r="26" spans="1:42" s="571" customFormat="1" ht="12.75" customHeight="1">
      <c r="A26" s="575"/>
      <c r="B26" s="575"/>
      <c r="C26" s="575"/>
      <c r="D26" s="585"/>
      <c r="E26" s="2040"/>
      <c r="F26" s="2041"/>
      <c r="G26" s="2041"/>
      <c r="H26" s="2041"/>
      <c r="I26" s="2041"/>
      <c r="J26" s="2041"/>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2041"/>
      <c r="AG26" s="2041"/>
      <c r="AH26" s="2041"/>
      <c r="AI26" s="2041"/>
      <c r="AJ26" s="204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7" t="s">
        <v>601</v>
      </c>
      <c r="C30" s="2087"/>
      <c r="D30" s="582"/>
      <c r="E30" s="2097" t="s">
        <v>2405</v>
      </c>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9"/>
      <c r="AK30" s="575"/>
      <c r="AL30" s="575"/>
      <c r="AM30" s="575"/>
      <c r="AN30" s="570"/>
      <c r="AO30" s="585"/>
    </row>
    <row r="31" spans="1:42" s="571" customFormat="1" ht="12.75" customHeight="1">
      <c r="A31" s="575"/>
      <c r="B31" s="575"/>
      <c r="C31" s="575"/>
      <c r="E31" s="2100"/>
      <c r="F31" s="2101"/>
      <c r="G31" s="2101"/>
      <c r="H31" s="2101"/>
      <c r="I31" s="2101"/>
      <c r="J31" s="2101"/>
      <c r="K31" s="2101"/>
      <c r="L31" s="2101"/>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7" t="s">
        <v>601</v>
      </c>
      <c r="C33" s="2087"/>
      <c r="D33" s="582"/>
      <c r="E33" s="2015" t="s">
        <v>2406</v>
      </c>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7"/>
      <c r="AK33" s="575"/>
      <c r="AL33" s="575"/>
      <c r="AM33" s="575"/>
      <c r="AN33" s="570"/>
    </row>
    <row r="34" spans="1:41" s="571" customFormat="1" ht="12.75" customHeight="1">
      <c r="A34" s="575"/>
      <c r="B34" s="575"/>
      <c r="C34" s="575"/>
      <c r="E34" s="2018"/>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20"/>
      <c r="AK34" s="575"/>
      <c r="AL34" s="575"/>
      <c r="AM34" s="575"/>
      <c r="AN34" s="570"/>
    </row>
    <row r="35" spans="1:41" s="571" customFormat="1" ht="12.75" customHeight="1">
      <c r="A35" s="575"/>
      <c r="B35" s="575"/>
      <c r="C35" s="575"/>
      <c r="E35" s="2040"/>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7" t="s">
        <v>601</v>
      </c>
      <c r="C39" s="2087"/>
      <c r="D39" s="1195"/>
      <c r="E39" s="2015" t="s">
        <v>2407</v>
      </c>
      <c r="F39" s="2016"/>
      <c r="G39" s="2016"/>
      <c r="H39" s="2016"/>
      <c r="I39" s="2016"/>
      <c r="J39" s="2016"/>
      <c r="K39" s="2016"/>
      <c r="L39" s="2016"/>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7"/>
      <c r="AK39" s="1195"/>
      <c r="AL39" s="575"/>
      <c r="AM39" s="575"/>
      <c r="AN39" s="570"/>
    </row>
    <row r="40" spans="1:41" s="571" customFormat="1" ht="12.75" customHeight="1">
      <c r="A40" s="575"/>
      <c r="B40" s="575"/>
      <c r="C40" s="575"/>
      <c r="E40" s="2018"/>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20"/>
      <c r="AK40" s="575"/>
      <c r="AL40" s="575"/>
      <c r="AM40" s="575"/>
      <c r="AN40" s="570"/>
    </row>
    <row r="41" spans="1:41" s="571" customFormat="1" ht="12.75" customHeight="1">
      <c r="A41" s="575"/>
      <c r="D41" s="582"/>
      <c r="E41" s="2040"/>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7" t="s">
        <v>601</v>
      </c>
      <c r="C46" s="2087"/>
      <c r="D46" s="575"/>
      <c r="E46" s="2015" t="s">
        <v>2412</v>
      </c>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7"/>
      <c r="AK46" s="575"/>
      <c r="AL46" s="575"/>
      <c r="AM46" s="575"/>
      <c r="AN46" s="570"/>
      <c r="AO46" s="594"/>
    </row>
    <row r="47" spans="1:41" s="571" customFormat="1" ht="12.75" customHeight="1">
      <c r="A47" s="575"/>
      <c r="D47" s="582"/>
      <c r="E47" s="2018"/>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20"/>
      <c r="AK47" s="575"/>
      <c r="AL47" s="575"/>
      <c r="AM47" s="575"/>
      <c r="AN47" s="570"/>
      <c r="AO47" s="594"/>
    </row>
    <row r="48" spans="1:41" s="571" customFormat="1" ht="12.75" customHeight="1">
      <c r="A48" s="575"/>
      <c r="D48" s="575"/>
      <c r="E48" s="2040"/>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7" t="s">
        <v>601</v>
      </c>
      <c r="C50" s="2087"/>
      <c r="D50" s="575"/>
      <c r="E50" s="2113" t="s">
        <v>2413</v>
      </c>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7" t="s">
        <v>601</v>
      </c>
      <c r="C52" s="2087"/>
      <c r="D52" s="575"/>
      <c r="E52" s="2015" t="s">
        <v>2414</v>
      </c>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6"/>
      <c r="AE52" s="2016"/>
      <c r="AF52" s="2016"/>
      <c r="AG52" s="2016"/>
      <c r="AH52" s="2016"/>
      <c r="AI52" s="2016"/>
      <c r="AJ52" s="2017"/>
      <c r="AK52" s="575"/>
      <c r="AL52" s="575"/>
      <c r="AM52" s="575"/>
      <c r="AN52" s="570"/>
    </row>
    <row r="53" spans="1:50" s="571" customFormat="1" ht="12.75" customHeight="1">
      <c r="A53" s="575"/>
      <c r="B53" s="582"/>
      <c r="C53" s="582"/>
      <c r="D53" s="582"/>
      <c r="E53" s="2040"/>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1">
        <f>AO36</f>
        <v>0</v>
      </c>
      <c r="AL56" s="2062"/>
      <c r="AM56" s="206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9" t="s">
        <v>1488</v>
      </c>
      <c r="AF59" s="1909"/>
      <c r="AG59" s="1909"/>
      <c r="AH59" s="1909"/>
      <c r="AI59" s="1909"/>
      <c r="AJ59" s="1909"/>
      <c r="AK59" s="190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7" t="s">
        <v>601</v>
      </c>
      <c r="C62" s="2087"/>
      <c r="D62" s="582" t="s">
        <v>1489</v>
      </c>
      <c r="E62" s="2079" t="s">
        <v>2415</v>
      </c>
      <c r="F62" s="2080"/>
      <c r="G62" s="2080"/>
      <c r="H62" s="2080"/>
      <c r="I62" s="2080"/>
      <c r="J62" s="2080"/>
      <c r="K62" s="2080"/>
      <c r="L62" s="2080"/>
      <c r="M62" s="2080"/>
      <c r="N62" s="2080"/>
      <c r="O62" s="2080"/>
      <c r="P62" s="2080"/>
      <c r="Q62" s="2080"/>
      <c r="R62" s="2080"/>
      <c r="S62" s="2080"/>
      <c r="T62" s="2080"/>
      <c r="U62" s="2080"/>
      <c r="V62" s="2080"/>
      <c r="W62" s="2080"/>
      <c r="X62" s="2080"/>
      <c r="Y62" s="2080"/>
      <c r="Z62" s="2080"/>
      <c r="AA62" s="2080"/>
      <c r="AB62" s="2080"/>
      <c r="AC62" s="2080"/>
      <c r="AD62" s="2080"/>
      <c r="AE62" s="2080"/>
      <c r="AF62" s="2080"/>
      <c r="AG62" s="2080"/>
      <c r="AH62" s="2080"/>
      <c r="AI62" s="2080"/>
      <c r="AJ62" s="2081"/>
      <c r="AK62" s="578"/>
      <c r="AL62" s="575"/>
      <c r="AM62" s="575"/>
      <c r="AN62" s="570"/>
      <c r="AO62" s="585">
        <f>IF($B62="yes",10,0)</f>
        <v>0</v>
      </c>
    </row>
    <row r="63" spans="1:50" s="571" customFormat="1" ht="12.75" customHeight="1">
      <c r="A63" s="573"/>
      <c r="B63" s="575"/>
      <c r="C63" s="575"/>
      <c r="D63" s="586"/>
      <c r="E63" s="2082"/>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2083"/>
      <c r="AI63" s="2083"/>
      <c r="AJ63" s="2084"/>
      <c r="AK63" s="578"/>
      <c r="AL63" s="575"/>
      <c r="AM63" s="575"/>
      <c r="AN63" s="570"/>
      <c r="AO63" s="585">
        <f>IF($B68="yes",10,0)</f>
        <v>10</v>
      </c>
    </row>
    <row r="64" spans="1:50" s="571" customFormat="1" ht="12.75" customHeight="1">
      <c r="A64" s="573"/>
      <c r="B64" s="575"/>
      <c r="C64" s="575"/>
      <c r="D64" s="586"/>
      <c r="E64" s="2082"/>
      <c r="F64" s="2083"/>
      <c r="G64" s="2083"/>
      <c r="H64" s="2083"/>
      <c r="I64" s="2083"/>
      <c r="J64" s="2083"/>
      <c r="K64" s="2083"/>
      <c r="L64" s="2083"/>
      <c r="M64" s="2083"/>
      <c r="N64" s="2083"/>
      <c r="O64" s="2083"/>
      <c r="P64" s="2083"/>
      <c r="Q64" s="2083"/>
      <c r="R64" s="2083"/>
      <c r="S64" s="2083"/>
      <c r="T64" s="2083"/>
      <c r="U64" s="2083"/>
      <c r="V64" s="2083"/>
      <c r="W64" s="2083"/>
      <c r="X64" s="2083"/>
      <c r="Y64" s="2083"/>
      <c r="Z64" s="2083"/>
      <c r="AA64" s="2083"/>
      <c r="AB64" s="2083"/>
      <c r="AC64" s="2083"/>
      <c r="AD64" s="2083"/>
      <c r="AE64" s="2083"/>
      <c r="AF64" s="2083"/>
      <c r="AG64" s="2083"/>
      <c r="AH64" s="2083"/>
      <c r="AI64" s="2083"/>
      <c r="AJ64" s="2084"/>
      <c r="AK64" s="578"/>
      <c r="AL64" s="575"/>
      <c r="AM64" s="575"/>
      <c r="AN64" s="570"/>
      <c r="AO64" s="585">
        <f>IF($B75="yes",10,0)</f>
        <v>0</v>
      </c>
    </row>
    <row r="65" spans="1:42" s="571" customFormat="1" ht="12.75" customHeight="1">
      <c r="A65" s="573"/>
      <c r="B65" s="575"/>
      <c r="C65" s="575"/>
      <c r="D65" s="586"/>
      <c r="E65" s="2082"/>
      <c r="F65" s="2083"/>
      <c r="G65" s="2083"/>
      <c r="H65" s="2083"/>
      <c r="I65" s="2083"/>
      <c r="J65" s="2083"/>
      <c r="K65" s="2083"/>
      <c r="L65" s="2083"/>
      <c r="M65" s="2083"/>
      <c r="N65" s="2083"/>
      <c r="O65" s="2083"/>
      <c r="P65" s="2083"/>
      <c r="Q65" s="2083"/>
      <c r="R65" s="2083"/>
      <c r="S65" s="2083"/>
      <c r="T65" s="2083"/>
      <c r="U65" s="2083"/>
      <c r="V65" s="2083"/>
      <c r="W65" s="2083"/>
      <c r="X65" s="2083"/>
      <c r="Y65" s="2083"/>
      <c r="Z65" s="2083"/>
      <c r="AA65" s="2083"/>
      <c r="AB65" s="2083"/>
      <c r="AC65" s="2083"/>
      <c r="AD65" s="2083"/>
      <c r="AE65" s="2083"/>
      <c r="AF65" s="2083"/>
      <c r="AG65" s="2083"/>
      <c r="AH65" s="2083"/>
      <c r="AI65" s="2083"/>
      <c r="AJ65" s="2084"/>
      <c r="AK65" s="578"/>
      <c r="AL65" s="575"/>
      <c r="AM65" s="575"/>
      <c r="AN65" s="570"/>
      <c r="AO65" s="571">
        <f>IF(SUM(AO62:AO64)&gt;10,10,(SUM(AO62:AO64)))</f>
        <v>10</v>
      </c>
      <c r="AP65" s="609" t="s">
        <v>1490</v>
      </c>
    </row>
    <row r="66" spans="1:42" s="571" customFormat="1" ht="12.75" customHeight="1">
      <c r="A66" s="573"/>
      <c r="B66" s="575"/>
      <c r="C66" s="575"/>
      <c r="D66" s="586"/>
      <c r="E66" s="2109"/>
      <c r="F66" s="2110"/>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0"/>
      <c r="AD66" s="2110"/>
      <c r="AE66" s="2110"/>
      <c r="AF66" s="2110"/>
      <c r="AG66" s="2110"/>
      <c r="AH66" s="2110"/>
      <c r="AI66" s="2110"/>
      <c r="AJ66" s="21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7" t="s">
        <v>555</v>
      </c>
      <c r="C68" s="208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2" t="s">
        <v>555</v>
      </c>
      <c r="F69" s="208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7" t="s">
        <v>601</v>
      </c>
      <c r="F70" s="210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7" t="s">
        <v>601</v>
      </c>
      <c r="F71" s="210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2" t="s">
        <v>601</v>
      </c>
      <c r="F73" s="208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7" t="s">
        <v>601</v>
      </c>
      <c r="C75" s="2087"/>
      <c r="D75" s="582" t="s">
        <v>1494</v>
      </c>
      <c r="E75" s="2015" t="s">
        <v>2002</v>
      </c>
      <c r="F75" s="2016"/>
      <c r="G75" s="2016"/>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7"/>
      <c r="AK75" s="578"/>
      <c r="AL75" s="575"/>
      <c r="AM75" s="575"/>
      <c r="AN75" s="570"/>
    </row>
    <row r="76" spans="1:42" s="571" customFormat="1" ht="12.75" customHeight="1">
      <c r="A76" s="573"/>
      <c r="B76" s="575"/>
      <c r="C76" s="575"/>
      <c r="D76" s="585"/>
      <c r="E76" s="2040"/>
      <c r="F76" s="2041"/>
      <c r="G76" s="2041"/>
      <c r="H76" s="2041"/>
      <c r="I76" s="2041"/>
      <c r="J76" s="2041"/>
      <c r="K76" s="2041"/>
      <c r="L76" s="2041"/>
      <c r="M76" s="2041"/>
      <c r="N76" s="2041"/>
      <c r="O76" s="2041"/>
      <c r="P76" s="2041"/>
      <c r="Q76" s="2041"/>
      <c r="R76" s="2041"/>
      <c r="S76" s="2041"/>
      <c r="T76" s="2041"/>
      <c r="U76" s="2041"/>
      <c r="V76" s="2041"/>
      <c r="W76" s="2041"/>
      <c r="X76" s="2041"/>
      <c r="Y76" s="2041"/>
      <c r="Z76" s="2041"/>
      <c r="AA76" s="2041"/>
      <c r="AB76" s="2041"/>
      <c r="AC76" s="2041"/>
      <c r="AD76" s="2041"/>
      <c r="AE76" s="2041"/>
      <c r="AF76" s="2041"/>
      <c r="AG76" s="2041"/>
      <c r="AH76" s="2041"/>
      <c r="AI76" s="2041"/>
      <c r="AJ76" s="204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1">
        <f>IF(AK56&gt;0,0,AO65)</f>
        <v>10</v>
      </c>
      <c r="AL78" s="2062"/>
      <c r="AM78" s="206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9" t="s">
        <v>1479</v>
      </c>
      <c r="AF81" s="1909"/>
      <c r="AG81" s="1909"/>
      <c r="AH81" s="1909"/>
      <c r="AI81" s="1909"/>
      <c r="AJ81" s="1909"/>
      <c r="AK81" s="190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7" t="s">
        <v>555</v>
      </c>
      <c r="C84" s="2087"/>
      <c r="D84" s="582" t="s">
        <v>1489</v>
      </c>
      <c r="E84" s="2079" t="s">
        <v>1499</v>
      </c>
      <c r="F84" s="2080"/>
      <c r="G84" s="2080"/>
      <c r="H84" s="2080"/>
      <c r="I84" s="2080"/>
      <c r="J84" s="2080"/>
      <c r="K84" s="2080"/>
      <c r="L84" s="2080"/>
      <c r="M84" s="2080"/>
      <c r="N84" s="2080"/>
      <c r="O84" s="2080"/>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1"/>
      <c r="AK84" s="578"/>
      <c r="AL84" s="575"/>
      <c r="AM84" s="575"/>
      <c r="AN84" s="570"/>
    </row>
    <row r="85" spans="1:43" s="571" customFormat="1" ht="12.75" customHeight="1">
      <c r="A85" s="573"/>
      <c r="B85" s="574"/>
      <c r="C85" s="574"/>
      <c r="D85" s="574"/>
      <c r="E85" s="2082"/>
      <c r="F85" s="2083"/>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5">
        <f>Application!AC739</f>
        <v>0.47419354838709665</v>
      </c>
      <c r="F87" s="2076"/>
      <c r="G87" s="2076"/>
      <c r="H87" s="2076"/>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6">
        <f>0.6-ROUNDUP(E87,2)</f>
        <v>0.12</v>
      </c>
      <c r="F88" s="1883"/>
      <c r="G88" s="1883"/>
      <c r="H88" s="1883"/>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1">
        <f>IF(E88*200&gt;20,20,E88*200)</f>
        <v>20</v>
      </c>
      <c r="F89" s="2092"/>
      <c r="G89" s="2092"/>
      <c r="H89" s="209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7" t="s">
        <v>601</v>
      </c>
      <c r="C92" s="2087"/>
      <c r="D92" s="582" t="s">
        <v>1491</v>
      </c>
      <c r="E92" s="2079" t="s">
        <v>1987</v>
      </c>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0"/>
      <c r="AC92" s="2080"/>
      <c r="AD92" s="2080"/>
      <c r="AE92" s="2080"/>
      <c r="AF92" s="2080"/>
      <c r="AG92" s="2080"/>
      <c r="AH92" s="2080"/>
      <c r="AI92" s="2080"/>
      <c r="AJ92" s="2081"/>
      <c r="AK92" s="578"/>
      <c r="AL92" s="575"/>
      <c r="AM92" s="575"/>
      <c r="AN92" s="570"/>
    </row>
    <row r="93" spans="1:43" s="571" customFormat="1" ht="12.75" customHeight="1">
      <c r="A93" s="573"/>
      <c r="B93" s="574"/>
      <c r="C93" s="574"/>
      <c r="D93" s="574"/>
      <c r="E93" s="2082"/>
      <c r="F93" s="2083"/>
      <c r="G93" s="2083"/>
      <c r="H93" s="2083"/>
      <c r="I93" s="2083"/>
      <c r="J93" s="2083"/>
      <c r="K93" s="2083"/>
      <c r="L93" s="2083"/>
      <c r="M93" s="2083"/>
      <c r="N93" s="2083"/>
      <c r="O93" s="2083"/>
      <c r="P93" s="2083"/>
      <c r="Q93" s="2083"/>
      <c r="R93" s="2083"/>
      <c r="S93" s="2083"/>
      <c r="T93" s="2083"/>
      <c r="U93" s="2083"/>
      <c r="V93" s="2083"/>
      <c r="W93" s="2083"/>
      <c r="X93" s="2083"/>
      <c r="Y93" s="2083"/>
      <c r="Z93" s="2083"/>
      <c r="AA93" s="2083"/>
      <c r="AB93" s="2083"/>
      <c r="AC93" s="2083"/>
      <c r="AD93" s="2083"/>
      <c r="AE93" s="2083"/>
      <c r="AF93" s="2083"/>
      <c r="AG93" s="2083"/>
      <c r="AH93" s="2083"/>
      <c r="AI93" s="2083"/>
      <c r="AJ93" s="2084"/>
      <c r="AK93" s="578"/>
      <c r="AL93" s="575"/>
      <c r="AM93" s="575"/>
      <c r="AN93" s="570"/>
    </row>
    <row r="94" spans="1:43" s="571" customFormat="1" ht="12.75" customHeight="1">
      <c r="A94" s="573"/>
      <c r="B94" s="574"/>
      <c r="C94" s="574"/>
      <c r="D94" s="574"/>
      <c r="E94" s="2082"/>
      <c r="F94" s="2083"/>
      <c r="G94" s="2083"/>
      <c r="H94" s="2083"/>
      <c r="I94" s="2083"/>
      <c r="J94" s="2083"/>
      <c r="K94" s="2083"/>
      <c r="L94" s="2083"/>
      <c r="M94" s="2083"/>
      <c r="N94" s="2083"/>
      <c r="O94" s="2083"/>
      <c r="P94" s="2083"/>
      <c r="Q94" s="2083"/>
      <c r="R94" s="2083"/>
      <c r="S94" s="2083"/>
      <c r="T94" s="2083"/>
      <c r="U94" s="2083"/>
      <c r="V94" s="2083"/>
      <c r="W94" s="2083"/>
      <c r="X94" s="2083"/>
      <c r="Y94" s="2083"/>
      <c r="Z94" s="2083"/>
      <c r="AA94" s="2083"/>
      <c r="AB94" s="2083"/>
      <c r="AC94" s="2083"/>
      <c r="AD94" s="2083"/>
      <c r="AE94" s="2083"/>
      <c r="AF94" s="2083"/>
      <c r="AG94" s="2083"/>
      <c r="AH94" s="2083"/>
      <c r="AI94" s="2083"/>
      <c r="AJ94" s="2084"/>
      <c r="AK94" s="578"/>
      <c r="AL94" s="575"/>
      <c r="AM94" s="575"/>
      <c r="AN94" s="570"/>
    </row>
    <row r="95" spans="1:43" s="571" customFormat="1" ht="12.75" customHeight="1">
      <c r="A95" s="573"/>
      <c r="B95" s="574"/>
      <c r="C95" s="574"/>
      <c r="D95" s="574"/>
      <c r="E95" s="2082"/>
      <c r="F95" s="2083"/>
      <c r="G95" s="2083"/>
      <c r="H95" s="2083"/>
      <c r="I95" s="2083"/>
      <c r="J95" s="2083"/>
      <c r="K95" s="2083"/>
      <c r="L95" s="2083"/>
      <c r="M95" s="2083"/>
      <c r="N95" s="2083"/>
      <c r="O95" s="2083"/>
      <c r="P95" s="2083"/>
      <c r="Q95" s="2083"/>
      <c r="R95" s="2083"/>
      <c r="S95" s="2083"/>
      <c r="T95" s="2083"/>
      <c r="U95" s="2083"/>
      <c r="V95" s="2083"/>
      <c r="W95" s="2083"/>
      <c r="X95" s="2083"/>
      <c r="Y95" s="2083"/>
      <c r="Z95" s="2083"/>
      <c r="AA95" s="2083"/>
      <c r="AB95" s="2083"/>
      <c r="AC95" s="2083"/>
      <c r="AD95" s="2083"/>
      <c r="AE95" s="2083"/>
      <c r="AF95" s="2083"/>
      <c r="AG95" s="2083"/>
      <c r="AH95" s="2083"/>
      <c r="AI95" s="2083"/>
      <c r="AJ95" s="208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5">
        <f>Application!AC739</f>
        <v>0.47419354838709665</v>
      </c>
      <c r="F97" s="2076"/>
      <c r="G97" s="2076"/>
      <c r="H97" s="2076"/>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5">
        <f ca="1">SUMIF(Application!AC714:AG738,0.2,Application!G714:J738)/Application!G739+SUMIF(Application!AC714:AG738,0.25,Application!G714:J738)/Application!G739+SUMIF(Application!AC714:AG738,0.3,Application!G714:J738)/Application!G739</f>
        <v>0.37903225806451613</v>
      </c>
      <c r="F98" s="2076"/>
      <c r="G98" s="2076"/>
      <c r="H98" s="2076"/>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5">
        <f ca="1">SUMIF(Application!AC714:AG738,0.35,Application!G714:J738)/Application!G739+SUMIF(Application!AC714:AG738,0.4,Application!G714:J738)/Application!G739+SUMIF(Application!AC714:AG738,0.45,Application!G714:J738)/Application!G739+SUMIF(Application!AC714:AG738,0.5,Application!G714:J738)/Application!G739</f>
        <v>0.33064516129032256</v>
      </c>
      <c r="F99" s="2076"/>
      <c r="G99" s="2076"/>
      <c r="H99" s="2076"/>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3">
        <f ca="1">IF(AND(E97&lt;=0.6,E98&gt;=0.1,OR(E99&gt;=0.1,E98&gt;=0.2)),20,0)</f>
        <v>20</v>
      </c>
      <c r="F100" s="2074"/>
      <c r="G100" s="2074"/>
      <c r="H100" s="207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1">
        <f>MAX(AP89,AP100)</f>
        <v>20</v>
      </c>
      <c r="AL103" s="2062"/>
      <c r="AM103" s="206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9" t="s">
        <v>1488</v>
      </c>
      <c r="AF106" s="1909"/>
      <c r="AG106" s="1909"/>
      <c r="AH106" s="1909"/>
      <c r="AI106" s="1909"/>
      <c r="AJ106" s="1909"/>
      <c r="AK106" s="1909"/>
      <c r="AL106" s="575"/>
      <c r="AM106" s="575"/>
      <c r="AN106" s="570"/>
      <c r="AO106" s="571" t="str">
        <f>Application!B714</f>
        <v>1 Bedroom</v>
      </c>
      <c r="AQ106" s="571">
        <f>Application!O714</f>
        <v>974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1673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1673</v>
      </c>
    </row>
    <row r="109" spans="1:49" s="571" customFormat="1" ht="12.75" customHeight="1">
      <c r="A109" s="575"/>
      <c r="B109" s="2087" t="s">
        <v>555</v>
      </c>
      <c r="C109" s="2087"/>
      <c r="D109" s="582" t="s">
        <v>1489</v>
      </c>
      <c r="E109" s="2079" t="s">
        <v>2122</v>
      </c>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1"/>
      <c r="AK109" s="575"/>
      <c r="AL109" s="575"/>
      <c r="AM109" s="575"/>
      <c r="AN109" s="570"/>
      <c r="AO109" s="571" t="str">
        <f>Application!B717</f>
        <v>1 Bedroom</v>
      </c>
      <c r="AQ109" s="571">
        <f>Application!O717</f>
        <v>2023</v>
      </c>
      <c r="AU109" s="571" t="s">
        <v>2104</v>
      </c>
      <c r="AV109" s="630" t="s">
        <v>2105</v>
      </c>
      <c r="AW109" s="571" t="s">
        <v>2106</v>
      </c>
    </row>
    <row r="110" spans="1:49" s="571" customFormat="1" ht="12.75" customHeight="1">
      <c r="A110" s="575"/>
      <c r="B110" s="574"/>
      <c r="C110" s="574"/>
      <c r="D110" s="574"/>
      <c r="E110" s="2082"/>
      <c r="F110" s="2083"/>
      <c r="G110" s="2083"/>
      <c r="H110" s="2083"/>
      <c r="I110" s="2083"/>
      <c r="J110" s="2083"/>
      <c r="K110" s="2083"/>
      <c r="L110" s="2083"/>
      <c r="M110" s="2083"/>
      <c r="N110" s="2083"/>
      <c r="O110" s="2083"/>
      <c r="P110" s="2083"/>
      <c r="Q110" s="2083"/>
      <c r="R110" s="2083"/>
      <c r="S110" s="2083"/>
      <c r="T110" s="2083"/>
      <c r="U110" s="2083"/>
      <c r="V110" s="2083"/>
      <c r="W110" s="2083"/>
      <c r="X110" s="2083"/>
      <c r="Y110" s="2083"/>
      <c r="Z110" s="2083"/>
      <c r="AA110" s="2083"/>
      <c r="AB110" s="2083"/>
      <c r="AC110" s="2083"/>
      <c r="AD110" s="2083"/>
      <c r="AE110" s="2083"/>
      <c r="AF110" s="2083"/>
      <c r="AG110" s="2083"/>
      <c r="AH110" s="2083"/>
      <c r="AI110" s="2083"/>
      <c r="AJ110" s="2084"/>
      <c r="AK110" s="575"/>
      <c r="AL110" s="575"/>
      <c r="AM110" s="575"/>
      <c r="AN110" s="570"/>
      <c r="AO110" s="571" t="str">
        <f>Application!B718</f>
        <v>1 Bedroom</v>
      </c>
      <c r="AQ110" s="571">
        <f>Application!O718</f>
        <v>2372</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2"/>
      <c r="F111" s="2083"/>
      <c r="G111" s="2083"/>
      <c r="H111" s="2083"/>
      <c r="I111" s="2083"/>
      <c r="J111" s="2083"/>
      <c r="K111" s="2083"/>
      <c r="L111" s="2083"/>
      <c r="M111" s="2083"/>
      <c r="N111" s="2083"/>
      <c r="O111" s="2083"/>
      <c r="P111" s="2083"/>
      <c r="Q111" s="2083"/>
      <c r="R111" s="2083"/>
      <c r="S111" s="2083"/>
      <c r="T111" s="2083"/>
      <c r="U111" s="2083"/>
      <c r="V111" s="2083"/>
      <c r="W111" s="2083"/>
      <c r="X111" s="2083"/>
      <c r="Y111" s="2083"/>
      <c r="Z111" s="2083"/>
      <c r="AA111" s="2083"/>
      <c r="AB111" s="2083"/>
      <c r="AC111" s="2083"/>
      <c r="AD111" s="2083"/>
      <c r="AE111" s="2083"/>
      <c r="AF111" s="2083"/>
      <c r="AG111" s="2083"/>
      <c r="AH111" s="2083"/>
      <c r="AI111" s="2083"/>
      <c r="AJ111" s="2084"/>
      <c r="AK111" s="575"/>
      <c r="AL111" s="575"/>
      <c r="AM111" s="575"/>
      <c r="AN111" s="570"/>
      <c r="AO111" s="571" t="str">
        <f>Application!B719</f>
        <v>2 Bedrooms</v>
      </c>
      <c r="AQ111" s="571">
        <f>Application!O719</f>
        <v>1156</v>
      </c>
      <c r="AU111" s="892" t="str">
        <f>J118</f>
        <v>1-bedroom</v>
      </c>
      <c r="AV111" s="571">
        <f t="array" ref="AV111">SUM(IF(Application!B714:F738="1 Bedroom",Application!G714:J738))</f>
        <v>52</v>
      </c>
      <c r="AW111" s="1048">
        <f>AV111/AV116</f>
        <v>0.41935483870967744</v>
      </c>
    </row>
    <row r="112" spans="1:49" s="571" customFormat="1" ht="12.75" customHeight="1">
      <c r="A112" s="575"/>
      <c r="B112" s="574"/>
      <c r="C112" s="574"/>
      <c r="D112" s="574"/>
      <c r="E112" s="2082"/>
      <c r="F112" s="2083"/>
      <c r="G112" s="2083"/>
      <c r="H112" s="2083"/>
      <c r="I112" s="2083"/>
      <c r="J112" s="2083"/>
      <c r="K112" s="2083"/>
      <c r="L112" s="2083"/>
      <c r="M112" s="2083"/>
      <c r="N112" s="2083"/>
      <c r="O112" s="2083"/>
      <c r="P112" s="2083"/>
      <c r="Q112" s="2083"/>
      <c r="R112" s="2083"/>
      <c r="S112" s="2083"/>
      <c r="T112" s="2083"/>
      <c r="U112" s="2083"/>
      <c r="V112" s="2083"/>
      <c r="W112" s="2083"/>
      <c r="X112" s="2083"/>
      <c r="Y112" s="2083"/>
      <c r="Z112" s="2083"/>
      <c r="AA112" s="2083"/>
      <c r="AB112" s="2083"/>
      <c r="AC112" s="2083"/>
      <c r="AD112" s="2083"/>
      <c r="AE112" s="2083"/>
      <c r="AF112" s="2083"/>
      <c r="AG112" s="2083"/>
      <c r="AH112" s="2083"/>
      <c r="AI112" s="2083"/>
      <c r="AJ112" s="2084"/>
      <c r="AK112" s="575"/>
      <c r="AL112" s="575"/>
      <c r="AM112" s="575"/>
      <c r="AN112" s="570"/>
      <c r="AO112" s="571" t="str">
        <f>Application!B720</f>
        <v>2 Bedrooms</v>
      </c>
      <c r="AQ112" s="571">
        <f>Application!O720</f>
        <v>1995</v>
      </c>
      <c r="AU112" s="892" t="str">
        <f>O118</f>
        <v>2-bedroom</v>
      </c>
      <c r="AV112" s="571">
        <f t="array" ref="AV112">SUM(IF(Application!B714:F738="2 Bedrooms",Application!G714:J738))</f>
        <v>40</v>
      </c>
      <c r="AW112" s="1048">
        <f>AV112/AV116</f>
        <v>0.32258064516129031</v>
      </c>
    </row>
    <row r="113" spans="1:52" s="571" customFormat="1" ht="12.75" customHeight="1">
      <c r="A113" s="575"/>
      <c r="B113" s="574"/>
      <c r="C113" s="574"/>
      <c r="D113" s="574"/>
      <c r="E113" s="2082"/>
      <c r="F113" s="2083"/>
      <c r="G113" s="2083"/>
      <c r="H113" s="2083"/>
      <c r="I113" s="2083"/>
      <c r="J113" s="2083"/>
      <c r="K113" s="2083"/>
      <c r="L113" s="2083"/>
      <c r="M113" s="2083"/>
      <c r="N113" s="2083"/>
      <c r="O113" s="2083"/>
      <c r="P113" s="2083"/>
      <c r="Q113" s="2083"/>
      <c r="R113" s="2083"/>
      <c r="S113" s="2083"/>
      <c r="T113" s="2083"/>
      <c r="U113" s="2083"/>
      <c r="V113" s="2083"/>
      <c r="W113" s="2083"/>
      <c r="X113" s="2083"/>
      <c r="Y113" s="2083"/>
      <c r="Z113" s="2083"/>
      <c r="AA113" s="2083"/>
      <c r="AB113" s="2083"/>
      <c r="AC113" s="2083"/>
      <c r="AD113" s="2083"/>
      <c r="AE113" s="2083"/>
      <c r="AF113" s="2083"/>
      <c r="AG113" s="2083"/>
      <c r="AH113" s="2083"/>
      <c r="AI113" s="2083"/>
      <c r="AJ113" s="2084"/>
      <c r="AK113" s="575"/>
      <c r="AL113" s="575"/>
      <c r="AM113" s="575"/>
      <c r="AN113" s="570"/>
      <c r="AO113" s="571" t="str">
        <f>Application!B721</f>
        <v>2 Bedrooms</v>
      </c>
      <c r="AQ113" s="571">
        <f>Application!O721</f>
        <v>1995</v>
      </c>
      <c r="AU113" s="892" t="str">
        <f>T118</f>
        <v>3-bedroom</v>
      </c>
      <c r="AV113" s="571">
        <f t="array" ref="AV113">SUM(IF(Application!B714:F738="3 Bedrooms",Application!G714:J738))</f>
        <v>32</v>
      </c>
      <c r="AW113" s="1048">
        <f>AV113/AV116</f>
        <v>0.25806451612903225</v>
      </c>
    </row>
    <row r="114" spans="1:52" s="571" customFormat="1" ht="12.75" customHeight="1">
      <c r="A114" s="575"/>
      <c r="B114" s="574"/>
      <c r="C114" s="574"/>
      <c r="D114" s="574"/>
      <c r="E114" s="2082"/>
      <c r="F114" s="2083"/>
      <c r="G114" s="2083"/>
      <c r="H114" s="2083"/>
      <c r="I114" s="2083"/>
      <c r="J114" s="2083"/>
      <c r="K114" s="2083"/>
      <c r="L114" s="2083"/>
      <c r="M114" s="2083"/>
      <c r="N114" s="2083"/>
      <c r="O114" s="2083"/>
      <c r="P114" s="2083"/>
      <c r="Q114" s="2083"/>
      <c r="R114" s="2083"/>
      <c r="S114" s="2083"/>
      <c r="T114" s="2083"/>
      <c r="U114" s="2083"/>
      <c r="V114" s="2083"/>
      <c r="W114" s="2083"/>
      <c r="X114" s="2083"/>
      <c r="Y114" s="2083"/>
      <c r="Z114" s="2083"/>
      <c r="AA114" s="2083"/>
      <c r="AB114" s="2083"/>
      <c r="AC114" s="2083"/>
      <c r="AD114" s="2083"/>
      <c r="AE114" s="2083"/>
      <c r="AF114" s="2083"/>
      <c r="AG114" s="2083"/>
      <c r="AH114" s="2083"/>
      <c r="AI114" s="2083"/>
      <c r="AJ114" s="2084"/>
      <c r="AK114" s="575"/>
      <c r="AL114" s="575"/>
      <c r="AM114" s="575"/>
      <c r="AN114" s="570"/>
      <c r="AO114" s="571" t="str">
        <f>Application!B722</f>
        <v>2 Bedrooms</v>
      </c>
      <c r="AQ114" s="571">
        <f>Application!O722</f>
        <v>2414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2"/>
      <c r="F115" s="2083"/>
      <c r="G115" s="2083"/>
      <c r="H115" s="2083"/>
      <c r="I115" s="2083"/>
      <c r="J115" s="2083"/>
      <c r="K115" s="2083"/>
      <c r="L115" s="2083"/>
      <c r="M115" s="2083"/>
      <c r="N115" s="2083"/>
      <c r="O115" s="2083"/>
      <c r="P115" s="2083"/>
      <c r="Q115" s="2083"/>
      <c r="R115" s="2083"/>
      <c r="S115" s="2083"/>
      <c r="T115" s="2083"/>
      <c r="U115" s="2083"/>
      <c r="V115" s="2083"/>
      <c r="W115" s="2083"/>
      <c r="X115" s="2083"/>
      <c r="Y115" s="2083"/>
      <c r="Z115" s="2083"/>
      <c r="AA115" s="2083"/>
      <c r="AB115" s="2083"/>
      <c r="AC115" s="2083"/>
      <c r="AD115" s="2083"/>
      <c r="AE115" s="2083"/>
      <c r="AF115" s="2083"/>
      <c r="AG115" s="2083"/>
      <c r="AH115" s="2083"/>
      <c r="AI115" s="2083"/>
      <c r="AJ115" s="2084"/>
      <c r="AK115" s="575"/>
      <c r="AL115" s="575"/>
      <c r="AM115" s="575"/>
      <c r="AN115" s="570"/>
      <c r="AO115" s="571" t="str">
        <f>Application!B723</f>
        <v>2 Bedrooms</v>
      </c>
      <c r="AQ115" s="571">
        <f>Application!O723</f>
        <v>2834</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2"/>
      <c r="F116" s="2083"/>
      <c r="G116" s="2083"/>
      <c r="H116" s="2083"/>
      <c r="I116" s="2083"/>
      <c r="J116" s="2083"/>
      <c r="K116" s="2083"/>
      <c r="L116" s="2083"/>
      <c r="M116" s="2083"/>
      <c r="N116" s="2083"/>
      <c r="O116" s="2083"/>
      <c r="P116" s="2083"/>
      <c r="Q116" s="2083"/>
      <c r="R116" s="2083"/>
      <c r="S116" s="2083"/>
      <c r="T116" s="2083"/>
      <c r="U116" s="2083"/>
      <c r="V116" s="2083"/>
      <c r="W116" s="2083"/>
      <c r="X116" s="2083"/>
      <c r="Y116" s="2083"/>
      <c r="Z116" s="2083"/>
      <c r="AA116" s="2083"/>
      <c r="AB116" s="2083"/>
      <c r="AC116" s="2083"/>
      <c r="AD116" s="2083"/>
      <c r="AE116" s="2083"/>
      <c r="AF116" s="2083"/>
      <c r="AG116" s="2083"/>
      <c r="AH116" s="2083"/>
      <c r="AI116" s="2083"/>
      <c r="AJ116" s="2084"/>
      <c r="AK116" s="575"/>
      <c r="AL116" s="575"/>
      <c r="AM116" s="575"/>
      <c r="AN116" s="570"/>
      <c r="AO116" s="571" t="str">
        <f>Application!B724</f>
        <v>3 Bedrooms</v>
      </c>
      <c r="AQ116" s="571">
        <f>Application!O724</f>
        <v>1318</v>
      </c>
      <c r="AV116" s="571">
        <f>SUM(AV110:AV115)</f>
        <v>124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2287</v>
      </c>
    </row>
    <row r="118" spans="1:52" s="571" customFormat="1" ht="12.75" customHeight="1">
      <c r="A118" s="575"/>
      <c r="B118" s="574"/>
      <c r="C118" s="575"/>
      <c r="D118" s="575"/>
      <c r="E118" s="2075" t="s">
        <v>1767</v>
      </c>
      <c r="F118" s="2076"/>
      <c r="G118" s="2076"/>
      <c r="H118" s="2076"/>
      <c r="I118" s="612"/>
      <c r="J118" s="2076" t="s">
        <v>1812</v>
      </c>
      <c r="K118" s="2076"/>
      <c r="L118" s="2076"/>
      <c r="M118" s="2076"/>
      <c r="N118" s="612"/>
      <c r="O118" s="2076" t="s">
        <v>1813</v>
      </c>
      <c r="P118" s="2076"/>
      <c r="Q118" s="2076"/>
      <c r="R118" s="2076"/>
      <c r="S118" s="612"/>
      <c r="T118" s="2076" t="s">
        <v>1508</v>
      </c>
      <c r="U118" s="2076"/>
      <c r="V118" s="2076"/>
      <c r="W118" s="2076"/>
      <c r="X118" s="612"/>
      <c r="Y118" s="2076" t="s">
        <v>1814</v>
      </c>
      <c r="Z118" s="2076"/>
      <c r="AA118" s="2076"/>
      <c r="AB118" s="2076"/>
      <c r="AC118" s="612"/>
      <c r="AD118" s="2076" t="s">
        <v>1815</v>
      </c>
      <c r="AE118" s="2076"/>
      <c r="AF118" s="2076"/>
      <c r="AG118" s="2076"/>
      <c r="AH118" s="612"/>
      <c r="AI118" s="612"/>
      <c r="AJ118" s="614"/>
      <c r="AK118" s="575"/>
      <c r="AL118" s="575"/>
      <c r="AM118" s="575"/>
      <c r="AN118" s="570"/>
      <c r="AO118" s="571" t="str">
        <f>Application!B726</f>
        <v>3 Bedrooms</v>
      </c>
      <c r="AQ118" s="571">
        <f>Application!O726</f>
        <v>2772</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3256</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7"/>
      <c r="F121" s="2078"/>
      <c r="G121" s="2078"/>
      <c r="H121" s="2078"/>
      <c r="I121" s="900"/>
      <c r="J121" s="2078">
        <v>3208</v>
      </c>
      <c r="K121" s="2078"/>
      <c r="L121" s="2078"/>
      <c r="M121" s="2078"/>
      <c r="N121" s="900"/>
      <c r="O121" s="2078">
        <v>3474</v>
      </c>
      <c r="P121" s="2078"/>
      <c r="Q121" s="2078"/>
      <c r="R121" s="2078"/>
      <c r="S121" s="900"/>
      <c r="T121" s="2078">
        <v>4744</v>
      </c>
      <c r="U121" s="2078"/>
      <c r="V121" s="2078"/>
      <c r="W121" s="2078"/>
      <c r="X121" s="900"/>
      <c r="Y121" s="2078"/>
      <c r="Z121" s="2078"/>
      <c r="AA121" s="2078"/>
      <c r="AB121" s="2078"/>
      <c r="AC121" s="900"/>
      <c r="AD121" s="2078"/>
      <c r="AE121" s="2078"/>
      <c r="AF121" s="2078"/>
      <c r="AG121" s="207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5">
        <f>Application!DX649</f>
        <v>0</v>
      </c>
      <c r="F124" s="2086"/>
      <c r="G124" s="2086"/>
      <c r="H124" s="2086"/>
      <c r="I124" s="900"/>
      <c r="J124" s="2086">
        <f>Application!EC649</f>
        <v>1767.1346153846155</v>
      </c>
      <c r="K124" s="2086"/>
      <c r="L124" s="2086"/>
      <c r="M124" s="2086"/>
      <c r="N124" s="900"/>
      <c r="O124" s="2086">
        <f>Application!EH649</f>
        <v>2089.3249999999998</v>
      </c>
      <c r="P124" s="2086"/>
      <c r="Q124" s="2086"/>
      <c r="R124" s="2086"/>
      <c r="S124" s="904"/>
      <c r="T124" s="2086">
        <f>Application!EM649</f>
        <v>1454.28125</v>
      </c>
      <c r="U124" s="2086"/>
      <c r="V124" s="2086"/>
      <c r="W124" s="2086"/>
      <c r="X124" s="904"/>
      <c r="Y124" s="2086">
        <f>Application!ER649</f>
        <v>0</v>
      </c>
      <c r="Z124" s="2086"/>
      <c r="AA124" s="2086"/>
      <c r="AB124" s="2086"/>
      <c r="AC124" s="904"/>
      <c r="AD124" s="2086">
        <f>Application!EW649</f>
        <v>0</v>
      </c>
      <c r="AE124" s="2086"/>
      <c r="AF124" s="2086"/>
      <c r="AG124" s="208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2" t="e">
        <f>(E121-E124)/E121</f>
        <v>#DIV/0!</v>
      </c>
      <c r="F127" s="1883"/>
      <c r="G127" s="1883"/>
      <c r="H127" s="1884"/>
      <c r="I127" s="612"/>
      <c r="J127" s="1882">
        <f>(J121-J124)/J121</f>
        <v>0.44914756378285053</v>
      </c>
      <c r="K127" s="1883"/>
      <c r="L127" s="1883"/>
      <c r="M127" s="1884"/>
      <c r="N127" s="612"/>
      <c r="O127" s="1882">
        <f>(O121-O124)/O121</f>
        <v>0.39858232584916525</v>
      </c>
      <c r="P127" s="1883"/>
      <c r="Q127" s="1883"/>
      <c r="R127" s="1884"/>
      <c r="S127" s="612"/>
      <c r="T127" s="1882">
        <f>(T121-T124)/T121</f>
        <v>0.69344830311973016</v>
      </c>
      <c r="U127" s="1883"/>
      <c r="V127" s="1883"/>
      <c r="W127" s="1884"/>
      <c r="X127" s="612"/>
      <c r="Y127" s="1882" t="e">
        <f>(Y121-Y124)/Y121</f>
        <v>#DIV/0!</v>
      </c>
      <c r="Z127" s="1883"/>
      <c r="AA127" s="1883"/>
      <c r="AB127" s="1884"/>
      <c r="AC127" s="612"/>
      <c r="AD127" s="1882" t="e">
        <f>(AD121-AD124)/AD121</f>
        <v>#DIV/0!</v>
      </c>
      <c r="AE127" s="1883"/>
      <c r="AF127" s="1883"/>
      <c r="AG127" s="188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8" t="e">
        <f>IF(((E127-0.1)*AW110)&gt;0,((E127-0.1)*AW110),0)</f>
        <v>#DIV/0!</v>
      </c>
      <c r="F130" s="2089"/>
      <c r="G130" s="2089"/>
      <c r="H130" s="2090"/>
      <c r="I130" s="612"/>
      <c r="J130" s="2088">
        <f>IF(((J127-0.1)*AW111)&gt;0,((J127-0.1)*AW111),0)</f>
        <v>0.14641672029603409</v>
      </c>
      <c r="K130" s="2089"/>
      <c r="L130" s="2089"/>
      <c r="M130" s="2090"/>
      <c r="N130" s="612"/>
      <c r="O130" s="2088">
        <f>IF(((O127-0.1)*AW112)&gt;0,((O127-0.1)*AW112),0)</f>
        <v>9.6316879306182324E-2</v>
      </c>
      <c r="P130" s="2089"/>
      <c r="Q130" s="2089"/>
      <c r="R130" s="2090"/>
      <c r="S130" s="612"/>
      <c r="T130" s="2088">
        <f>IF(((T127-0.1)*AW113)&gt;0,((T127-0.1)*AW113),0)</f>
        <v>0.15314794919218844</v>
      </c>
      <c r="U130" s="2089"/>
      <c r="V130" s="2089"/>
      <c r="W130" s="2090"/>
      <c r="X130" s="612"/>
      <c r="Y130" s="2088" t="e">
        <f>IF(((Y127-0.1)*AW114)&gt;0,((Y127-0.1)*AW114),0)</f>
        <v>#DIV/0!</v>
      </c>
      <c r="Z130" s="2089"/>
      <c r="AA130" s="2089"/>
      <c r="AB130" s="2090"/>
      <c r="AC130" s="612"/>
      <c r="AD130" s="2088" t="e">
        <f>IF(((AD127-0.1)*AW115)&gt;0,((AD127-0.1)*AW115),0)</f>
        <v>#DIV/0!</v>
      </c>
      <c r="AE130" s="2089"/>
      <c r="AF130" s="2089"/>
      <c r="AG130" s="209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2">
        <f>ROUNDDOWN(SUMIF(E130:AG130,"&gt;0"),2)</f>
        <v>0.39</v>
      </c>
      <c r="F132" s="1883"/>
      <c r="G132" s="1883"/>
      <c r="H132" s="1884"/>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1">
        <f>IF((E132*100)&gt;10,10,E132*100)</f>
        <v>10</v>
      </c>
      <c r="F133" s="2062"/>
      <c r="G133" s="2062"/>
      <c r="H133" s="2063"/>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1">
        <f>E133</f>
        <v>10</v>
      </c>
      <c r="AL137" s="2062"/>
      <c r="AM137" s="206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9" t="s">
        <v>1488</v>
      </c>
      <c r="AF140" s="1909"/>
      <c r="AG140" s="1909"/>
      <c r="AH140" s="1909"/>
      <c r="AI140" s="1909"/>
      <c r="AJ140" s="1909"/>
      <c r="AK140" s="1909"/>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6" t="s">
        <v>1512</v>
      </c>
      <c r="AG142" s="1976"/>
      <c r="AH142" s="1976"/>
      <c r="AI142" s="1976"/>
      <c r="AJ142" s="1976"/>
      <c r="AK142" s="1976"/>
      <c r="AL142" s="197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6" t="s">
        <v>2761</v>
      </c>
      <c r="C144" s="2066"/>
      <c r="D144" s="2066"/>
      <c r="E144" s="2066"/>
      <c r="F144" s="2066"/>
      <c r="G144" s="2066"/>
      <c r="H144" s="2066"/>
      <c r="I144" s="2066"/>
      <c r="J144" s="2066"/>
      <c r="K144" s="2066"/>
      <c r="L144" s="2066"/>
      <c r="M144" s="2066"/>
      <c r="N144" s="2066"/>
      <c r="O144" s="2066"/>
      <c r="P144" s="2066"/>
      <c r="Q144" s="2066"/>
      <c r="R144" s="2066"/>
      <c r="S144" s="2066"/>
      <c r="T144" s="2066"/>
      <c r="U144" s="2066"/>
      <c r="V144" s="2066"/>
      <c r="W144" s="2066"/>
      <c r="X144" s="2066"/>
      <c r="Y144" s="2066"/>
      <c r="Z144" s="2066"/>
      <c r="AA144" s="2066"/>
      <c r="AB144" s="2066"/>
      <c r="AC144" s="206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7" t="s">
        <v>1515</v>
      </c>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M147" s="574"/>
      <c r="AN147" s="570"/>
      <c r="AO147" s="511" t="s">
        <v>1515</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1" t="s">
        <v>601</v>
      </c>
      <c r="AC149" s="201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7" t="s">
        <v>1517</v>
      </c>
      <c r="C152" s="2067"/>
      <c r="D152" s="2067"/>
      <c r="E152" s="2067"/>
      <c r="F152" s="2067"/>
      <c r="G152" s="2067"/>
      <c r="H152" s="2067"/>
      <c r="I152" s="2067"/>
      <c r="J152" s="2067"/>
      <c r="K152" s="2067"/>
      <c r="L152" s="2067"/>
      <c r="M152" s="2067"/>
      <c r="N152" s="2067"/>
      <c r="O152" s="2067"/>
      <c r="P152" s="2067"/>
      <c r="Q152" s="2067"/>
      <c r="R152" s="2067"/>
      <c r="S152" s="2067"/>
      <c r="T152" s="2067"/>
      <c r="U152" s="2067"/>
      <c r="V152" s="2067"/>
      <c r="W152" s="2067"/>
      <c r="X152" s="2067"/>
      <c r="Y152" s="2067"/>
      <c r="Z152" s="2067"/>
      <c r="AA152" s="2067"/>
      <c r="AB152" s="2067"/>
      <c r="AC152" s="2067"/>
      <c r="AD152" s="2067"/>
      <c r="AE152" s="2067"/>
      <c r="AF152" s="2067"/>
      <c r="AG152" s="2067"/>
      <c r="AH152" s="2067"/>
      <c r="AI152" s="2067"/>
      <c r="AJ152" s="206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6">
        <f>IF($AB$149="N/A",VLOOKUP($B$147,$AO$145:$AP$148,2,FALSE),VLOOKUP($B$152,$AO$150:$AP$153,2,FALSE))</f>
        <v>7</v>
      </c>
      <c r="AK155" s="193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6" t="s">
        <v>1526</v>
      </c>
      <c r="AG157" s="1976"/>
      <c r="AH157" s="1976"/>
      <c r="AI157" s="1976"/>
      <c r="AJ157" s="1976"/>
      <c r="AK157" s="1976"/>
      <c r="AL157" s="197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7" t="s">
        <v>1524</v>
      </c>
      <c r="D159" s="2067"/>
      <c r="E159" s="2067"/>
      <c r="F159" s="2067"/>
      <c r="G159" s="2067"/>
      <c r="H159" s="2067"/>
      <c r="I159" s="2067"/>
      <c r="J159" s="2067"/>
      <c r="K159" s="2067"/>
      <c r="L159" s="2067"/>
      <c r="M159" s="2067"/>
      <c r="N159" s="2067"/>
      <c r="O159" s="2067"/>
      <c r="P159" s="2067"/>
      <c r="Q159" s="2067"/>
      <c r="R159" s="2067"/>
      <c r="S159" s="2067"/>
      <c r="T159" s="2067"/>
      <c r="U159" s="2067"/>
      <c r="V159" s="2067"/>
      <c r="W159" s="2067"/>
      <c r="X159" s="2067"/>
      <c r="Y159" s="2067"/>
      <c r="Z159" s="2067"/>
      <c r="AA159" s="2067"/>
      <c r="AB159" s="2067"/>
      <c r="AC159" s="2067"/>
      <c r="AD159" s="2067"/>
      <c r="AE159" s="2067"/>
      <c r="AF159" s="2067"/>
      <c r="AG159" s="2067"/>
      <c r="AH159" s="2067"/>
      <c r="AI159" s="2067"/>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1" t="s">
        <v>601</v>
      </c>
      <c r="AD161" s="201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7" t="s">
        <v>1517</v>
      </c>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c r="AC163" s="2067"/>
      <c r="AD163" s="206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6" t="s">
        <v>2701</v>
      </c>
      <c r="D167" s="2066"/>
      <c r="E167" s="2066"/>
      <c r="F167" s="2066"/>
      <c r="G167" s="2066"/>
      <c r="H167" s="2066"/>
      <c r="I167" s="2066"/>
      <c r="J167" s="2066"/>
      <c r="K167" s="2066"/>
      <c r="L167" s="2066"/>
      <c r="M167" s="2066"/>
      <c r="N167" s="2066"/>
      <c r="O167" s="2066"/>
      <c r="P167" s="2066"/>
      <c r="Q167" s="2066"/>
      <c r="R167" s="2066"/>
      <c r="S167" s="2066"/>
      <c r="T167" s="2066"/>
      <c r="U167" s="2066"/>
      <c r="V167" s="2066"/>
      <c r="W167" s="2066"/>
      <c r="X167" s="2066"/>
      <c r="Y167" s="2066"/>
      <c r="Z167" s="2066"/>
      <c r="AA167" s="2066"/>
      <c r="AB167" s="2066"/>
      <c r="AC167" s="2066"/>
      <c r="AD167" s="206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5">
        <f>IF($AC$161="N/A",VLOOKUP($C$159,$AO$159:$AP$162,2,FALSE),VLOOKUP($C$163,$AO$166:$AP$168,2,FALSE))</f>
        <v>3</v>
      </c>
      <c r="AK169" s="193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1">
        <f>$AJ$155+$AJ$169</f>
        <v>10</v>
      </c>
      <c r="AL172" s="2062"/>
      <c r="AM172" s="206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9" t="s">
        <v>1488</v>
      </c>
      <c r="AF175" s="1909"/>
      <c r="AG175" s="1909"/>
      <c r="AH175" s="1909"/>
      <c r="AI175" s="1909"/>
      <c r="AJ175" s="1909"/>
      <c r="AK175" s="190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4" t="s">
        <v>1103</v>
      </c>
      <c r="C177" s="2064"/>
      <c r="D177" s="2064"/>
      <c r="E177" s="2064"/>
      <c r="F177" s="2064"/>
      <c r="G177" s="2064"/>
      <c r="H177" s="2064"/>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571"/>
      <c r="AE177" s="571"/>
      <c r="AF177" s="1976" t="s">
        <v>1537</v>
      </c>
      <c r="AG177" s="1976"/>
      <c r="AH177" s="1976"/>
      <c r="AI177" s="1976"/>
      <c r="AJ177" s="1976"/>
      <c r="AK177" s="1976"/>
      <c r="AL177" s="1976"/>
      <c r="AN177" s="632"/>
      <c r="AP177" s="585" t="s">
        <v>1105</v>
      </c>
      <c r="AQ177" s="585">
        <v>10</v>
      </c>
    </row>
    <row r="178" spans="1:45" s="585" customFormat="1" ht="12.75" customHeight="1">
      <c r="A178" s="571"/>
      <c r="B178" s="2065" t="s">
        <v>1988</v>
      </c>
      <c r="C178" s="2065"/>
      <c r="D178" s="2065"/>
      <c r="E178" s="2065"/>
      <c r="F178" s="2065"/>
      <c r="G178" s="2065"/>
      <c r="H178" s="2065"/>
      <c r="I178" s="2065"/>
      <c r="J178" s="2065"/>
      <c r="K178" s="2065"/>
      <c r="L178" s="2065"/>
      <c r="M178" s="2065"/>
      <c r="N178" s="2065"/>
      <c r="O178" s="2065"/>
      <c r="P178" s="2065"/>
      <c r="Q178" s="2065"/>
      <c r="R178" s="2065"/>
      <c r="S178" s="2065"/>
      <c r="T178" s="2066" t="s">
        <v>601</v>
      </c>
      <c r="U178" s="2066"/>
      <c r="V178" s="2066"/>
      <c r="W178" s="2066"/>
      <c r="X178" s="2066"/>
      <c r="Y178" s="2066"/>
      <c r="Z178" s="2066"/>
      <c r="AA178" s="2066"/>
      <c r="AB178" s="2066"/>
      <c r="AC178" s="206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3">
        <f>IF(AK78&gt;0,VLOOKUP($B$177,AP174:AQ180,2,FALSE),0)</f>
        <v>10</v>
      </c>
      <c r="AL180" s="1904"/>
      <c r="AM180" s="1905"/>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9" t="s">
        <v>1546</v>
      </c>
      <c r="AF183" s="1909"/>
      <c r="AG183" s="1909"/>
      <c r="AH183" s="1909"/>
      <c r="AI183" s="1909"/>
      <c r="AJ183" s="1909"/>
      <c r="AK183" s="190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8" t="s">
        <v>2784</v>
      </c>
      <c r="C188" s="2058"/>
      <c r="D188" s="2058"/>
      <c r="E188" s="2058"/>
      <c r="F188" s="2058"/>
      <c r="G188" s="2058"/>
      <c r="H188" s="2058"/>
      <c r="I188" s="2058"/>
      <c r="J188" s="2058"/>
      <c r="K188" s="2058"/>
      <c r="L188" s="2058"/>
      <c r="M188" s="2058"/>
      <c r="N188" s="2058"/>
      <c r="O188" s="2058"/>
      <c r="P188" s="2058"/>
      <c r="Q188" s="2058"/>
      <c r="R188" s="2058"/>
      <c r="S188" s="2058"/>
      <c r="T188" s="2058"/>
      <c r="U188" s="2058"/>
      <c r="V188" s="2058"/>
      <c r="W188" s="2058"/>
      <c r="X188" s="2058"/>
      <c r="Y188" s="2058"/>
      <c r="Z188" s="2058"/>
      <c r="AA188" s="2058"/>
      <c r="AB188" s="2058"/>
      <c r="AC188" s="882"/>
      <c r="AD188" s="2048">
        <v>13900000</v>
      </c>
      <c r="AE188" s="2048"/>
      <c r="AF188" s="2048"/>
      <c r="AG188" s="2048"/>
      <c r="AH188" s="2048"/>
      <c r="AI188" s="2048"/>
      <c r="AJ188" s="2048"/>
      <c r="AK188" s="645"/>
    </row>
    <row r="189" spans="1:45">
      <c r="A189" s="640"/>
      <c r="B189" s="2058" t="s">
        <v>2728</v>
      </c>
      <c r="C189" s="2058"/>
      <c r="D189" s="2058"/>
      <c r="E189" s="2058"/>
      <c r="F189" s="2058"/>
      <c r="G189" s="2058"/>
      <c r="H189" s="2058"/>
      <c r="I189" s="2058"/>
      <c r="J189" s="2058"/>
      <c r="K189" s="2058"/>
      <c r="L189" s="2058"/>
      <c r="M189" s="2058"/>
      <c r="N189" s="2058"/>
      <c r="O189" s="2058"/>
      <c r="P189" s="2058"/>
      <c r="Q189" s="2058"/>
      <c r="R189" s="2058"/>
      <c r="S189" s="2058"/>
      <c r="T189" s="2058"/>
      <c r="U189" s="2058"/>
      <c r="V189" s="2058"/>
      <c r="W189" s="2058"/>
      <c r="X189" s="2058"/>
      <c r="Y189" s="2058"/>
      <c r="Z189" s="2058"/>
      <c r="AA189" s="2058"/>
      <c r="AB189" s="2058"/>
      <c r="AC189" s="882"/>
      <c r="AD189" s="2048">
        <v>2500000</v>
      </c>
      <c r="AE189" s="2048"/>
      <c r="AF189" s="2048"/>
      <c r="AG189" s="2048"/>
      <c r="AH189" s="2048"/>
      <c r="AI189" s="2048"/>
      <c r="AJ189" s="2048"/>
      <c r="AK189" s="645"/>
    </row>
    <row r="190" spans="1:45">
      <c r="A190" s="640"/>
      <c r="B190" s="2058" t="s">
        <v>2722</v>
      </c>
      <c r="C190" s="2058"/>
      <c r="D190" s="2058"/>
      <c r="E190" s="2058"/>
      <c r="F190" s="2058"/>
      <c r="G190" s="2058"/>
      <c r="H190" s="2058"/>
      <c r="I190" s="2058"/>
      <c r="J190" s="2058"/>
      <c r="K190" s="2058"/>
      <c r="L190" s="2058"/>
      <c r="M190" s="2058"/>
      <c r="N190" s="2058"/>
      <c r="O190" s="2058"/>
      <c r="P190" s="2058"/>
      <c r="Q190" s="2058"/>
      <c r="R190" s="2058"/>
      <c r="S190" s="2058"/>
      <c r="T190" s="2058"/>
      <c r="U190" s="2058"/>
      <c r="V190" s="2058"/>
      <c r="W190" s="2058"/>
      <c r="X190" s="2058"/>
      <c r="Y190" s="2058"/>
      <c r="Z190" s="2058"/>
      <c r="AA190" s="2058"/>
      <c r="AB190" s="2058"/>
      <c r="AC190" s="882"/>
      <c r="AD190" s="2048">
        <v>4445978</v>
      </c>
      <c r="AE190" s="2048"/>
      <c r="AF190" s="2048"/>
      <c r="AG190" s="2048"/>
      <c r="AH190" s="2048"/>
      <c r="AI190" s="2048"/>
      <c r="AJ190" s="2048"/>
      <c r="AK190" s="645"/>
    </row>
    <row r="191" spans="1:45">
      <c r="A191" s="640"/>
      <c r="B191" s="2058"/>
      <c r="C191" s="2058"/>
      <c r="D191" s="2058"/>
      <c r="E191" s="2058"/>
      <c r="F191" s="2058"/>
      <c r="G191" s="2058"/>
      <c r="H191" s="2058"/>
      <c r="I191" s="2058"/>
      <c r="J191" s="2058"/>
      <c r="K191" s="2058"/>
      <c r="L191" s="2058"/>
      <c r="M191" s="2058"/>
      <c r="N191" s="2058"/>
      <c r="O191" s="2058"/>
      <c r="P191" s="2058"/>
      <c r="Q191" s="2058"/>
      <c r="R191" s="2058"/>
      <c r="S191" s="2058"/>
      <c r="T191" s="2058"/>
      <c r="U191" s="2058"/>
      <c r="V191" s="2058"/>
      <c r="W191" s="2058"/>
      <c r="X191" s="2058"/>
      <c r="Y191" s="2058"/>
      <c r="Z191" s="2058"/>
      <c r="AA191" s="2058"/>
      <c r="AB191" s="2058"/>
      <c r="AC191" s="882"/>
      <c r="AD191" s="2048"/>
      <c r="AE191" s="2048"/>
      <c r="AF191" s="2048"/>
      <c r="AG191" s="2048"/>
      <c r="AH191" s="2048"/>
      <c r="AI191" s="2048"/>
      <c r="AJ191" s="2048"/>
      <c r="AK191" s="645"/>
    </row>
    <row r="192" spans="1:45">
      <c r="A192" s="640"/>
      <c r="B192" s="2058"/>
      <c r="C192" s="2058"/>
      <c r="D192" s="2058"/>
      <c r="E192" s="2058"/>
      <c r="F192" s="2058"/>
      <c r="G192" s="2058"/>
      <c r="H192" s="2058"/>
      <c r="I192" s="2058"/>
      <c r="J192" s="2058"/>
      <c r="K192" s="2058"/>
      <c r="L192" s="2058"/>
      <c r="M192" s="2058"/>
      <c r="N192" s="2058"/>
      <c r="O192" s="2058"/>
      <c r="P192" s="2058"/>
      <c r="Q192" s="2058"/>
      <c r="R192" s="2058"/>
      <c r="S192" s="2058"/>
      <c r="T192" s="2058"/>
      <c r="U192" s="2058"/>
      <c r="V192" s="2058"/>
      <c r="W192" s="2058"/>
      <c r="X192" s="2058"/>
      <c r="Y192" s="2058"/>
      <c r="Z192" s="2058"/>
      <c r="AA192" s="2058"/>
      <c r="AB192" s="2058"/>
      <c r="AC192" s="882"/>
      <c r="AD192" s="2048"/>
      <c r="AE192" s="2048"/>
      <c r="AF192" s="2048"/>
      <c r="AG192" s="2048"/>
      <c r="AH192" s="2048"/>
      <c r="AI192" s="2048"/>
      <c r="AJ192" s="2048"/>
      <c r="AK192" s="645"/>
    </row>
    <row r="193" spans="1:37">
      <c r="A193" s="640"/>
      <c r="B193" s="2058"/>
      <c r="C193" s="2058"/>
      <c r="D193" s="2058"/>
      <c r="E193" s="2058"/>
      <c r="F193" s="2058"/>
      <c r="G193" s="2058"/>
      <c r="H193" s="2058"/>
      <c r="I193" s="2058"/>
      <c r="J193" s="2058"/>
      <c r="K193" s="2058"/>
      <c r="L193" s="2058"/>
      <c r="M193" s="2058"/>
      <c r="N193" s="2058"/>
      <c r="O193" s="2058"/>
      <c r="P193" s="2058"/>
      <c r="Q193" s="2058"/>
      <c r="R193" s="2058"/>
      <c r="S193" s="2058"/>
      <c r="T193" s="2058"/>
      <c r="U193" s="2058"/>
      <c r="V193" s="2058"/>
      <c r="W193" s="2058"/>
      <c r="X193" s="2058"/>
      <c r="Y193" s="2058"/>
      <c r="Z193" s="2058"/>
      <c r="AA193" s="2058"/>
      <c r="AB193" s="2058"/>
      <c r="AC193" s="882"/>
      <c r="AD193" s="2048"/>
      <c r="AE193" s="2048"/>
      <c r="AF193" s="2048"/>
      <c r="AG193" s="2048"/>
      <c r="AH193" s="2048"/>
      <c r="AI193" s="2048"/>
      <c r="AJ193" s="2048"/>
      <c r="AK193" s="645"/>
    </row>
    <row r="194" spans="1:37">
      <c r="A194" s="640"/>
      <c r="B194" s="2058"/>
      <c r="C194" s="2058"/>
      <c r="D194" s="2058"/>
      <c r="E194" s="2058"/>
      <c r="F194" s="2058"/>
      <c r="G194" s="2058"/>
      <c r="H194" s="2058"/>
      <c r="I194" s="2058"/>
      <c r="J194" s="2058"/>
      <c r="K194" s="2058"/>
      <c r="L194" s="2058"/>
      <c r="M194" s="2058"/>
      <c r="N194" s="2058"/>
      <c r="O194" s="2058"/>
      <c r="P194" s="2058"/>
      <c r="Q194" s="2058"/>
      <c r="R194" s="2058"/>
      <c r="S194" s="2058"/>
      <c r="T194" s="2058"/>
      <c r="U194" s="2058"/>
      <c r="V194" s="2058"/>
      <c r="W194" s="2058"/>
      <c r="X194" s="2058"/>
      <c r="Y194" s="2058"/>
      <c r="Z194" s="2058"/>
      <c r="AA194" s="2058"/>
      <c r="AB194" s="2058"/>
      <c r="AC194" s="882"/>
      <c r="AD194" s="2048"/>
      <c r="AE194" s="2048"/>
      <c r="AF194" s="2048"/>
      <c r="AG194" s="2048"/>
      <c r="AH194" s="2048"/>
      <c r="AI194" s="2048"/>
      <c r="AJ194" s="2048"/>
      <c r="AK194" s="645"/>
    </row>
    <row r="195" spans="1:37">
      <c r="A195" s="640"/>
      <c r="B195" s="2058"/>
      <c r="C195" s="2058"/>
      <c r="D195" s="2058"/>
      <c r="E195" s="2058"/>
      <c r="F195" s="2058"/>
      <c r="G195" s="2058"/>
      <c r="H195" s="2058"/>
      <c r="I195" s="2058"/>
      <c r="J195" s="2058"/>
      <c r="K195" s="2058"/>
      <c r="L195" s="2058"/>
      <c r="M195" s="2058"/>
      <c r="N195" s="2058"/>
      <c r="O195" s="2058"/>
      <c r="P195" s="2058"/>
      <c r="Q195" s="2058"/>
      <c r="R195" s="2058"/>
      <c r="S195" s="2058"/>
      <c r="T195" s="2058"/>
      <c r="U195" s="2058"/>
      <c r="V195" s="2058"/>
      <c r="W195" s="2058"/>
      <c r="X195" s="2058"/>
      <c r="Y195" s="2058"/>
      <c r="Z195" s="2058"/>
      <c r="AA195" s="2058"/>
      <c r="AB195" s="2058"/>
      <c r="AC195" s="882"/>
      <c r="AD195" s="2048"/>
      <c r="AE195" s="2048"/>
      <c r="AF195" s="2048"/>
      <c r="AG195" s="2048"/>
      <c r="AH195" s="2048"/>
      <c r="AI195" s="2048"/>
      <c r="AJ195" s="2048"/>
      <c r="AK195" s="645"/>
    </row>
    <row r="196" spans="1:37">
      <c r="A196" s="640"/>
      <c r="B196" s="2058"/>
      <c r="C196" s="2058"/>
      <c r="D196" s="2058"/>
      <c r="E196" s="2058"/>
      <c r="F196" s="2058"/>
      <c r="G196" s="2058"/>
      <c r="H196" s="2058"/>
      <c r="I196" s="2058"/>
      <c r="J196" s="2058"/>
      <c r="K196" s="2058"/>
      <c r="L196" s="2058"/>
      <c r="M196" s="2058"/>
      <c r="N196" s="2058"/>
      <c r="O196" s="2058"/>
      <c r="P196" s="2058"/>
      <c r="Q196" s="2058"/>
      <c r="R196" s="2058"/>
      <c r="S196" s="2058"/>
      <c r="T196" s="2058"/>
      <c r="U196" s="2058"/>
      <c r="V196" s="2058"/>
      <c r="W196" s="2058"/>
      <c r="X196" s="2058"/>
      <c r="Y196" s="2058"/>
      <c r="Z196" s="2058"/>
      <c r="AA196" s="2058"/>
      <c r="AB196" s="2058"/>
      <c r="AC196" s="882"/>
      <c r="AD196" s="2048"/>
      <c r="AE196" s="2048"/>
      <c r="AF196" s="2048"/>
      <c r="AG196" s="2048"/>
      <c r="AH196" s="2048"/>
      <c r="AI196" s="2048"/>
      <c r="AJ196" s="2048"/>
      <c r="AK196" s="645"/>
    </row>
    <row r="197" spans="1:37">
      <c r="A197" s="640"/>
      <c r="B197" s="2058"/>
      <c r="C197" s="2058"/>
      <c r="D197" s="2058"/>
      <c r="E197" s="2058"/>
      <c r="F197" s="2058"/>
      <c r="G197" s="2058"/>
      <c r="H197" s="2058"/>
      <c r="I197" s="2058"/>
      <c r="J197" s="2058"/>
      <c r="K197" s="2058"/>
      <c r="L197" s="2058"/>
      <c r="M197" s="2058"/>
      <c r="N197" s="2058"/>
      <c r="O197" s="2058"/>
      <c r="P197" s="2058"/>
      <c r="Q197" s="2058"/>
      <c r="R197" s="2058"/>
      <c r="S197" s="2058"/>
      <c r="T197" s="2058"/>
      <c r="U197" s="2058"/>
      <c r="V197" s="2058"/>
      <c r="W197" s="2058"/>
      <c r="X197" s="2058"/>
      <c r="Y197" s="2058"/>
      <c r="Z197" s="2058"/>
      <c r="AA197" s="2058"/>
      <c r="AB197" s="2058"/>
      <c r="AC197" s="882"/>
      <c r="AD197" s="2048"/>
      <c r="AE197" s="2048"/>
      <c r="AF197" s="2048"/>
      <c r="AG197" s="2048"/>
      <c r="AH197" s="2048"/>
      <c r="AI197" s="2048"/>
      <c r="AJ197" s="2048"/>
      <c r="AK197" s="645"/>
    </row>
    <row r="198" spans="1:37">
      <c r="A198" s="640"/>
      <c r="B198" s="1923" t="s">
        <v>1806</v>
      </c>
      <c r="C198" s="1923"/>
      <c r="D198" s="1923"/>
      <c r="E198" s="1923"/>
      <c r="F198" s="1923"/>
      <c r="G198" s="1923"/>
      <c r="H198" s="1923"/>
      <c r="I198" s="1923"/>
      <c r="J198" s="1923"/>
      <c r="K198" s="1923"/>
      <c r="L198" s="1923"/>
      <c r="M198" s="1923"/>
      <c r="N198" s="1923"/>
      <c r="O198" s="1923"/>
      <c r="P198" s="1923"/>
      <c r="Q198" s="1923"/>
      <c r="R198" s="1923"/>
      <c r="S198" s="1923"/>
      <c r="T198" s="1923"/>
      <c r="U198" s="1923"/>
      <c r="V198" s="1923"/>
      <c r="W198" s="1923"/>
      <c r="X198" s="1923"/>
      <c r="Y198" s="1923"/>
      <c r="Z198" s="1923"/>
      <c r="AA198" s="1923"/>
      <c r="AB198" s="1923"/>
      <c r="AC198" s="571"/>
      <c r="AD198" s="2046">
        <f>AB249</f>
        <v>11849186.253487667</v>
      </c>
      <c r="AE198" s="2046"/>
      <c r="AF198" s="2046"/>
      <c r="AG198" s="2046"/>
      <c r="AH198" s="2046"/>
      <c r="AI198" s="2046"/>
      <c r="AJ198" s="2046"/>
      <c r="AK198" s="645"/>
    </row>
    <row r="199" spans="1:37">
      <c r="A199" s="640"/>
      <c r="B199" s="1921" t="s">
        <v>1769</v>
      </c>
      <c r="C199" s="1921"/>
      <c r="D199" s="1921"/>
      <c r="E199" s="1921"/>
      <c r="F199" s="1921"/>
      <c r="G199" s="1921"/>
      <c r="H199" s="1921"/>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882"/>
      <c r="AD199" s="2047">
        <f>'Sources and Uses Budget'!B15</f>
        <v>0</v>
      </c>
      <c r="AE199" s="2047"/>
      <c r="AF199" s="2047"/>
      <c r="AG199" s="2047"/>
      <c r="AH199" s="2047"/>
      <c r="AI199" s="2047"/>
      <c r="AJ199" s="204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2">
        <f>SUM(AD188:AJ198)-AD199</f>
        <v>32695164.253487669</v>
      </c>
      <c r="AE200" s="2052"/>
      <c r="AF200" s="2052"/>
      <c r="AG200" s="2052"/>
      <c r="AH200" s="2052"/>
      <c r="AI200" s="2052"/>
      <c r="AJ200" s="205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1" t="s">
        <v>1786</v>
      </c>
      <c r="J211" s="2071"/>
      <c r="K211" s="2071"/>
      <c r="L211" s="571"/>
      <c r="M211" s="571"/>
      <c r="N211" s="571"/>
      <c r="O211" s="571"/>
      <c r="P211" s="571"/>
      <c r="Q211" s="571"/>
      <c r="R211" s="571"/>
      <c r="S211" s="571"/>
      <c r="T211" s="1887" t="s">
        <v>1780</v>
      </c>
      <c r="U211" s="1887"/>
      <c r="V211" s="1887"/>
      <c r="W211" s="1887"/>
      <c r="X211" s="1887"/>
      <c r="Y211" s="1887"/>
      <c r="Z211" s="885"/>
      <c r="AA211" s="524"/>
      <c r="AB211" s="2068" t="s">
        <v>1781</v>
      </c>
      <c r="AC211" s="2068"/>
      <c r="AD211" s="2068"/>
      <c r="AE211" s="2068"/>
      <c r="AF211" s="2068"/>
      <c r="AG211" s="2068"/>
      <c r="AH211" s="863"/>
      <c r="AI211" s="863"/>
      <c r="AJ211" s="863"/>
      <c r="AK211" s="645"/>
    </row>
    <row r="212" spans="1:37">
      <c r="A212" s="640"/>
      <c r="B212" s="2069" t="s">
        <v>1766</v>
      </c>
      <c r="C212" s="2069"/>
      <c r="D212" s="2069"/>
      <c r="E212" s="2069"/>
      <c r="F212" s="2069"/>
      <c r="G212" s="2069"/>
      <c r="I212" s="2070" t="s">
        <v>1787</v>
      </c>
      <c r="J212" s="2070"/>
      <c r="K212" s="2070"/>
      <c r="L212" s="1045"/>
      <c r="N212" s="1922" t="s">
        <v>1782</v>
      </c>
      <c r="O212" s="1922"/>
      <c r="P212" s="1922"/>
      <c r="Q212" s="1922"/>
      <c r="R212" s="1922"/>
      <c r="T212" s="1922" t="s">
        <v>1783</v>
      </c>
      <c r="U212" s="1922"/>
      <c r="V212" s="1922"/>
      <c r="W212" s="1922"/>
      <c r="X212" s="1922"/>
      <c r="Y212" s="1922"/>
      <c r="Z212" s="886"/>
      <c r="AA212" s="524"/>
      <c r="AB212" s="1925" t="s">
        <v>1784</v>
      </c>
      <c r="AC212" s="1925"/>
      <c r="AD212" s="1925"/>
      <c r="AE212" s="1925"/>
      <c r="AF212" s="1925"/>
      <c r="AG212" s="1925"/>
      <c r="AH212" s="863"/>
      <c r="AI212" s="863"/>
      <c r="AJ212" s="863"/>
      <c r="AK212" s="645"/>
    </row>
    <row r="213" spans="1:37">
      <c r="A213" s="640"/>
      <c r="B213" s="1924" t="s">
        <v>2762</v>
      </c>
      <c r="C213" s="1924"/>
      <c r="D213" s="1924"/>
      <c r="E213" s="1924"/>
      <c r="F213" s="1924"/>
      <c r="G213" s="1924"/>
      <c r="H213" s="888"/>
      <c r="I213" s="1892">
        <v>19</v>
      </c>
      <c r="J213" s="1892"/>
      <c r="K213" s="1892"/>
      <c r="L213" s="1045"/>
      <c r="N213" s="1889">
        <v>1398</v>
      </c>
      <c r="O213" s="1889"/>
      <c r="P213" s="1889"/>
      <c r="Q213" s="1889"/>
      <c r="R213" s="1889"/>
      <c r="T213" s="1888">
        <v>2723</v>
      </c>
      <c r="U213" s="1888"/>
      <c r="V213" s="1888"/>
      <c r="W213" s="1888"/>
      <c r="X213" s="1888"/>
      <c r="Y213" s="1888"/>
      <c r="Z213" s="887"/>
      <c r="AA213" s="887"/>
      <c r="AB213" s="1886">
        <f t="shared" ref="AB213:AB222" si="0">MAX(($T213-$N213)*$I213*12,0)</f>
        <v>302100</v>
      </c>
      <c r="AC213" s="1886"/>
      <c r="AD213" s="1886"/>
      <c r="AE213" s="1886"/>
      <c r="AF213" s="1886"/>
      <c r="AG213" s="1886"/>
      <c r="AH213" s="863"/>
      <c r="AI213" s="863"/>
      <c r="AJ213" s="863"/>
      <c r="AK213" s="645"/>
    </row>
    <row r="214" spans="1:37">
      <c r="A214" s="640"/>
      <c r="B214" s="1924" t="s">
        <v>2776</v>
      </c>
      <c r="C214" s="1924"/>
      <c r="D214" s="1924"/>
      <c r="E214" s="1924"/>
      <c r="F214" s="1924"/>
      <c r="G214" s="1924"/>
      <c r="I214" s="1892">
        <v>14</v>
      </c>
      <c r="J214" s="1892"/>
      <c r="K214" s="1892"/>
      <c r="L214" s="1045"/>
      <c r="N214" s="1889">
        <v>1678</v>
      </c>
      <c r="O214" s="1889"/>
      <c r="P214" s="1889"/>
      <c r="Q214" s="1889"/>
      <c r="R214" s="1889"/>
      <c r="T214" s="1888">
        <v>3245</v>
      </c>
      <c r="U214" s="1888"/>
      <c r="V214" s="1888"/>
      <c r="W214" s="1888"/>
      <c r="X214" s="1888"/>
      <c r="Y214" s="1888"/>
      <c r="Z214" s="887"/>
      <c r="AA214" s="887"/>
      <c r="AB214" s="1886">
        <f t="shared" si="0"/>
        <v>263256</v>
      </c>
      <c r="AC214" s="1886"/>
      <c r="AD214" s="1886"/>
      <c r="AE214" s="1886"/>
      <c r="AF214" s="1886"/>
      <c r="AG214" s="1886"/>
      <c r="AH214" s="863"/>
      <c r="AI214" s="863"/>
      <c r="AJ214" s="863"/>
      <c r="AK214" s="645"/>
    </row>
    <row r="215" spans="1:37">
      <c r="A215" s="640"/>
      <c r="B215" s="1924" t="s">
        <v>2777</v>
      </c>
      <c r="C215" s="1924"/>
      <c r="D215" s="1924"/>
      <c r="E215" s="1924"/>
      <c r="F215" s="1924"/>
      <c r="G215" s="1924"/>
      <c r="I215" s="1892">
        <v>29</v>
      </c>
      <c r="J215" s="1892"/>
      <c r="K215" s="1892"/>
      <c r="L215" s="1045"/>
      <c r="N215" s="1889">
        <v>1938</v>
      </c>
      <c r="O215" s="1889"/>
      <c r="P215" s="1889"/>
      <c r="Q215" s="1889"/>
      <c r="R215" s="1889"/>
      <c r="T215" s="1888">
        <v>3972</v>
      </c>
      <c r="U215" s="1888"/>
      <c r="V215" s="1888"/>
      <c r="W215" s="1888"/>
      <c r="X215" s="1888"/>
      <c r="Y215" s="1888"/>
      <c r="Z215" s="887"/>
      <c r="AA215" s="887"/>
      <c r="AB215" s="1886">
        <f t="shared" si="0"/>
        <v>707832</v>
      </c>
      <c r="AC215" s="1886"/>
      <c r="AD215" s="1886"/>
      <c r="AE215" s="1886"/>
      <c r="AF215" s="1886"/>
      <c r="AG215" s="1886"/>
      <c r="AH215" s="863"/>
      <c r="AI215" s="863"/>
      <c r="AJ215" s="863"/>
      <c r="AK215" s="645"/>
    </row>
    <row r="216" spans="1:37">
      <c r="A216" s="640"/>
      <c r="B216" s="1924" t="s">
        <v>1328</v>
      </c>
      <c r="C216" s="1924"/>
      <c r="D216" s="1924"/>
      <c r="E216" s="1924"/>
      <c r="F216" s="1924"/>
      <c r="G216" s="1924"/>
      <c r="I216" s="1892"/>
      <c r="J216" s="1892"/>
      <c r="K216" s="1892"/>
      <c r="L216" s="1045"/>
      <c r="N216" s="1889"/>
      <c r="O216" s="1889"/>
      <c r="P216" s="1889"/>
      <c r="Q216" s="1889"/>
      <c r="R216" s="1889"/>
      <c r="T216" s="1888"/>
      <c r="U216" s="1888"/>
      <c r="V216" s="1888"/>
      <c r="W216" s="1888"/>
      <c r="X216" s="1888"/>
      <c r="Y216" s="1888"/>
      <c r="Z216" s="887"/>
      <c r="AA216" s="887"/>
      <c r="AB216" s="1886">
        <f t="shared" si="0"/>
        <v>0</v>
      </c>
      <c r="AC216" s="1886"/>
      <c r="AD216" s="1886"/>
      <c r="AE216" s="1886"/>
      <c r="AF216" s="1886"/>
      <c r="AG216" s="1886"/>
      <c r="AH216" s="863"/>
      <c r="AI216" s="863"/>
      <c r="AJ216" s="863"/>
      <c r="AK216" s="645"/>
    </row>
    <row r="217" spans="1:37">
      <c r="A217" s="640"/>
      <c r="B217" s="1924" t="s">
        <v>1328</v>
      </c>
      <c r="C217" s="1924"/>
      <c r="D217" s="1924"/>
      <c r="E217" s="1924"/>
      <c r="F217" s="1924"/>
      <c r="G217" s="1924"/>
      <c r="I217" s="1892"/>
      <c r="J217" s="1892"/>
      <c r="K217" s="1892"/>
      <c r="L217" s="1052"/>
      <c r="N217" s="1889"/>
      <c r="O217" s="1889"/>
      <c r="P217" s="1889"/>
      <c r="Q217" s="1889"/>
      <c r="R217" s="1889"/>
      <c r="T217" s="1888"/>
      <c r="U217" s="1888"/>
      <c r="V217" s="1888"/>
      <c r="W217" s="1888"/>
      <c r="X217" s="1888"/>
      <c r="Y217" s="1888"/>
      <c r="Z217" s="887"/>
      <c r="AA217" s="887"/>
      <c r="AB217" s="1886">
        <f t="shared" si="0"/>
        <v>0</v>
      </c>
      <c r="AC217" s="1886"/>
      <c r="AD217" s="1886"/>
      <c r="AE217" s="1886"/>
      <c r="AF217" s="1886"/>
      <c r="AG217" s="1886"/>
      <c r="AH217" s="863"/>
      <c r="AI217" s="863"/>
      <c r="AJ217" s="863"/>
      <c r="AK217" s="645"/>
    </row>
    <row r="218" spans="1:37">
      <c r="A218" s="640"/>
      <c r="B218" s="1924" t="s">
        <v>1328</v>
      </c>
      <c r="C218" s="1924"/>
      <c r="D218" s="1924"/>
      <c r="E218" s="1924"/>
      <c r="F218" s="1924"/>
      <c r="G218" s="1924"/>
      <c r="I218" s="1892"/>
      <c r="J218" s="1892"/>
      <c r="K218" s="1892"/>
      <c r="L218" s="1052"/>
      <c r="N218" s="1889"/>
      <c r="O218" s="1889"/>
      <c r="P218" s="1889"/>
      <c r="Q218" s="1889"/>
      <c r="R218" s="1889"/>
      <c r="T218" s="1888"/>
      <c r="U218" s="1888"/>
      <c r="V218" s="1888"/>
      <c r="W218" s="1888"/>
      <c r="X218" s="1888"/>
      <c r="Y218" s="1888"/>
      <c r="Z218" s="887"/>
      <c r="AA218" s="887"/>
      <c r="AB218" s="1886">
        <f t="shared" si="0"/>
        <v>0</v>
      </c>
      <c r="AC218" s="1886"/>
      <c r="AD218" s="1886"/>
      <c r="AE218" s="1886"/>
      <c r="AF218" s="1886"/>
      <c r="AG218" s="1886"/>
      <c r="AH218" s="863"/>
      <c r="AI218" s="863"/>
      <c r="AJ218" s="863"/>
      <c r="AK218" s="645"/>
    </row>
    <row r="219" spans="1:37">
      <c r="A219" s="640"/>
      <c r="B219" s="1924" t="s">
        <v>1328</v>
      </c>
      <c r="C219" s="1924"/>
      <c r="D219" s="1924"/>
      <c r="E219" s="1924"/>
      <c r="F219" s="1924"/>
      <c r="G219" s="1924"/>
      <c r="I219" s="1892"/>
      <c r="J219" s="1892"/>
      <c r="K219" s="1892"/>
      <c r="L219" s="1052"/>
      <c r="N219" s="1889"/>
      <c r="O219" s="1889"/>
      <c r="P219" s="1889"/>
      <c r="Q219" s="1889"/>
      <c r="R219" s="1889"/>
      <c r="T219" s="1888"/>
      <c r="U219" s="1888"/>
      <c r="V219" s="1888"/>
      <c r="W219" s="1888"/>
      <c r="X219" s="1888"/>
      <c r="Y219" s="1888"/>
      <c r="Z219" s="887"/>
      <c r="AA219" s="887"/>
      <c r="AB219" s="1886">
        <f t="shared" si="0"/>
        <v>0</v>
      </c>
      <c r="AC219" s="1886"/>
      <c r="AD219" s="1886"/>
      <c r="AE219" s="1886"/>
      <c r="AF219" s="1886"/>
      <c r="AG219" s="1886"/>
      <c r="AH219" s="863"/>
      <c r="AI219" s="863"/>
      <c r="AJ219" s="863"/>
      <c r="AK219" s="645"/>
    </row>
    <row r="220" spans="1:37">
      <c r="A220" s="640"/>
      <c r="B220" s="1924" t="s">
        <v>1328</v>
      </c>
      <c r="C220" s="1924"/>
      <c r="D220" s="1924"/>
      <c r="E220" s="1924"/>
      <c r="F220" s="1924"/>
      <c r="G220" s="1924"/>
      <c r="I220" s="1892"/>
      <c r="J220" s="1892"/>
      <c r="K220" s="1892"/>
      <c r="L220" s="1052"/>
      <c r="N220" s="1889"/>
      <c r="O220" s="1889"/>
      <c r="P220" s="1889"/>
      <c r="Q220" s="1889"/>
      <c r="R220" s="1889"/>
      <c r="T220" s="1888"/>
      <c r="U220" s="1888"/>
      <c r="V220" s="1888"/>
      <c r="W220" s="1888"/>
      <c r="X220" s="1888"/>
      <c r="Y220" s="1888"/>
      <c r="Z220" s="887"/>
      <c r="AA220" s="887"/>
      <c r="AB220" s="1886">
        <f t="shared" si="0"/>
        <v>0</v>
      </c>
      <c r="AC220" s="1886"/>
      <c r="AD220" s="1886"/>
      <c r="AE220" s="1886"/>
      <c r="AF220" s="1886"/>
      <c r="AG220" s="1886"/>
      <c r="AH220" s="863"/>
      <c r="AI220" s="863"/>
      <c r="AJ220" s="863"/>
      <c r="AK220" s="645"/>
    </row>
    <row r="221" spans="1:37">
      <c r="A221" s="640"/>
      <c r="B221" s="1924" t="s">
        <v>1328</v>
      </c>
      <c r="C221" s="1924"/>
      <c r="D221" s="1924"/>
      <c r="E221" s="1924"/>
      <c r="F221" s="1924"/>
      <c r="G221" s="1924"/>
      <c r="I221" s="1892"/>
      <c r="J221" s="1892"/>
      <c r="K221" s="1892"/>
      <c r="L221" s="1052"/>
      <c r="N221" s="1889"/>
      <c r="O221" s="1889"/>
      <c r="P221" s="1889"/>
      <c r="Q221" s="1889"/>
      <c r="R221" s="1889"/>
      <c r="T221" s="1888"/>
      <c r="U221" s="1888"/>
      <c r="V221" s="1888"/>
      <c r="W221" s="1888"/>
      <c r="X221" s="1888"/>
      <c r="Y221" s="1888"/>
      <c r="Z221" s="887"/>
      <c r="AA221" s="887"/>
      <c r="AB221" s="1886">
        <f t="shared" si="0"/>
        <v>0</v>
      </c>
      <c r="AC221" s="1886"/>
      <c r="AD221" s="1886"/>
      <c r="AE221" s="1886"/>
      <c r="AF221" s="1886"/>
      <c r="AG221" s="1886"/>
      <c r="AH221" s="863"/>
      <c r="AI221" s="863"/>
      <c r="AJ221" s="863"/>
      <c r="AK221" s="645"/>
    </row>
    <row r="222" spans="1:37">
      <c r="A222" s="640"/>
      <c r="B222" s="1924" t="s">
        <v>1328</v>
      </c>
      <c r="C222" s="1924"/>
      <c r="D222" s="1924"/>
      <c r="E222" s="1924"/>
      <c r="F222" s="1924"/>
      <c r="G222" s="1924"/>
      <c r="I222" s="2072"/>
      <c r="J222" s="2072"/>
      <c r="K222" s="2072"/>
      <c r="L222" s="1052"/>
      <c r="N222" s="1889"/>
      <c r="O222" s="1889"/>
      <c r="P222" s="1889"/>
      <c r="Q222" s="1889"/>
      <c r="R222" s="1889"/>
      <c r="T222" s="1888"/>
      <c r="U222" s="1888"/>
      <c r="V222" s="1888"/>
      <c r="W222" s="1888"/>
      <c r="X222" s="1888"/>
      <c r="Y222" s="1888"/>
      <c r="Z222" s="887"/>
      <c r="AA222" s="887"/>
      <c r="AB222" s="1893">
        <f t="shared" si="0"/>
        <v>0</v>
      </c>
      <c r="AC222" s="1893"/>
      <c r="AD222" s="1893"/>
      <c r="AE222" s="1893"/>
      <c r="AF222" s="1893"/>
      <c r="AG222" s="18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6">
        <f>SUM(AB213:AB222)</f>
        <v>1273188</v>
      </c>
      <c r="AC223" s="1886"/>
      <c r="AD223" s="1886"/>
      <c r="AE223" s="1886"/>
      <c r="AF223" s="1886"/>
      <c r="AG223" s="188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6"/>
      <c r="AC229" s="1926"/>
      <c r="AD229" s="1926"/>
      <c r="AE229" s="1926"/>
      <c r="AF229" s="1926"/>
      <c r="AG229" s="1926"/>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6"/>
      <c r="AC232" s="1926"/>
      <c r="AD232" s="1926"/>
      <c r="AE232" s="1926"/>
      <c r="AF232" s="1926"/>
      <c r="AG232" s="1926"/>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5"/>
      <c r="AC233" s="1885"/>
      <c r="AD233" s="1885"/>
      <c r="AE233" s="1885"/>
      <c r="AF233" s="1885"/>
      <c r="AG233" s="1885"/>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4">
        <f>IFERROR(AB232/AB233,0)</f>
        <v>0</v>
      </c>
      <c r="AC234" s="1894"/>
      <c r="AD234" s="1894"/>
      <c r="AE234" s="1894"/>
      <c r="AF234" s="1894"/>
      <c r="AG234" s="18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3">
        <f>MAX(AB229,AB234)</f>
        <v>0</v>
      </c>
      <c r="AC236" s="1893"/>
      <c r="AD236" s="1893"/>
      <c r="AE236" s="1893"/>
      <c r="AF236" s="1893"/>
      <c r="AG236" s="18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6">
        <f>AB223+AB236</f>
        <v>1273188</v>
      </c>
      <c r="AC239" s="1886"/>
      <c r="AD239" s="1886"/>
      <c r="AE239" s="1886"/>
      <c r="AF239" s="1886"/>
      <c r="AG239" s="188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6">
        <v>0.05</v>
      </c>
      <c r="AC240" s="2056"/>
      <c r="AD240" s="2056"/>
      <c r="AE240" s="2056"/>
      <c r="AF240" s="2056"/>
      <c r="AG240" s="205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7">
        <f>AB239-(AB239*AB240)</f>
        <v>1209528.6000000001</v>
      </c>
      <c r="AC241" s="2057"/>
      <c r="AD241" s="2057"/>
      <c r="AE241" s="2057"/>
      <c r="AF241" s="2057"/>
      <c r="AG241" s="205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6">
        <f>AB241/AB247</f>
        <v>1051764.0000000002</v>
      </c>
      <c r="AC243" s="1886"/>
      <c r="AD243" s="1886"/>
      <c r="AE243" s="1886"/>
      <c r="AF243" s="1886"/>
      <c r="AG243" s="188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8">
        <v>15</v>
      </c>
      <c r="AC245" s="2068"/>
      <c r="AD245" s="2068"/>
      <c r="AE245" s="2068"/>
      <c r="AF245" s="2068"/>
      <c r="AG245" s="206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9">
        <v>0.04</v>
      </c>
      <c r="AC246" s="2059"/>
      <c r="AD246" s="2059"/>
      <c r="AE246" s="2059"/>
      <c r="AF246" s="2059"/>
      <c r="AG246" s="205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0">
        <v>1.1499999999999999</v>
      </c>
      <c r="AC247" s="2060"/>
      <c r="AD247" s="2060"/>
      <c r="AE247" s="2060"/>
      <c r="AF247" s="2060"/>
      <c r="AG247" s="20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9">
        <f>PV(AB246/12,AB245*12,-AB243/12, ,0)</f>
        <v>11849186.253487667</v>
      </c>
      <c r="AC249" s="2050"/>
      <c r="AD249" s="2050"/>
      <c r="AE249" s="2050"/>
      <c r="AF249" s="2050"/>
      <c r="AG249" s="205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3">
        <f>IFERROR(('Sources and Uses Budget'!D105/'Sources and Uses Budget'!B105),0)</f>
        <v>0</v>
      </c>
      <c r="AC255" s="2054"/>
      <c r="AD255" s="2054"/>
      <c r="AE255" s="2054"/>
      <c r="AF255" s="2054"/>
      <c r="AG255" s="205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0">
        <f>AD200*(1-AB255)</f>
        <v>32695164.253487669</v>
      </c>
      <c r="AH257" s="1900"/>
      <c r="AI257" s="1900"/>
      <c r="AJ257" s="1900"/>
      <c r="AK257" s="190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0">
        <f>'Sources and Uses Budget'!C105</f>
        <v>130067043</v>
      </c>
      <c r="AH258" s="1900"/>
      <c r="AI258" s="1900"/>
      <c r="AJ258" s="1900"/>
      <c r="AK258" s="190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5">
        <f>ROUNDDOWN(IF(AND(C281="Yes",AK78=10),((AG257*2)/AG258),AG257/AG258),2)</f>
        <v>0.5</v>
      </c>
      <c r="AH259" s="2045"/>
      <c r="AI259" s="2045"/>
      <c r="AJ259" s="2045"/>
      <c r="AK259" s="2045"/>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4">
        <f>IFERROR(IF(AG259=0,0,IF((AG259*100)&gt;8,8,(AG259*100))),0)</f>
        <v>8</v>
      </c>
      <c r="AL262" s="2034"/>
      <c r="AM262" s="2035"/>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18" t="s">
        <v>555</v>
      </c>
      <c r="D267" s="1918"/>
      <c r="E267" s="582"/>
      <c r="F267" s="1869" t="s">
        <v>2424</v>
      </c>
      <c r="G267" s="1870"/>
      <c r="H267" s="1870"/>
      <c r="I267" s="1870"/>
      <c r="J267" s="1870"/>
      <c r="K267" s="1870"/>
      <c r="L267" s="1870"/>
      <c r="M267" s="1870"/>
      <c r="N267" s="1870"/>
      <c r="O267" s="1870"/>
      <c r="P267" s="1870"/>
      <c r="Q267" s="1870"/>
      <c r="R267" s="1870"/>
      <c r="S267" s="1870"/>
      <c r="T267" s="1870"/>
      <c r="U267" s="1870"/>
      <c r="V267" s="1870"/>
      <c r="W267" s="1870"/>
      <c r="X267" s="1870"/>
      <c r="Y267" s="1870"/>
      <c r="Z267" s="1870"/>
      <c r="AA267" s="1870"/>
      <c r="AB267" s="1870"/>
      <c r="AC267" s="1870"/>
      <c r="AD267" s="1871"/>
      <c r="AE267" s="585"/>
      <c r="AF267" s="670"/>
      <c r="AG267" s="2043" t="s">
        <v>1537</v>
      </c>
      <c r="AH267" s="2043"/>
      <c r="AI267" s="2043"/>
      <c r="AJ267" s="2043"/>
      <c r="AK267" s="585"/>
      <c r="AL267" s="585"/>
      <c r="AM267" s="585"/>
      <c r="AO267" s="585"/>
    </row>
    <row r="268" spans="1:52" ht="13.65" customHeight="1">
      <c r="A268" s="585"/>
      <c r="B268" s="631"/>
      <c r="C268" s="671"/>
      <c r="D268" s="585"/>
      <c r="E268" s="582"/>
      <c r="F268" s="1872"/>
      <c r="G268" s="1873"/>
      <c r="H268" s="1873"/>
      <c r="I268" s="1873"/>
      <c r="J268" s="1873"/>
      <c r="K268" s="1873"/>
      <c r="L268" s="1873"/>
      <c r="M268" s="1873"/>
      <c r="N268" s="1873"/>
      <c r="O268" s="1873"/>
      <c r="P268" s="1873"/>
      <c r="Q268" s="1873"/>
      <c r="R268" s="1873"/>
      <c r="S268" s="1873"/>
      <c r="T268" s="1873"/>
      <c r="U268" s="1873"/>
      <c r="V268" s="1873"/>
      <c r="W268" s="1873"/>
      <c r="X268" s="1873"/>
      <c r="Y268" s="1873"/>
      <c r="Z268" s="1873"/>
      <c r="AA268" s="1873"/>
      <c r="AB268" s="1873"/>
      <c r="AC268" s="1873"/>
      <c r="AD268" s="1874"/>
      <c r="AE268" s="585"/>
      <c r="AF268" s="670"/>
      <c r="AG268" s="670"/>
      <c r="AH268" s="670"/>
      <c r="AI268" s="670"/>
      <c r="AJ268" s="585"/>
      <c r="AK268" s="585"/>
      <c r="AL268" s="585"/>
      <c r="AM268" s="585"/>
      <c r="AO268" s="585"/>
    </row>
    <row r="269" spans="1:52">
      <c r="A269" s="585"/>
      <c r="B269" s="631"/>
      <c r="C269" s="671"/>
      <c r="D269" s="585"/>
      <c r="E269" s="582"/>
      <c r="F269" s="1872"/>
      <c r="G269" s="1873"/>
      <c r="H269" s="1873"/>
      <c r="I269" s="1873"/>
      <c r="J269" s="1873"/>
      <c r="K269" s="1873"/>
      <c r="L269" s="1873"/>
      <c r="M269" s="1873"/>
      <c r="N269" s="1873"/>
      <c r="O269" s="1873"/>
      <c r="P269" s="1873"/>
      <c r="Q269" s="1873"/>
      <c r="R269" s="1873"/>
      <c r="S269" s="1873"/>
      <c r="T269" s="1873"/>
      <c r="U269" s="1873"/>
      <c r="V269" s="1873"/>
      <c r="W269" s="1873"/>
      <c r="X269" s="1873"/>
      <c r="Y269" s="1873"/>
      <c r="Z269" s="1873"/>
      <c r="AA269" s="1873"/>
      <c r="AB269" s="1873"/>
      <c r="AC269" s="1873"/>
      <c r="AD269" s="1874"/>
      <c r="AE269" s="585"/>
      <c r="AF269" s="670"/>
      <c r="AG269" s="670"/>
      <c r="AH269" s="670"/>
      <c r="AI269" s="670"/>
      <c r="AJ269" s="585"/>
      <c r="AK269" s="585"/>
      <c r="AL269" s="585"/>
      <c r="AM269" s="585"/>
      <c r="AO269" s="585"/>
      <c r="AP269" s="672"/>
    </row>
    <row r="270" spans="1:52">
      <c r="A270" s="585"/>
      <c r="B270" s="631"/>
      <c r="C270" s="671"/>
      <c r="D270" s="585"/>
      <c r="E270" s="582"/>
      <c r="F270" s="1872"/>
      <c r="G270" s="1873"/>
      <c r="H270" s="1873"/>
      <c r="I270" s="1873"/>
      <c r="J270" s="1873"/>
      <c r="K270" s="1873"/>
      <c r="L270" s="1873"/>
      <c r="M270" s="1873"/>
      <c r="N270" s="1873"/>
      <c r="O270" s="1873"/>
      <c r="P270" s="1873"/>
      <c r="Q270" s="1873"/>
      <c r="R270" s="1873"/>
      <c r="S270" s="1873"/>
      <c r="T270" s="1873"/>
      <c r="U270" s="1873"/>
      <c r="V270" s="1873"/>
      <c r="W270" s="1873"/>
      <c r="X270" s="1873"/>
      <c r="Y270" s="1873"/>
      <c r="Z270" s="1873"/>
      <c r="AA270" s="1873"/>
      <c r="AB270" s="1873"/>
      <c r="AC270" s="1873"/>
      <c r="AD270" s="1874"/>
      <c r="AE270" s="585"/>
      <c r="AF270" s="670"/>
      <c r="AG270" s="670"/>
      <c r="AH270" s="670"/>
      <c r="AI270" s="670"/>
      <c r="AJ270" s="585"/>
      <c r="AK270" s="585"/>
      <c r="AL270" s="585"/>
      <c r="AM270" s="585"/>
      <c r="AO270" s="585"/>
      <c r="AP270" s="672"/>
    </row>
    <row r="271" spans="1:52" ht="13.65" customHeight="1">
      <c r="A271" s="585"/>
      <c r="B271" s="631"/>
      <c r="C271" s="2044"/>
      <c r="D271" s="2044"/>
      <c r="E271" s="582"/>
      <c r="F271" s="1875"/>
      <c r="G271" s="1876"/>
      <c r="H271" s="1876"/>
      <c r="I271" s="1876"/>
      <c r="J271" s="1876"/>
      <c r="K271" s="1876"/>
      <c r="L271" s="1876"/>
      <c r="M271" s="1876"/>
      <c r="N271" s="1876"/>
      <c r="O271" s="1876"/>
      <c r="P271" s="1876"/>
      <c r="Q271" s="1876"/>
      <c r="R271" s="1876"/>
      <c r="S271" s="1876"/>
      <c r="T271" s="1876"/>
      <c r="U271" s="1876"/>
      <c r="V271" s="1876"/>
      <c r="W271" s="1876"/>
      <c r="X271" s="1876"/>
      <c r="Y271" s="1876"/>
      <c r="Z271" s="1876"/>
      <c r="AA271" s="1876"/>
      <c r="AB271" s="1876"/>
      <c r="AC271" s="1876"/>
      <c r="AD271" s="1877"/>
      <c r="AE271" s="585"/>
      <c r="AF271" s="670"/>
      <c r="AG271" s="2043"/>
      <c r="AH271" s="2043"/>
      <c r="AI271" s="2043"/>
      <c r="AJ271" s="2043"/>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4">
        <f>IF($C$267="yes",10,0)</f>
        <v>10</v>
      </c>
      <c r="AL274" s="2034"/>
      <c r="AM274" s="2035"/>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1556</v>
      </c>
      <c r="B281" s="1626"/>
      <c r="C281" s="2011" t="s">
        <v>555</v>
      </c>
      <c r="D281" s="1918"/>
      <c r="E281" s="582"/>
      <c r="F281" s="2036" t="s">
        <v>1557</v>
      </c>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8"/>
      <c r="AE281" s="677"/>
      <c r="AF281" s="585"/>
      <c r="AG281" s="2039" t="s">
        <v>2417</v>
      </c>
      <c r="AH281" s="2039"/>
      <c r="AI281" s="2039"/>
      <c r="AJ281" s="2039"/>
      <c r="AK281" s="2039"/>
      <c r="AL281" s="585"/>
      <c r="AM281" s="585"/>
      <c r="AN281" s="73"/>
      <c r="AO281" s="14"/>
      <c r="AP281" s="30"/>
      <c r="AS281" s="605"/>
      <c r="AT281" s="605"/>
      <c r="AU281" s="605"/>
      <c r="AV281" s="32"/>
      <c r="AW281" s="32"/>
    </row>
    <row r="282" spans="1:49">
      <c r="A282" s="675"/>
      <c r="B282" s="63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5" t="s">
        <v>2425</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677"/>
      <c r="AF284" s="586"/>
      <c r="AH284" s="586"/>
      <c r="AI284" s="586"/>
      <c r="AJ284" s="585"/>
      <c r="AK284" s="585"/>
      <c r="AL284" s="585"/>
      <c r="AM284" s="585"/>
      <c r="AN284" s="73"/>
      <c r="AO284" s="14"/>
      <c r="AP284" s="646">
        <f>MAX(AP282,AP283)</f>
        <v>10</v>
      </c>
      <c r="AQ284" s="609" t="s">
        <v>1490</v>
      </c>
      <c r="AS284" s="605"/>
      <c r="AT284" s="605"/>
      <c r="AU284" s="605"/>
      <c r="AV284" s="32"/>
      <c r="AW284" s="32"/>
    </row>
    <row r="285" spans="1:49">
      <c r="A285" s="675"/>
      <c r="B285" s="63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5" t="s">
        <v>1558</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5" t="s">
        <v>1559</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203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1560</v>
      </c>
      <c r="B291" s="1626"/>
      <c r="C291" s="1918" t="s">
        <v>601</v>
      </c>
      <c r="D291" s="1918"/>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18" t="s">
        <v>2419</v>
      </c>
      <c r="G292" s="2019"/>
      <c r="H292" s="2019"/>
      <c r="I292" s="2019"/>
      <c r="J292" s="2019"/>
      <c r="K292" s="2019"/>
      <c r="L292" s="2019"/>
      <c r="M292" s="2019"/>
      <c r="N292" s="2019"/>
      <c r="O292" s="2019"/>
      <c r="P292" s="2019"/>
      <c r="Q292" s="2019"/>
      <c r="R292" s="2019"/>
      <c r="S292" s="2019"/>
      <c r="T292" s="2019"/>
      <c r="U292" s="2019"/>
      <c r="V292" s="2019"/>
      <c r="W292" s="2019"/>
      <c r="X292" s="2019"/>
      <c r="Y292" s="2019"/>
      <c r="Z292" s="2019"/>
      <c r="AA292" s="2019"/>
      <c r="AB292" s="2019"/>
      <c r="AC292" s="2019"/>
      <c r="AD292" s="2020"/>
      <c r="AE292" s="586"/>
      <c r="AF292" s="586"/>
      <c r="AG292" s="586"/>
      <c r="AH292" s="586"/>
      <c r="AI292" s="586"/>
      <c r="AJ292" s="585"/>
      <c r="AK292" s="585"/>
      <c r="AL292" s="585"/>
      <c r="AM292" s="585"/>
      <c r="AR292" s="683"/>
    </row>
    <row r="293" spans="1:49" ht="15" customHeight="1">
      <c r="A293" s="585"/>
      <c r="B293" s="586"/>
      <c r="C293" s="585"/>
      <c r="D293" s="586"/>
      <c r="E293" s="585"/>
      <c r="F293" s="2018"/>
      <c r="G293" s="2019"/>
      <c r="H293" s="2019"/>
      <c r="I293" s="2019"/>
      <c r="J293" s="2019"/>
      <c r="K293" s="2019"/>
      <c r="L293" s="2019"/>
      <c r="M293" s="2019"/>
      <c r="N293" s="2019"/>
      <c r="O293" s="2019"/>
      <c r="P293" s="2019"/>
      <c r="Q293" s="2019"/>
      <c r="R293" s="2019"/>
      <c r="S293" s="2019"/>
      <c r="T293" s="2019"/>
      <c r="U293" s="2019"/>
      <c r="V293" s="2019"/>
      <c r="W293" s="2019"/>
      <c r="X293" s="2019"/>
      <c r="Y293" s="2019"/>
      <c r="Z293" s="2019"/>
      <c r="AA293" s="2019"/>
      <c r="AB293" s="2019"/>
      <c r="AC293" s="2019"/>
      <c r="AD293" s="2020"/>
      <c r="AE293" s="586"/>
      <c r="AF293" s="586"/>
      <c r="AG293" s="586"/>
      <c r="AH293" s="586"/>
      <c r="AI293" s="586"/>
      <c r="AJ293" s="585"/>
      <c r="AK293" s="585"/>
      <c r="AL293" s="585"/>
      <c r="AM293" s="585"/>
      <c r="AR293" s="683"/>
    </row>
    <row r="294" spans="1:49">
      <c r="A294" s="585"/>
      <c r="B294" s="586"/>
      <c r="C294" s="585"/>
      <c r="D294" s="586"/>
      <c r="E294" s="585"/>
      <c r="F294" s="2018"/>
      <c r="G294" s="2019"/>
      <c r="H294" s="2019"/>
      <c r="I294" s="2019"/>
      <c r="J294" s="2019"/>
      <c r="K294" s="2019"/>
      <c r="L294" s="2019"/>
      <c r="M294" s="2019"/>
      <c r="N294" s="2019"/>
      <c r="O294" s="2019"/>
      <c r="P294" s="2019"/>
      <c r="Q294" s="2019"/>
      <c r="R294" s="2019"/>
      <c r="S294" s="2019"/>
      <c r="T294" s="2019"/>
      <c r="U294" s="2019"/>
      <c r="V294" s="2019"/>
      <c r="W294" s="2019"/>
      <c r="X294" s="2019"/>
      <c r="Y294" s="2019"/>
      <c r="Z294" s="2019"/>
      <c r="AA294" s="2019"/>
      <c r="AB294" s="2019"/>
      <c r="AC294" s="2019"/>
      <c r="AD294" s="20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0"/>
      <c r="G295" s="2041"/>
      <c r="H295" s="2041"/>
      <c r="I295" s="2041"/>
      <c r="J295" s="2041"/>
      <c r="K295" s="2041"/>
      <c r="L295" s="2041"/>
      <c r="M295" s="2041"/>
      <c r="N295" s="2041"/>
      <c r="O295" s="2041"/>
      <c r="P295" s="2041"/>
      <c r="Q295" s="2041"/>
      <c r="R295" s="2041"/>
      <c r="S295" s="2041"/>
      <c r="T295" s="2041"/>
      <c r="U295" s="2041"/>
      <c r="V295" s="2041"/>
      <c r="W295" s="2041"/>
      <c r="X295" s="2041"/>
      <c r="Y295" s="2041"/>
      <c r="Z295" s="2041"/>
      <c r="AA295" s="2041"/>
      <c r="AB295" s="2041"/>
      <c r="AC295" s="2041"/>
      <c r="AD295" s="204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6" t="s">
        <v>1563</v>
      </c>
      <c r="B299" s="1626"/>
      <c r="C299" s="1918" t="s">
        <v>601</v>
      </c>
      <c r="D299" s="1918"/>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5" t="s">
        <v>2426</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586"/>
      <c r="AF300" s="586"/>
      <c r="AG300" s="574"/>
      <c r="AH300" s="586"/>
      <c r="AI300" s="586"/>
      <c r="AJ300" s="585"/>
      <c r="AK300" s="585"/>
      <c r="AL300" s="585"/>
      <c r="AM300" s="585"/>
      <c r="AN300" s="73"/>
      <c r="AO300" s="14"/>
      <c r="AP300" s="592" t="s">
        <v>1328</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1" t="s">
        <v>1328</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7"/>
      <c r="AF305" s="677"/>
      <c r="AG305" s="677"/>
      <c r="AH305" s="677"/>
      <c r="AI305" s="677"/>
      <c r="AJ305" s="677"/>
      <c r="AK305" s="677"/>
      <c r="AL305" s="585"/>
      <c r="AM305" s="585"/>
      <c r="AN305" s="73"/>
      <c r="AO305" s="14"/>
      <c r="AP305" s="30"/>
    </row>
    <row r="306" spans="1:42" hidden="1">
      <c r="A306" s="585"/>
      <c r="B306" s="586"/>
      <c r="C306" s="765"/>
      <c r="D306" s="765"/>
      <c r="E306" s="582"/>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6"/>
      <c r="AF306" s="586"/>
      <c r="AG306" s="574"/>
      <c r="AH306" s="586"/>
      <c r="AI306" s="586"/>
      <c r="AJ306" s="585"/>
      <c r="AK306" s="585"/>
      <c r="AL306" s="585"/>
      <c r="AM306" s="585"/>
      <c r="AN306" s="73"/>
      <c r="AO306" s="14"/>
      <c r="AP306" s="30"/>
    </row>
    <row r="307" spans="1:42" hidden="1">
      <c r="A307" s="585"/>
      <c r="B307" s="586"/>
      <c r="C307" s="765"/>
      <c r="D307" s="765"/>
      <c r="E307" s="582"/>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6"/>
      <c r="AF307" s="586"/>
      <c r="AG307" s="574"/>
      <c r="AH307" s="586"/>
      <c r="AI307" s="586"/>
      <c r="AJ307" s="585"/>
      <c r="AK307" s="585"/>
      <c r="AL307" s="585"/>
      <c r="AM307" s="585"/>
      <c r="AN307" s="73"/>
      <c r="AO307" s="14"/>
      <c r="AP307" s="30"/>
    </row>
    <row r="308" spans="1:42" hidden="1">
      <c r="A308" s="585"/>
      <c r="B308" s="586"/>
      <c r="C308" s="765"/>
      <c r="D308" s="765"/>
      <c r="E308" s="582"/>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6"/>
      <c r="AF308" s="586"/>
      <c r="AG308" s="574"/>
      <c r="AH308" s="586"/>
      <c r="AI308" s="586"/>
      <c r="AJ308" s="585"/>
      <c r="AK308" s="585"/>
      <c r="AL308" s="585"/>
      <c r="AM308" s="585"/>
      <c r="AN308" s="73"/>
      <c r="AO308" s="14"/>
      <c r="AP308" s="30"/>
    </row>
    <row r="309" spans="1:42" hidden="1">
      <c r="A309" s="585"/>
      <c r="B309" s="586"/>
      <c r="C309" s="765"/>
      <c r="D309" s="765"/>
      <c r="E309" s="582"/>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7" t="s">
        <v>1328</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7" t="s">
        <v>1328</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6" t="s">
        <v>1566</v>
      </c>
      <c r="B322" s="1626"/>
      <c r="C322" s="1918" t="s">
        <v>601</v>
      </c>
      <c r="D322" s="1918"/>
      <c r="E322" s="582"/>
      <c r="F322" s="2015" t="s">
        <v>2427</v>
      </c>
      <c r="G322" s="2016"/>
      <c r="H322" s="2016"/>
      <c r="I322" s="2016"/>
      <c r="J322" s="2016"/>
      <c r="K322" s="2016"/>
      <c r="L322" s="2016"/>
      <c r="M322" s="2016"/>
      <c r="N322" s="2016"/>
      <c r="O322" s="2016"/>
      <c r="P322" s="2016"/>
      <c r="Q322" s="2016"/>
      <c r="R322" s="2016"/>
      <c r="S322" s="2016"/>
      <c r="T322" s="2016"/>
      <c r="U322" s="2016"/>
      <c r="V322" s="2016"/>
      <c r="W322" s="2016"/>
      <c r="X322" s="2016"/>
      <c r="Y322" s="2016"/>
      <c r="Z322" s="2016"/>
      <c r="AA322" s="2016"/>
      <c r="AB322" s="2016"/>
      <c r="AC322" s="2016"/>
      <c r="AD322" s="201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18"/>
      <c r="G323" s="2019"/>
      <c r="H323" s="2019"/>
      <c r="I323" s="2019"/>
      <c r="J323" s="2019"/>
      <c r="K323" s="2019"/>
      <c r="L323" s="2019"/>
      <c r="M323" s="2019"/>
      <c r="N323" s="2019"/>
      <c r="O323" s="2019"/>
      <c r="P323" s="2019"/>
      <c r="Q323" s="2019"/>
      <c r="R323" s="2019"/>
      <c r="S323" s="2019"/>
      <c r="T323" s="2019"/>
      <c r="U323" s="2019"/>
      <c r="V323" s="2019"/>
      <c r="W323" s="2019"/>
      <c r="X323" s="2019"/>
      <c r="Y323" s="2019"/>
      <c r="Z323" s="2019"/>
      <c r="AA323" s="2019"/>
      <c r="AB323" s="2019"/>
      <c r="AC323" s="2019"/>
      <c r="AD323" s="2020"/>
      <c r="AE323" s="586"/>
      <c r="AF323" s="586"/>
      <c r="AG323" s="586"/>
      <c r="AH323" s="586"/>
      <c r="AI323" s="586"/>
      <c r="AJ323" s="585"/>
      <c r="AK323" s="585"/>
      <c r="AL323" s="585"/>
      <c r="AM323" s="585"/>
      <c r="AN323" s="73"/>
      <c r="AO323" s="14"/>
    </row>
    <row r="324" spans="1:44" ht="15" hidden="1" customHeight="1">
      <c r="A324" s="585"/>
      <c r="B324" s="586"/>
      <c r="C324" s="586"/>
      <c r="D324" s="586"/>
      <c r="E324" s="586"/>
      <c r="F324" s="2018"/>
      <c r="G324" s="2019"/>
      <c r="H324" s="2019"/>
      <c r="I324" s="2019"/>
      <c r="J324" s="2019"/>
      <c r="K324" s="2019"/>
      <c r="L324" s="2019"/>
      <c r="M324" s="2019"/>
      <c r="N324" s="2019"/>
      <c r="O324" s="2019"/>
      <c r="P324" s="2019"/>
      <c r="Q324" s="2019"/>
      <c r="R324" s="2019"/>
      <c r="S324" s="2019"/>
      <c r="T324" s="2019"/>
      <c r="U324" s="2019"/>
      <c r="V324" s="2019"/>
      <c r="W324" s="2019"/>
      <c r="X324" s="2019"/>
      <c r="Y324" s="2019"/>
      <c r="Z324" s="2019"/>
      <c r="AA324" s="2019"/>
      <c r="AB324" s="2019"/>
      <c r="AC324" s="2019"/>
      <c r="AD324" s="2020"/>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3">
        <f>IF(NOT(OR(Application!M354="Yes",Application!M355="Yes")),0,AP284)</f>
        <v>10</v>
      </c>
      <c r="AL327" s="1904"/>
      <c r="AM327" s="190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9" t="s">
        <v>1488</v>
      </c>
      <c r="AF330" s="1909"/>
      <c r="AG330" s="1909"/>
      <c r="AH330" s="1909"/>
      <c r="AI330" s="1909"/>
      <c r="AJ330" s="1909"/>
      <c r="AK330" s="190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3" t="s">
        <v>1628</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638"/>
      <c r="AL332" s="638"/>
      <c r="AM332" s="638"/>
      <c r="AN332" s="632"/>
    </row>
    <row r="333" spans="1:44" s="585" customFormat="1" ht="12.75" customHeight="1">
      <c r="A333" s="638"/>
      <c r="B333" s="646"/>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638"/>
      <c r="AL333" s="638"/>
      <c r="AM333" s="638"/>
      <c r="AN333" s="632"/>
    </row>
    <row r="334" spans="1:44" s="585" customFormat="1" ht="12.75" customHeight="1">
      <c r="A334" s="638"/>
      <c r="B334" s="646"/>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638"/>
      <c r="AL334" s="638"/>
      <c r="AM334" s="638"/>
      <c r="AN334" s="632"/>
      <c r="AQ334" s="605"/>
    </row>
    <row r="335" spans="1:44" s="585" customFormat="1" ht="12.75" customHeight="1">
      <c r="A335" s="638"/>
      <c r="B335" s="646"/>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638"/>
      <c r="AL335" s="638"/>
      <c r="AM335" s="638"/>
      <c r="AN335" s="632"/>
      <c r="AQ335" s="605"/>
    </row>
    <row r="336" spans="1:44" s="585" customFormat="1" ht="12.45" customHeight="1">
      <c r="A336" s="638"/>
      <c r="B336" s="646"/>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638"/>
      <c r="AL336" s="638"/>
      <c r="AM336" s="638"/>
      <c r="AN336" s="632"/>
      <c r="AQ336" s="605"/>
      <c r="AR336" s="605"/>
    </row>
    <row r="337" spans="1:46" s="585" customFormat="1" ht="45.75" customHeight="1">
      <c r="A337" s="638"/>
      <c r="B337" s="646"/>
      <c r="C337" s="1913" t="s">
        <v>2518</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3" t="s">
        <v>2129</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638"/>
      <c r="AL339" s="638"/>
      <c r="AM339" s="638"/>
      <c r="AN339" s="632"/>
      <c r="AQ339" s="605"/>
      <c r="AR339" s="605"/>
    </row>
    <row r="340" spans="1:46" s="585" customFormat="1" ht="30" customHeight="1">
      <c r="A340" s="638"/>
      <c r="B340" s="646"/>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638"/>
      <c r="AL340" s="638"/>
      <c r="AM340" s="638"/>
      <c r="AN340" s="632"/>
      <c r="AR340" s="605"/>
    </row>
    <row r="341" spans="1:46" s="585" customFormat="1" ht="12.75" customHeight="1">
      <c r="A341" s="638"/>
      <c r="B341" s="646"/>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638"/>
      <c r="AL341" s="638"/>
      <c r="AM341" s="638"/>
      <c r="AN341" s="632"/>
      <c r="AR341" s="605"/>
    </row>
    <row r="342" spans="1:46" s="585" customFormat="1" ht="12.75" customHeight="1">
      <c r="A342" s="638"/>
      <c r="B342" s="646"/>
      <c r="C342" s="1913" t="s">
        <v>1629</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638"/>
      <c r="AL342" s="638"/>
      <c r="AM342" s="638"/>
      <c r="AN342" s="632"/>
      <c r="AQ342" s="605"/>
      <c r="AR342" s="605"/>
    </row>
    <row r="343" spans="1:46" s="585" customFormat="1" ht="12.75" customHeight="1">
      <c r="A343" s="638"/>
      <c r="B343" s="646"/>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638"/>
      <c r="AL343" s="638"/>
      <c r="AM343" s="638"/>
      <c r="AN343" s="632"/>
      <c r="AQ343" s="605"/>
      <c r="AR343" s="605"/>
    </row>
    <row r="344" spans="1:46" s="585" customFormat="1" ht="13.2" customHeight="1">
      <c r="A344" s="638"/>
      <c r="B344" s="646"/>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638"/>
      <c r="AL344" s="638"/>
      <c r="AM344" s="638"/>
      <c r="AN344" s="632"/>
      <c r="AQ344" s="605"/>
      <c r="AR344" s="605"/>
    </row>
    <row r="345" spans="1:46" s="585" customFormat="1" ht="12.75" customHeight="1">
      <c r="A345" s="638"/>
      <c r="B345" s="646"/>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638"/>
      <c r="AL345" s="638"/>
      <c r="AM345" s="638"/>
      <c r="AN345" s="632"/>
      <c r="AO345" s="729"/>
      <c r="AP345" s="729"/>
      <c r="AQ345" s="605"/>
    </row>
    <row r="346" spans="1:46" s="585" customFormat="1" ht="11.85" customHeight="1">
      <c r="A346" s="638"/>
      <c r="B346" s="646"/>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638"/>
      <c r="AL346" s="638"/>
      <c r="AM346" s="638"/>
      <c r="AN346" s="632"/>
      <c r="AO346" s="730" t="s">
        <v>113</v>
      </c>
      <c r="AP346" s="731">
        <f>IF(C370="Yes",5,0)</f>
        <v>5</v>
      </c>
      <c r="AS346" s="574" t="s">
        <v>1630</v>
      </c>
    </row>
    <row r="347" spans="1:46" s="585" customFormat="1" ht="12.75" customHeight="1">
      <c r="A347" s="638"/>
      <c r="B347" s="646"/>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638"/>
      <c r="AL347" s="638"/>
      <c r="AM347" s="638"/>
      <c r="AN347" s="632"/>
      <c r="AO347" s="730" t="s">
        <v>114</v>
      </c>
      <c r="AP347" s="731">
        <f>IF(C378="Yes",5,0)</f>
        <v>0</v>
      </c>
      <c r="AS347" s="1878">
        <f>IF(Application!D210="Non-Targeted",(SUM(AQ355+AQ364)),AS351)</f>
        <v>10</v>
      </c>
      <c r="AT347" s="1878"/>
    </row>
    <row r="348" spans="1:46" s="585" customFormat="1" ht="12.75" customHeight="1">
      <c r="A348" s="638"/>
      <c r="B348" s="646"/>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638"/>
      <c r="AL348" s="638"/>
      <c r="AM348" s="638"/>
      <c r="AN348" s="632"/>
      <c r="AO348" s="730" t="s">
        <v>120</v>
      </c>
      <c r="AP348" s="731">
        <f>IF(C386="Yes",7,0)</f>
        <v>0</v>
      </c>
      <c r="AS348" s="574" t="s">
        <v>1631</v>
      </c>
    </row>
    <row r="349" spans="1:46" s="585" customFormat="1" ht="12.75" customHeight="1">
      <c r="A349" s="638"/>
      <c r="B349" s="646"/>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638"/>
      <c r="AL349" s="638"/>
      <c r="AM349" s="638"/>
      <c r="AN349" s="632"/>
      <c r="AO349" s="632"/>
      <c r="AP349" s="731">
        <f>IF(C388="Yes",5,0)</f>
        <v>5</v>
      </c>
      <c r="AS349" s="1878">
        <f>IF(AND(AQ355&gt;0,AQ364&gt;0),(AQ355+AQ364)/2,0)</f>
        <v>0</v>
      </c>
      <c r="AT349" s="1878"/>
    </row>
    <row r="350" spans="1:46" s="585" customFormat="1" ht="12.75" customHeight="1">
      <c r="A350" s="638"/>
      <c r="B350" s="646"/>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638"/>
      <c r="AL350" s="638"/>
      <c r="AM350" s="638"/>
      <c r="AN350" s="632"/>
      <c r="AO350" s="730" t="s">
        <v>591</v>
      </c>
      <c r="AP350" s="731">
        <f>IF(C396="Yes",5,0)</f>
        <v>0</v>
      </c>
      <c r="AS350" s="574" t="s">
        <v>2146</v>
      </c>
    </row>
    <row r="351" spans="1:46" s="585" customFormat="1" ht="12.75" customHeight="1">
      <c r="A351" s="638"/>
      <c r="B351" s="646"/>
      <c r="C351" s="2007" t="s">
        <v>1632</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1878">
        <f>IF(AQ355=0,AQ364,AQ355)</f>
        <v>10</v>
      </c>
      <c r="AT351" s="1878"/>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788</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594</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5"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10</v>
      </c>
      <c r="AQ355" s="1916">
        <f>IF(AP355&gt;0,AP355,0)</f>
        <v>10</v>
      </c>
      <c r="AR355" s="1916"/>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3" t="s">
        <v>1633</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638"/>
      <c r="AL358" s="638"/>
      <c r="AM358" s="638"/>
      <c r="AN358" s="632"/>
      <c r="AO358" s="730" t="s">
        <v>466</v>
      </c>
      <c r="AP358" s="731">
        <f>IF(C431="Yes",5,0)</f>
        <v>0</v>
      </c>
    </row>
    <row r="359" spans="1:81" s="585" customFormat="1" ht="12.75" customHeight="1">
      <c r="A359" s="638"/>
      <c r="B359" s="646"/>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638"/>
      <c r="AL359" s="638"/>
      <c r="AM359" s="638"/>
      <c r="AN359" s="632"/>
      <c r="AO359" s="730" t="s">
        <v>471</v>
      </c>
      <c r="AP359" s="731">
        <f>IF(C438="Yes",5,0)</f>
        <v>0</v>
      </c>
    </row>
    <row r="360" spans="1:81" s="585" customFormat="1" ht="68.099999999999994" customHeight="1">
      <c r="A360" s="638"/>
      <c r="B360" s="646"/>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4">
        <f>Application!CS649-U363</f>
        <v>228</v>
      </c>
      <c r="V362" s="1914"/>
      <c r="W362" s="191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5">
        <f>Application!AG742</f>
        <v>0</v>
      </c>
      <c r="V363" s="1915"/>
      <c r="W363" s="19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6">
        <f>IF(AP364&gt;0,AP364,0)</f>
        <v>0</v>
      </c>
      <c r="AR364" s="1916"/>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7" t="s">
        <v>1638</v>
      </c>
      <c r="G366" s="1907"/>
      <c r="H366" s="1907"/>
      <c r="I366" s="1907"/>
      <c r="J366" s="1907"/>
      <c r="K366" s="1907"/>
      <c r="L366" s="1907"/>
      <c r="M366" s="1907"/>
      <c r="N366" s="1907"/>
      <c r="O366" s="1907"/>
      <c r="P366" s="1907"/>
      <c r="Q366" s="1907"/>
      <c r="R366" s="1907"/>
      <c r="S366" s="1907"/>
      <c r="T366" s="1907"/>
      <c r="U366" s="1907"/>
      <c r="V366" s="1907"/>
      <c r="W366" s="1907"/>
      <c r="X366" s="1907"/>
      <c r="Y366" s="1907"/>
      <c r="Z366" s="1907"/>
      <c r="AA366" s="1907"/>
      <c r="AB366" s="1907"/>
      <c r="AC366" s="1907"/>
      <c r="AD366" s="1907"/>
      <c r="AE366" s="1907"/>
      <c r="AF366" s="190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8"/>
      <c r="G369" s="1908"/>
      <c r="H369" s="1908"/>
      <c r="I369" s="1908"/>
      <c r="J369" s="1908"/>
      <c r="K369" s="1908"/>
      <c r="L369" s="1908"/>
      <c r="M369" s="1908"/>
      <c r="N369" s="1908"/>
      <c r="O369" s="1908"/>
      <c r="P369" s="1908"/>
      <c r="Q369" s="1908"/>
      <c r="R369" s="1908"/>
      <c r="S369" s="1908"/>
      <c r="T369" s="1908"/>
      <c r="U369" s="1908"/>
      <c r="V369" s="1908"/>
      <c r="W369" s="1908"/>
      <c r="X369" s="1908"/>
      <c r="Y369" s="1908"/>
      <c r="Z369" s="1908"/>
      <c r="AA369" s="1908"/>
      <c r="AB369" s="1908"/>
      <c r="AC369" s="1908"/>
      <c r="AD369" s="1908"/>
      <c r="AE369" s="1908"/>
      <c r="AF369" s="190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7" t="s">
        <v>555</v>
      </c>
      <c r="D370" s="1918"/>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6" t="s">
        <v>1640</v>
      </c>
      <c r="AG370" s="1906"/>
      <c r="AH370" s="1906"/>
      <c r="AI370" s="1906"/>
      <c r="AJ370" s="1906"/>
      <c r="AK370" s="1906"/>
      <c r="AL370" s="19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7" t="s">
        <v>1641</v>
      </c>
      <c r="G373" s="1907"/>
      <c r="H373" s="1907"/>
      <c r="I373" s="1907"/>
      <c r="J373" s="1907"/>
      <c r="K373" s="1907"/>
      <c r="L373" s="1907"/>
      <c r="M373" s="1907"/>
      <c r="N373" s="1907"/>
      <c r="O373" s="1907"/>
      <c r="P373" s="1907"/>
      <c r="Q373" s="1907"/>
      <c r="R373" s="1907"/>
      <c r="S373" s="1907"/>
      <c r="T373" s="1907"/>
      <c r="U373" s="1907"/>
      <c r="V373" s="1907"/>
      <c r="W373" s="1907"/>
      <c r="X373" s="1907"/>
      <c r="Y373" s="1907"/>
      <c r="Z373" s="1907"/>
      <c r="AA373" s="1907"/>
      <c r="AB373" s="1907"/>
      <c r="AC373" s="1907"/>
      <c r="AD373" s="1907"/>
      <c r="AE373" s="1907"/>
      <c r="AF373" s="190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8"/>
      <c r="G374" s="1908"/>
      <c r="H374" s="1908"/>
      <c r="I374" s="1908"/>
      <c r="J374" s="1908"/>
      <c r="K374" s="1908"/>
      <c r="L374" s="1908"/>
      <c r="M374" s="1908"/>
      <c r="N374" s="1908"/>
      <c r="O374" s="1908"/>
      <c r="P374" s="1908"/>
      <c r="Q374" s="1908"/>
      <c r="R374" s="1908"/>
      <c r="S374" s="1908"/>
      <c r="T374" s="1908"/>
      <c r="U374" s="1908"/>
      <c r="V374" s="1908"/>
      <c r="W374" s="1908"/>
      <c r="X374" s="1908"/>
      <c r="Y374" s="1908"/>
      <c r="Z374" s="1908"/>
      <c r="AA374" s="1908"/>
      <c r="AB374" s="1908"/>
      <c r="AC374" s="1908"/>
      <c r="AD374" s="1908"/>
      <c r="AE374" s="1908"/>
      <c r="AF374" s="190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8"/>
      <c r="G375" s="1908"/>
      <c r="H375" s="1908"/>
      <c r="I375" s="1908"/>
      <c r="J375" s="1908"/>
      <c r="K375" s="1908"/>
      <c r="L375" s="1908"/>
      <c r="M375" s="1908"/>
      <c r="N375" s="1908"/>
      <c r="O375" s="1908"/>
      <c r="P375" s="1908"/>
      <c r="Q375" s="1908"/>
      <c r="R375" s="1908"/>
      <c r="S375" s="1908"/>
      <c r="T375" s="1908"/>
      <c r="U375" s="1908"/>
      <c r="V375" s="1908"/>
      <c r="W375" s="1908"/>
      <c r="X375" s="1908"/>
      <c r="Y375" s="1908"/>
      <c r="Z375" s="1908"/>
      <c r="AA375" s="1908"/>
      <c r="AB375" s="1908"/>
      <c r="AC375" s="1908"/>
      <c r="AD375" s="1908"/>
      <c r="AE375" s="1908"/>
      <c r="AF375" s="190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8"/>
      <c r="G376" s="1908"/>
      <c r="H376" s="1908"/>
      <c r="I376" s="1908"/>
      <c r="J376" s="1908"/>
      <c r="K376" s="1908"/>
      <c r="L376" s="1908"/>
      <c r="M376" s="1908"/>
      <c r="N376" s="1908"/>
      <c r="O376" s="1908"/>
      <c r="P376" s="1908"/>
      <c r="Q376" s="1908"/>
      <c r="R376" s="1908"/>
      <c r="S376" s="1908"/>
      <c r="T376" s="1908"/>
      <c r="U376" s="1908"/>
      <c r="V376" s="1908"/>
      <c r="W376" s="1908"/>
      <c r="X376" s="1908"/>
      <c r="Y376" s="1908"/>
      <c r="Z376" s="1908"/>
      <c r="AA376" s="1908"/>
      <c r="AB376" s="1908"/>
      <c r="AC376" s="1908"/>
      <c r="AD376" s="1908"/>
      <c r="AE376" s="1908"/>
      <c r="AF376" s="190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8"/>
      <c r="G377" s="1908"/>
      <c r="H377" s="1908"/>
      <c r="I377" s="1908"/>
      <c r="J377" s="1908"/>
      <c r="K377" s="1908"/>
      <c r="L377" s="1908"/>
      <c r="M377" s="1908"/>
      <c r="N377" s="1908"/>
      <c r="O377" s="1908"/>
      <c r="P377" s="1908"/>
      <c r="Q377" s="1908"/>
      <c r="R377" s="1908"/>
      <c r="S377" s="1908"/>
      <c r="T377" s="1908"/>
      <c r="U377" s="1908"/>
      <c r="V377" s="1908"/>
      <c r="W377" s="1908"/>
      <c r="X377" s="1908"/>
      <c r="Y377" s="1908"/>
      <c r="Z377" s="1908"/>
      <c r="AA377" s="1908"/>
      <c r="AB377" s="1908"/>
      <c r="AC377" s="1908"/>
      <c r="AD377" s="1908"/>
      <c r="AE377" s="1908"/>
      <c r="AF377" s="1908"/>
      <c r="AL377" s="767"/>
      <c r="AN377" s="632"/>
      <c r="BS377" s="30"/>
      <c r="BT377" s="30"/>
      <c r="BU377" s="14"/>
      <c r="BV377" s="14"/>
      <c r="BW377" s="14"/>
      <c r="BX377" s="14"/>
      <c r="BY377" s="14"/>
      <c r="BZ377" s="14"/>
      <c r="CA377" s="14"/>
      <c r="CB377" s="14"/>
      <c r="CC377" s="14"/>
    </row>
    <row r="378" spans="1:81" s="585" customFormat="1" ht="12.75" customHeight="1">
      <c r="A378" s="571"/>
      <c r="B378" s="14"/>
      <c r="C378" s="1917" t="s">
        <v>601</v>
      </c>
      <c r="D378" s="1918"/>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6" t="s">
        <v>1640</v>
      </c>
      <c r="AG378" s="1906"/>
      <c r="AH378" s="1906"/>
      <c r="AI378" s="1906"/>
      <c r="AJ378" s="1906"/>
      <c r="AK378" s="1906"/>
      <c r="AL378" s="19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7" t="s">
        <v>1643</v>
      </c>
      <c r="G381" s="1907"/>
      <c r="H381" s="1907"/>
      <c r="I381" s="1907"/>
      <c r="J381" s="1907"/>
      <c r="K381" s="1907"/>
      <c r="L381" s="1907"/>
      <c r="M381" s="1907"/>
      <c r="N381" s="1907"/>
      <c r="O381" s="1907"/>
      <c r="P381" s="1907"/>
      <c r="Q381" s="1907"/>
      <c r="R381" s="1907"/>
      <c r="S381" s="1907"/>
      <c r="T381" s="1907"/>
      <c r="U381" s="1907"/>
      <c r="V381" s="1907"/>
      <c r="W381" s="1907"/>
      <c r="X381" s="1907"/>
      <c r="Y381" s="1907"/>
      <c r="Z381" s="1907"/>
      <c r="AA381" s="1907"/>
      <c r="AB381" s="1907"/>
      <c r="AC381" s="1907"/>
      <c r="AD381" s="1907"/>
      <c r="AE381" s="1907"/>
      <c r="AF381" s="190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8"/>
      <c r="G382" s="1908"/>
      <c r="H382" s="1908"/>
      <c r="I382" s="1908"/>
      <c r="J382" s="1908"/>
      <c r="K382" s="1908"/>
      <c r="L382" s="1908"/>
      <c r="M382" s="1908"/>
      <c r="N382" s="1908"/>
      <c r="O382" s="1908"/>
      <c r="P382" s="1908"/>
      <c r="Q382" s="1908"/>
      <c r="R382" s="1908"/>
      <c r="S382" s="1908"/>
      <c r="T382" s="1908"/>
      <c r="U382" s="1908"/>
      <c r="V382" s="1908"/>
      <c r="W382" s="1908"/>
      <c r="X382" s="1908"/>
      <c r="Y382" s="1908"/>
      <c r="Z382" s="1908"/>
      <c r="AA382" s="1908"/>
      <c r="AB382" s="1908"/>
      <c r="AC382" s="1908"/>
      <c r="AD382" s="1908"/>
      <c r="AE382" s="1908"/>
      <c r="AF382" s="190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8"/>
      <c r="G383" s="1908"/>
      <c r="H383" s="1908"/>
      <c r="I383" s="1908"/>
      <c r="J383" s="1908"/>
      <c r="K383" s="1908"/>
      <c r="L383" s="1908"/>
      <c r="M383" s="1908"/>
      <c r="N383" s="1908"/>
      <c r="O383" s="1908"/>
      <c r="P383" s="1908"/>
      <c r="Q383" s="1908"/>
      <c r="R383" s="1908"/>
      <c r="S383" s="1908"/>
      <c r="T383" s="1908"/>
      <c r="U383" s="1908"/>
      <c r="V383" s="1908"/>
      <c r="W383" s="1908"/>
      <c r="X383" s="1908"/>
      <c r="Y383" s="1908"/>
      <c r="Z383" s="1908"/>
      <c r="AA383" s="1908"/>
      <c r="AB383" s="1908"/>
      <c r="AC383" s="1908"/>
      <c r="AD383" s="1908"/>
      <c r="AE383" s="1908"/>
      <c r="AF383" s="190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8"/>
      <c r="G384" s="1908"/>
      <c r="H384" s="1908"/>
      <c r="I384" s="1908"/>
      <c r="J384" s="1908"/>
      <c r="K384" s="1908"/>
      <c r="L384" s="1908"/>
      <c r="M384" s="1908"/>
      <c r="N384" s="1908"/>
      <c r="O384" s="1908"/>
      <c r="P384" s="1908"/>
      <c r="Q384" s="1908"/>
      <c r="R384" s="1908"/>
      <c r="S384" s="1908"/>
      <c r="T384" s="1908"/>
      <c r="U384" s="1908"/>
      <c r="V384" s="1908"/>
      <c r="W384" s="1908"/>
      <c r="X384" s="1908"/>
      <c r="Y384" s="1908"/>
      <c r="Z384" s="1908"/>
      <c r="AA384" s="1908"/>
      <c r="AB384" s="1908"/>
      <c r="AC384" s="1908"/>
      <c r="AD384" s="1908"/>
      <c r="AE384" s="1908"/>
      <c r="AF384" s="190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8"/>
      <c r="G385" s="1908"/>
      <c r="H385" s="1908"/>
      <c r="I385" s="1908"/>
      <c r="J385" s="1908"/>
      <c r="K385" s="1908"/>
      <c r="L385" s="1908"/>
      <c r="M385" s="1908"/>
      <c r="N385" s="1908"/>
      <c r="O385" s="1908"/>
      <c r="P385" s="1908"/>
      <c r="Q385" s="1908"/>
      <c r="R385" s="1908"/>
      <c r="S385" s="1908"/>
      <c r="T385" s="1908"/>
      <c r="U385" s="1908"/>
      <c r="V385" s="1908"/>
      <c r="W385" s="1908"/>
      <c r="X385" s="1908"/>
      <c r="Y385" s="1908"/>
      <c r="Z385" s="1908"/>
      <c r="AA385" s="1908"/>
      <c r="AB385" s="1908"/>
      <c r="AC385" s="1908"/>
      <c r="AD385" s="1908"/>
      <c r="AE385" s="1908"/>
      <c r="AF385" s="190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7" t="s">
        <v>601</v>
      </c>
      <c r="D386" s="1918"/>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6" t="s">
        <v>1645</v>
      </c>
      <c r="AG386" s="1906"/>
      <c r="AH386" s="1906"/>
      <c r="AI386" s="1906"/>
      <c r="AJ386" s="1906"/>
      <c r="AK386" s="1906"/>
      <c r="AL386" s="19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7" t="s">
        <v>555</v>
      </c>
      <c r="D388" s="1918"/>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6" t="s">
        <v>1640</v>
      </c>
      <c r="AG388" s="1906"/>
      <c r="AH388" s="1906"/>
      <c r="AI388" s="1906"/>
      <c r="AJ388" s="1906"/>
      <c r="AK388" s="1906"/>
      <c r="AL388" s="19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7" t="s">
        <v>1649</v>
      </c>
      <c r="G392" s="1907"/>
      <c r="H392" s="1907"/>
      <c r="I392" s="1907"/>
      <c r="J392" s="1907"/>
      <c r="K392" s="1907"/>
      <c r="L392" s="1907"/>
      <c r="M392" s="1907"/>
      <c r="N392" s="1907"/>
      <c r="O392" s="1907"/>
      <c r="P392" s="1907"/>
      <c r="Q392" s="1907"/>
      <c r="R392" s="1907"/>
      <c r="S392" s="1907"/>
      <c r="T392" s="1907"/>
      <c r="U392" s="1907"/>
      <c r="V392" s="1907"/>
      <c r="W392" s="1907"/>
      <c r="X392" s="1907"/>
      <c r="Y392" s="1907"/>
      <c r="Z392" s="1907"/>
      <c r="AA392" s="1907"/>
      <c r="AB392" s="1907"/>
      <c r="AC392" s="1907"/>
      <c r="AD392" s="1907"/>
      <c r="AE392" s="1907"/>
      <c r="AF392" s="190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8"/>
      <c r="G393" s="1908"/>
      <c r="H393" s="1908"/>
      <c r="I393" s="1908"/>
      <c r="J393" s="1908"/>
      <c r="K393" s="1908"/>
      <c r="L393" s="1908"/>
      <c r="M393" s="1908"/>
      <c r="N393" s="1908"/>
      <c r="O393" s="1908"/>
      <c r="P393" s="1908"/>
      <c r="Q393" s="1908"/>
      <c r="R393" s="1908"/>
      <c r="S393" s="1908"/>
      <c r="T393" s="1908"/>
      <c r="U393" s="1908"/>
      <c r="V393" s="1908"/>
      <c r="W393" s="1908"/>
      <c r="X393" s="1908"/>
      <c r="Y393" s="1908"/>
      <c r="Z393" s="1908"/>
      <c r="AA393" s="1908"/>
      <c r="AB393" s="1908"/>
      <c r="AC393" s="1908"/>
      <c r="AD393" s="1908"/>
      <c r="AE393" s="1908"/>
      <c r="AF393" s="190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8"/>
      <c r="G394" s="1908"/>
      <c r="H394" s="1908"/>
      <c r="I394" s="1908"/>
      <c r="J394" s="1908"/>
      <c r="K394" s="1908"/>
      <c r="L394" s="1908"/>
      <c r="M394" s="1908"/>
      <c r="N394" s="1908"/>
      <c r="O394" s="1908"/>
      <c r="P394" s="1908"/>
      <c r="Q394" s="1908"/>
      <c r="R394" s="1908"/>
      <c r="S394" s="1908"/>
      <c r="T394" s="1908"/>
      <c r="U394" s="1908"/>
      <c r="V394" s="1908"/>
      <c r="W394" s="1908"/>
      <c r="X394" s="1908"/>
      <c r="Y394" s="1908"/>
      <c r="Z394" s="1908"/>
      <c r="AA394" s="1908"/>
      <c r="AB394" s="1908"/>
      <c r="AC394" s="1908"/>
      <c r="AD394" s="1908"/>
      <c r="AE394" s="1908"/>
      <c r="AF394" s="190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8"/>
      <c r="G395" s="1908"/>
      <c r="H395" s="1908"/>
      <c r="I395" s="1908"/>
      <c r="J395" s="1908"/>
      <c r="K395" s="1908"/>
      <c r="L395" s="1908"/>
      <c r="M395" s="1908"/>
      <c r="N395" s="1908"/>
      <c r="O395" s="1908"/>
      <c r="P395" s="1908"/>
      <c r="Q395" s="1908"/>
      <c r="R395" s="1908"/>
      <c r="S395" s="1908"/>
      <c r="T395" s="1908"/>
      <c r="U395" s="1908"/>
      <c r="V395" s="1908"/>
      <c r="W395" s="1908"/>
      <c r="X395" s="1908"/>
      <c r="Y395" s="1908"/>
      <c r="Z395" s="1908"/>
      <c r="AA395" s="1908"/>
      <c r="AB395" s="1908"/>
      <c r="AC395" s="1908"/>
      <c r="AD395" s="1908"/>
      <c r="AE395" s="1908"/>
      <c r="AF395" s="190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7" t="s">
        <v>601</v>
      </c>
      <c r="D396" s="1918"/>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6" t="s">
        <v>1640</v>
      </c>
      <c r="AG396" s="1906"/>
      <c r="AH396" s="1906"/>
      <c r="AI396" s="1906"/>
      <c r="AJ396" s="1906"/>
      <c r="AK396" s="1906"/>
      <c r="AL396" s="19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7" t="s">
        <v>601</v>
      </c>
      <c r="D398" s="1918"/>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6" t="s">
        <v>1652</v>
      </c>
      <c r="AG398" s="1906"/>
      <c r="AH398" s="1906"/>
      <c r="AI398" s="1906"/>
      <c r="AJ398" s="1906"/>
      <c r="AK398" s="1906"/>
      <c r="AL398" s="19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7" t="s">
        <v>601</v>
      </c>
      <c r="D401" s="1918"/>
      <c r="E401" s="750" t="s">
        <v>1653</v>
      </c>
      <c r="F401" s="1907" t="s">
        <v>1654</v>
      </c>
      <c r="G401" s="1907"/>
      <c r="H401" s="1907"/>
      <c r="I401" s="1907"/>
      <c r="J401" s="1907"/>
      <c r="K401" s="1907"/>
      <c r="L401" s="1907"/>
      <c r="M401" s="1907"/>
      <c r="N401" s="1907"/>
      <c r="O401" s="1907"/>
      <c r="P401" s="1907"/>
      <c r="Q401" s="1907"/>
      <c r="R401" s="1907"/>
      <c r="S401" s="1907"/>
      <c r="T401" s="1907"/>
      <c r="U401" s="1907"/>
      <c r="V401" s="1907"/>
      <c r="W401" s="1907"/>
      <c r="X401" s="1907"/>
      <c r="Y401" s="1907"/>
      <c r="Z401" s="1907"/>
      <c r="AA401" s="1907"/>
      <c r="AB401" s="1907"/>
      <c r="AC401" s="1907"/>
      <c r="AD401" s="1907"/>
      <c r="AE401" s="190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8"/>
      <c r="G402" s="1908"/>
      <c r="H402" s="1908"/>
      <c r="I402" s="1908"/>
      <c r="J402" s="1908"/>
      <c r="K402" s="1908"/>
      <c r="L402" s="1908"/>
      <c r="M402" s="1908"/>
      <c r="N402" s="1908"/>
      <c r="O402" s="1908"/>
      <c r="P402" s="1908"/>
      <c r="Q402" s="1908"/>
      <c r="R402" s="1908"/>
      <c r="S402" s="1908"/>
      <c r="T402" s="1908"/>
      <c r="U402" s="1908"/>
      <c r="V402" s="1908"/>
      <c r="W402" s="1908"/>
      <c r="X402" s="1908"/>
      <c r="Y402" s="1908"/>
      <c r="Z402" s="1908"/>
      <c r="AA402" s="1908"/>
      <c r="AB402" s="1908"/>
      <c r="AC402" s="1908"/>
      <c r="AD402" s="1908"/>
      <c r="AE402" s="1908"/>
      <c r="AF402" s="1976" t="s">
        <v>1640</v>
      </c>
      <c r="AG402" s="1976"/>
      <c r="AH402" s="1976"/>
      <c r="AI402" s="1976"/>
      <c r="AJ402" s="1976"/>
      <c r="AK402" s="1976"/>
      <c r="AL402" s="2006"/>
      <c r="AM402" s="605"/>
      <c r="AN402" s="632"/>
      <c r="BS402" s="605"/>
      <c r="BT402" s="605"/>
      <c r="BY402" s="605"/>
      <c r="BZ402" s="605"/>
      <c r="CA402" s="605"/>
      <c r="CB402" s="605"/>
      <c r="CC402" s="605"/>
    </row>
    <row r="403" spans="1:81" s="585" customFormat="1" ht="12.75" customHeight="1">
      <c r="A403" s="571"/>
      <c r="B403" s="14"/>
      <c r="C403" s="766"/>
      <c r="D403" s="14"/>
      <c r="E403" s="726"/>
      <c r="F403" s="1908"/>
      <c r="G403" s="1908"/>
      <c r="H403" s="1908"/>
      <c r="I403" s="1908"/>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c r="AE403" s="190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7" t="s">
        <v>1656</v>
      </c>
      <c r="G406" s="1907"/>
      <c r="H406" s="1907"/>
      <c r="I406" s="1907"/>
      <c r="J406" s="1907"/>
      <c r="K406" s="1907"/>
      <c r="L406" s="1907"/>
      <c r="M406" s="1907"/>
      <c r="N406" s="1907"/>
      <c r="O406" s="1907"/>
      <c r="P406" s="1907"/>
      <c r="Q406" s="1907"/>
      <c r="R406" s="1907"/>
      <c r="S406" s="1907"/>
      <c r="T406" s="1907"/>
      <c r="U406" s="1907"/>
      <c r="V406" s="1907"/>
      <c r="W406" s="1907"/>
      <c r="X406" s="1907"/>
      <c r="Y406" s="1907"/>
      <c r="Z406" s="1907"/>
      <c r="AA406" s="1907"/>
      <c r="AB406" s="1907"/>
      <c r="AC406" s="1907"/>
      <c r="AD406" s="1907"/>
      <c r="AE406" s="1907"/>
      <c r="AF406" s="782"/>
      <c r="AG406" s="782"/>
      <c r="AH406" s="782"/>
      <c r="AI406" s="782"/>
      <c r="AJ406" s="782"/>
      <c r="AK406" s="782"/>
      <c r="AL406" s="783"/>
      <c r="AM406" s="605"/>
    </row>
    <row r="407" spans="1:81">
      <c r="A407" s="571"/>
      <c r="C407" s="766"/>
      <c r="E407" s="726"/>
      <c r="F407" s="1908"/>
      <c r="G407" s="1908"/>
      <c r="H407" s="1908"/>
      <c r="I407" s="1908"/>
      <c r="J407" s="1908"/>
      <c r="K407" s="1908"/>
      <c r="L407" s="1908"/>
      <c r="M407" s="1908"/>
      <c r="N407" s="1908"/>
      <c r="O407" s="1908"/>
      <c r="P407" s="1908"/>
      <c r="Q407" s="1908"/>
      <c r="R407" s="1908"/>
      <c r="S407" s="1908"/>
      <c r="T407" s="1908"/>
      <c r="U407" s="1908"/>
      <c r="V407" s="1908"/>
      <c r="W407" s="1908"/>
      <c r="X407" s="1908"/>
      <c r="Y407" s="1908"/>
      <c r="Z407" s="1908"/>
      <c r="AA407" s="1908"/>
      <c r="AB407" s="1908"/>
      <c r="AC407" s="1908"/>
      <c r="AD407" s="1908"/>
      <c r="AE407" s="1908"/>
      <c r="AF407" s="574"/>
      <c r="AG407" s="571"/>
      <c r="AH407" s="585"/>
      <c r="AI407" s="585"/>
      <c r="AJ407" s="585"/>
      <c r="AK407" s="585"/>
      <c r="AL407" s="767"/>
      <c r="AM407" s="605"/>
    </row>
    <row r="408" spans="1:81" s="585" customFormat="1" ht="12.75" customHeight="1">
      <c r="A408" s="571"/>
      <c r="B408" s="14"/>
      <c r="C408" s="766"/>
      <c r="D408" s="14"/>
      <c r="E408" s="726"/>
      <c r="F408" s="1908"/>
      <c r="G408" s="1908"/>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L408" s="767"/>
      <c r="AM408" s="605"/>
      <c r="AN408" s="632"/>
    </row>
    <row r="409" spans="1:81" s="585" customFormat="1" ht="12.75" customHeight="1">
      <c r="A409" s="571"/>
      <c r="B409" s="14"/>
      <c r="C409" s="774"/>
      <c r="F409" s="1908"/>
      <c r="G409" s="1908"/>
      <c r="H409" s="1908"/>
      <c r="I409" s="1908"/>
      <c r="J409" s="1908"/>
      <c r="K409" s="1908"/>
      <c r="L409" s="1908"/>
      <c r="M409" s="1908"/>
      <c r="N409" s="1908"/>
      <c r="O409" s="1908"/>
      <c r="P409" s="1908"/>
      <c r="Q409" s="1908"/>
      <c r="R409" s="1908"/>
      <c r="S409" s="1908"/>
      <c r="T409" s="1908"/>
      <c r="U409" s="1908"/>
      <c r="V409" s="1908"/>
      <c r="W409" s="1908"/>
      <c r="X409" s="1908"/>
      <c r="Y409" s="1908"/>
      <c r="Z409" s="1908"/>
      <c r="AA409" s="1908"/>
      <c r="AB409" s="1908"/>
      <c r="AC409" s="1908"/>
      <c r="AD409" s="1908"/>
      <c r="AE409" s="1908"/>
      <c r="AL409" s="767"/>
      <c r="AM409" s="605"/>
      <c r="AN409" s="632"/>
    </row>
    <row r="410" spans="1:81" s="585" customFormat="1" ht="12.75" customHeight="1">
      <c r="A410" s="571"/>
      <c r="B410" s="14"/>
      <c r="C410" s="1917" t="s">
        <v>601</v>
      </c>
      <c r="D410" s="1918"/>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6" t="s">
        <v>1640</v>
      </c>
      <c r="AG410" s="1976"/>
      <c r="AH410" s="1976"/>
      <c r="AI410" s="1976"/>
      <c r="AJ410" s="1976"/>
      <c r="AK410" s="1976"/>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1917" t="s">
        <v>601</v>
      </c>
      <c r="D412" s="1918"/>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6" t="s">
        <v>1652</v>
      </c>
      <c r="AG412" s="1976"/>
      <c r="AH412" s="1976"/>
      <c r="AI412" s="1976"/>
      <c r="AJ412" s="1976"/>
      <c r="AK412" s="1976"/>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7" t="s">
        <v>1661</v>
      </c>
      <c r="G416" s="1907"/>
      <c r="H416" s="1907"/>
      <c r="I416" s="1907"/>
      <c r="J416" s="1907"/>
      <c r="K416" s="1907"/>
      <c r="L416" s="1907"/>
      <c r="M416" s="1907"/>
      <c r="N416" s="1907"/>
      <c r="O416" s="1907"/>
      <c r="P416" s="1907"/>
      <c r="Q416" s="1907"/>
      <c r="R416" s="1907"/>
      <c r="S416" s="1907"/>
      <c r="T416" s="1907"/>
      <c r="U416" s="1907"/>
      <c r="V416" s="1907"/>
      <c r="W416" s="1907"/>
      <c r="X416" s="1907"/>
      <c r="Y416" s="1907"/>
      <c r="Z416" s="1907"/>
      <c r="AA416" s="1907"/>
      <c r="AB416" s="1907"/>
      <c r="AC416" s="1907"/>
      <c r="AD416" s="1907"/>
      <c r="AE416" s="1907"/>
      <c r="AF416" s="749"/>
      <c r="AG416" s="749"/>
      <c r="AH416" s="749"/>
      <c r="AI416" s="749"/>
      <c r="AJ416" s="749"/>
      <c r="AK416" s="749"/>
      <c r="AL416" s="780"/>
      <c r="AM416" s="605"/>
      <c r="AN416" s="632"/>
    </row>
    <row r="417" spans="1:60" s="585" customFormat="1" ht="12.75" customHeight="1">
      <c r="A417" s="571"/>
      <c r="B417" s="14"/>
      <c r="C417" s="766"/>
      <c r="D417" s="14"/>
      <c r="E417" s="726"/>
      <c r="F417" s="1908"/>
      <c r="G417" s="1908"/>
      <c r="H417" s="1908"/>
      <c r="I417" s="1908"/>
      <c r="J417" s="1908"/>
      <c r="K417" s="1908"/>
      <c r="L417" s="1908"/>
      <c r="M417" s="1908"/>
      <c r="N417" s="1908"/>
      <c r="O417" s="1908"/>
      <c r="P417" s="1908"/>
      <c r="Q417" s="1908"/>
      <c r="R417" s="1908"/>
      <c r="S417" s="1908"/>
      <c r="T417" s="1908"/>
      <c r="U417" s="1908"/>
      <c r="V417" s="1908"/>
      <c r="W417" s="1908"/>
      <c r="X417" s="1908"/>
      <c r="Y417" s="1908"/>
      <c r="Z417" s="1908"/>
      <c r="AA417" s="1908"/>
      <c r="AB417" s="1908"/>
      <c r="AC417" s="1908"/>
      <c r="AD417" s="1908"/>
      <c r="AE417" s="1908"/>
      <c r="AF417" s="574"/>
      <c r="AG417" s="571"/>
      <c r="AL417" s="767"/>
      <c r="AM417" s="605"/>
      <c r="AN417" s="632"/>
    </row>
    <row r="418" spans="1:60" s="585" customFormat="1" ht="12.45" customHeight="1">
      <c r="A418" s="571"/>
      <c r="B418" s="14"/>
      <c r="C418" s="766"/>
      <c r="D418" s="14"/>
      <c r="E418" s="726"/>
      <c r="F418" s="1908"/>
      <c r="G418" s="1908"/>
      <c r="H418" s="1908"/>
      <c r="I418" s="1908"/>
      <c r="J418" s="1908"/>
      <c r="K418" s="1908"/>
      <c r="L418" s="1908"/>
      <c r="M418" s="1908"/>
      <c r="N418" s="1908"/>
      <c r="O418" s="1908"/>
      <c r="P418" s="1908"/>
      <c r="Q418" s="1908"/>
      <c r="R418" s="1908"/>
      <c r="S418" s="1908"/>
      <c r="T418" s="1908"/>
      <c r="U418" s="1908"/>
      <c r="V418" s="1908"/>
      <c r="W418" s="1908"/>
      <c r="X418" s="1908"/>
      <c r="Y418" s="1908"/>
      <c r="Z418" s="1908"/>
      <c r="AA418" s="1908"/>
      <c r="AB418" s="1908"/>
      <c r="AC418" s="1908"/>
      <c r="AD418" s="1908"/>
      <c r="AE418" s="1908"/>
      <c r="AL418" s="767"/>
      <c r="AM418" s="605"/>
      <c r="AN418" s="632"/>
    </row>
    <row r="419" spans="1:60" s="585" customFormat="1" ht="12.75" customHeight="1">
      <c r="A419" s="571"/>
      <c r="B419" s="14"/>
      <c r="C419" s="1917" t="s">
        <v>601</v>
      </c>
      <c r="D419" s="1918"/>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6" t="s">
        <v>1640</v>
      </c>
      <c r="AG419" s="1976"/>
      <c r="AH419" s="1976"/>
      <c r="AI419" s="1976"/>
      <c r="AJ419" s="1976"/>
      <c r="AK419" s="1976"/>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07" t="s">
        <v>1664</v>
      </c>
      <c r="G422" s="1907"/>
      <c r="H422" s="1907"/>
      <c r="I422" s="1907"/>
      <c r="J422" s="1907"/>
      <c r="K422" s="1907"/>
      <c r="L422" s="1907"/>
      <c r="M422" s="1907"/>
      <c r="N422" s="1907"/>
      <c r="O422" s="1907"/>
      <c r="P422" s="1907"/>
      <c r="Q422" s="1907"/>
      <c r="R422" s="1907"/>
      <c r="S422" s="1907"/>
      <c r="T422" s="1907"/>
      <c r="U422" s="1907"/>
      <c r="V422" s="1907"/>
      <c r="W422" s="1907"/>
      <c r="X422" s="1907"/>
      <c r="Y422" s="1907"/>
      <c r="Z422" s="1907"/>
      <c r="AA422" s="1907"/>
      <c r="AB422" s="1907"/>
      <c r="AC422" s="1907"/>
      <c r="AD422" s="1907"/>
      <c r="AE422" s="1907"/>
      <c r="AF422" s="782"/>
      <c r="AG422" s="782"/>
      <c r="AH422" s="782"/>
      <c r="AI422" s="782"/>
      <c r="AJ422" s="782"/>
      <c r="AK422" s="782"/>
      <c r="AL422" s="783"/>
      <c r="AM422" s="605"/>
      <c r="AO422" s="585"/>
      <c r="AP422" s="585"/>
      <c r="BD422" s="14"/>
      <c r="BE422" s="14"/>
      <c r="BF422" s="14"/>
      <c r="BG422" s="14"/>
      <c r="BH422" s="14"/>
    </row>
    <row r="423" spans="1:60">
      <c r="A423" s="571"/>
      <c r="C423" s="766"/>
      <c r="E423" s="726"/>
      <c r="F423" s="1908"/>
      <c r="G423" s="1908"/>
      <c r="H423" s="1908"/>
      <c r="I423" s="1908"/>
      <c r="J423" s="1908"/>
      <c r="K423" s="1908"/>
      <c r="L423" s="1908"/>
      <c r="M423" s="1908"/>
      <c r="N423" s="1908"/>
      <c r="O423" s="1908"/>
      <c r="P423" s="1908"/>
      <c r="Q423" s="1908"/>
      <c r="R423" s="1908"/>
      <c r="S423" s="1908"/>
      <c r="T423" s="1908"/>
      <c r="U423" s="1908"/>
      <c r="V423" s="1908"/>
      <c r="W423" s="1908"/>
      <c r="X423" s="1908"/>
      <c r="Y423" s="1908"/>
      <c r="Z423" s="1908"/>
      <c r="AA423" s="1908"/>
      <c r="AB423" s="1908"/>
      <c r="AC423" s="1908"/>
      <c r="AD423" s="1908"/>
      <c r="AE423" s="1908"/>
      <c r="AF423" s="629"/>
      <c r="AG423" s="629"/>
      <c r="AH423" s="629"/>
      <c r="AI423" s="629"/>
      <c r="AJ423" s="629"/>
      <c r="AK423" s="629"/>
      <c r="AL423" s="786"/>
      <c r="AM423" s="605"/>
      <c r="AO423" s="585"/>
      <c r="AP423" s="585"/>
    </row>
    <row r="424" spans="1:60" s="585" customFormat="1" ht="12.75" customHeight="1">
      <c r="A424" s="571"/>
      <c r="B424" s="14"/>
      <c r="C424" s="766"/>
      <c r="D424" s="14"/>
      <c r="E424" s="726"/>
      <c r="F424" s="1908"/>
      <c r="G424" s="1908"/>
      <c r="H424" s="1908"/>
      <c r="I424" s="1908"/>
      <c r="J424" s="1908"/>
      <c r="K424" s="1908"/>
      <c r="L424" s="1908"/>
      <c r="M424" s="1908"/>
      <c r="N424" s="1908"/>
      <c r="O424" s="1908"/>
      <c r="P424" s="1908"/>
      <c r="Q424" s="1908"/>
      <c r="R424" s="1908"/>
      <c r="S424" s="1908"/>
      <c r="T424" s="1908"/>
      <c r="U424" s="1908"/>
      <c r="V424" s="1908"/>
      <c r="W424" s="1908"/>
      <c r="X424" s="1908"/>
      <c r="Y424" s="1908"/>
      <c r="Z424" s="1908"/>
      <c r="AA424" s="1908"/>
      <c r="AB424" s="1908"/>
      <c r="AC424" s="1908"/>
      <c r="AD424" s="1908"/>
      <c r="AE424" s="1908"/>
      <c r="AF424" s="629"/>
      <c r="AG424" s="629"/>
      <c r="AH424" s="629"/>
      <c r="AI424" s="629"/>
      <c r="AJ424" s="629"/>
      <c r="AK424" s="629"/>
      <c r="AL424" s="786"/>
      <c r="AM424" s="605"/>
      <c r="AN424" s="632"/>
    </row>
    <row r="425" spans="1:60" s="585" customFormat="1" ht="12.75" customHeight="1">
      <c r="A425" s="571"/>
      <c r="B425" s="14"/>
      <c r="C425" s="787"/>
      <c r="D425" s="765"/>
      <c r="E425" s="754"/>
      <c r="F425" s="1908"/>
      <c r="G425" s="1908"/>
      <c r="H425" s="1908"/>
      <c r="I425" s="1908"/>
      <c r="J425" s="1908"/>
      <c r="K425" s="1908"/>
      <c r="L425" s="1908"/>
      <c r="M425" s="1908"/>
      <c r="N425" s="1908"/>
      <c r="O425" s="1908"/>
      <c r="P425" s="1908"/>
      <c r="Q425" s="1908"/>
      <c r="R425" s="1908"/>
      <c r="S425" s="1908"/>
      <c r="T425" s="1908"/>
      <c r="U425" s="1908"/>
      <c r="V425" s="1908"/>
      <c r="W425" s="1908"/>
      <c r="X425" s="1908"/>
      <c r="Y425" s="1908"/>
      <c r="Z425" s="1908"/>
      <c r="AA425" s="1908"/>
      <c r="AB425" s="1908"/>
      <c r="AC425" s="1908"/>
      <c r="AD425" s="1908"/>
      <c r="AE425" s="190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8"/>
      <c r="G426" s="1908"/>
      <c r="H426" s="1908"/>
      <c r="I426" s="1908"/>
      <c r="J426" s="1908"/>
      <c r="K426" s="1908"/>
      <c r="L426" s="1908"/>
      <c r="M426" s="1908"/>
      <c r="N426" s="1908"/>
      <c r="O426" s="1908"/>
      <c r="P426" s="1908"/>
      <c r="Q426" s="1908"/>
      <c r="R426" s="1908"/>
      <c r="S426" s="1908"/>
      <c r="T426" s="1908"/>
      <c r="U426" s="1908"/>
      <c r="V426" s="1908"/>
      <c r="W426" s="1908"/>
      <c r="X426" s="1908"/>
      <c r="Y426" s="1908"/>
      <c r="Z426" s="1908"/>
      <c r="AA426" s="1908"/>
      <c r="AB426" s="1908"/>
      <c r="AC426" s="1908"/>
      <c r="AD426" s="1908"/>
      <c r="AE426" s="1908"/>
      <c r="AF426" s="629"/>
      <c r="AG426" s="629"/>
      <c r="AH426" s="629"/>
      <c r="AI426" s="629"/>
      <c r="AJ426" s="629"/>
      <c r="AK426" s="629"/>
      <c r="AL426" s="786"/>
      <c r="AM426" s="605"/>
      <c r="AN426" s="632"/>
    </row>
    <row r="427" spans="1:60" s="585" customFormat="1" ht="12.75" customHeight="1">
      <c r="A427" s="571"/>
      <c r="B427" s="14"/>
      <c r="C427" s="787"/>
      <c r="D427" s="765"/>
      <c r="E427" s="754"/>
      <c r="F427" s="1908"/>
      <c r="G427" s="1908"/>
      <c r="H427" s="1908"/>
      <c r="I427" s="1908"/>
      <c r="J427" s="1908"/>
      <c r="K427" s="1908"/>
      <c r="L427" s="1908"/>
      <c r="M427" s="1908"/>
      <c r="N427" s="1908"/>
      <c r="O427" s="1908"/>
      <c r="P427" s="1908"/>
      <c r="Q427" s="1908"/>
      <c r="R427" s="1908"/>
      <c r="S427" s="1908"/>
      <c r="T427" s="1908"/>
      <c r="U427" s="1908"/>
      <c r="V427" s="1908"/>
      <c r="W427" s="1908"/>
      <c r="X427" s="1908"/>
      <c r="Y427" s="1908"/>
      <c r="Z427" s="1908"/>
      <c r="AA427" s="1908"/>
      <c r="AB427" s="1908"/>
      <c r="AC427" s="1908"/>
      <c r="AD427" s="1908"/>
      <c r="AE427" s="1908"/>
      <c r="AF427" s="629"/>
      <c r="AG427" s="629"/>
      <c r="AH427" s="629"/>
      <c r="AI427" s="629"/>
      <c r="AJ427" s="629"/>
      <c r="AK427" s="629"/>
      <c r="AL427" s="786"/>
      <c r="AM427" s="605"/>
      <c r="AN427" s="632"/>
    </row>
    <row r="428" spans="1:60" s="585" customFormat="1" ht="12.75" customHeight="1">
      <c r="A428" s="571"/>
      <c r="B428" s="14"/>
      <c r="C428" s="787"/>
      <c r="D428" s="765"/>
      <c r="E428" s="754"/>
      <c r="F428" s="1908"/>
      <c r="G428" s="1908"/>
      <c r="H428" s="1908"/>
      <c r="I428" s="1908"/>
      <c r="J428" s="1908"/>
      <c r="K428" s="1908"/>
      <c r="L428" s="1908"/>
      <c r="M428" s="1908"/>
      <c r="N428" s="1908"/>
      <c r="O428" s="1908"/>
      <c r="P428" s="1908"/>
      <c r="Q428" s="1908"/>
      <c r="R428" s="1908"/>
      <c r="S428" s="1908"/>
      <c r="T428" s="1908"/>
      <c r="U428" s="1908"/>
      <c r="V428" s="1908"/>
      <c r="W428" s="1908"/>
      <c r="X428" s="1908"/>
      <c r="Y428" s="1908"/>
      <c r="Z428" s="1908"/>
      <c r="AA428" s="1908"/>
      <c r="AB428" s="1908"/>
      <c r="AC428" s="1908"/>
      <c r="AD428" s="1908"/>
      <c r="AE428" s="1908"/>
      <c r="AF428" s="629"/>
      <c r="AG428" s="629"/>
      <c r="AH428" s="629"/>
      <c r="AI428" s="629"/>
      <c r="AJ428" s="629"/>
      <c r="AK428" s="629"/>
      <c r="AL428" s="786"/>
      <c r="AM428" s="605"/>
      <c r="AN428" s="632"/>
    </row>
    <row r="429" spans="1:60" s="585" customFormat="1" ht="12.75" customHeight="1">
      <c r="A429" s="571"/>
      <c r="B429" s="14"/>
      <c r="C429" s="787"/>
      <c r="D429" s="765"/>
      <c r="E429" s="754"/>
      <c r="F429" s="1908"/>
      <c r="G429" s="1908"/>
      <c r="H429" s="1908"/>
      <c r="I429" s="1908"/>
      <c r="J429" s="1908"/>
      <c r="K429" s="1908"/>
      <c r="L429" s="1908"/>
      <c r="M429" s="1908"/>
      <c r="N429" s="1908"/>
      <c r="O429" s="1908"/>
      <c r="P429" s="1908"/>
      <c r="Q429" s="1908"/>
      <c r="R429" s="1908"/>
      <c r="S429" s="1908"/>
      <c r="T429" s="1908"/>
      <c r="U429" s="1908"/>
      <c r="V429" s="1908"/>
      <c r="W429" s="1908"/>
      <c r="X429" s="1908"/>
      <c r="Y429" s="1908"/>
      <c r="Z429" s="1908"/>
      <c r="AA429" s="1908"/>
      <c r="AB429" s="1908"/>
      <c r="AC429" s="1908"/>
      <c r="AD429" s="1908"/>
      <c r="AE429" s="1908"/>
      <c r="AF429" s="629"/>
      <c r="AG429" s="629"/>
      <c r="AH429" s="629"/>
      <c r="AI429" s="629"/>
      <c r="AJ429" s="629"/>
      <c r="AK429" s="629"/>
      <c r="AL429" s="786"/>
      <c r="AM429" s="605"/>
      <c r="AN429" s="632"/>
    </row>
    <row r="430" spans="1:60" s="585" customFormat="1" ht="17.25" customHeight="1">
      <c r="A430" s="571"/>
      <c r="B430" s="14"/>
      <c r="C430" s="787"/>
      <c r="D430" s="765"/>
      <c r="E430" s="754"/>
      <c r="F430" s="1908"/>
      <c r="G430" s="1908"/>
      <c r="H430" s="1908"/>
      <c r="I430" s="1908"/>
      <c r="J430" s="1908"/>
      <c r="K430" s="1908"/>
      <c r="L430" s="1908"/>
      <c r="M430" s="1908"/>
      <c r="N430" s="1908"/>
      <c r="O430" s="1908"/>
      <c r="P430" s="1908"/>
      <c r="Q430" s="1908"/>
      <c r="R430" s="1908"/>
      <c r="S430" s="1908"/>
      <c r="T430" s="1908"/>
      <c r="U430" s="1908"/>
      <c r="V430" s="1908"/>
      <c r="W430" s="1908"/>
      <c r="X430" s="1908"/>
      <c r="Y430" s="1908"/>
      <c r="Z430" s="1908"/>
      <c r="AA430" s="1908"/>
      <c r="AB430" s="1908"/>
      <c r="AC430" s="1908"/>
      <c r="AD430" s="1908"/>
      <c r="AE430" s="1908"/>
      <c r="AL430" s="767"/>
      <c r="AM430" s="605"/>
      <c r="AN430" s="632"/>
    </row>
    <row r="431" spans="1:60" s="585" customFormat="1" ht="12.75" customHeight="1">
      <c r="A431" s="571"/>
      <c r="B431" s="14"/>
      <c r="C431" s="1917" t="s">
        <v>601</v>
      </c>
      <c r="D431" s="1918"/>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6" t="s">
        <v>1640</v>
      </c>
      <c r="AG431" s="1976"/>
      <c r="AH431" s="1976"/>
      <c r="AI431" s="1976"/>
      <c r="AJ431" s="1976"/>
      <c r="AK431" s="1976"/>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7" t="s">
        <v>1667</v>
      </c>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L437" s="767"/>
      <c r="AM437" s="605"/>
      <c r="AN437" s="632"/>
      <c r="AO437" s="585" t="s">
        <v>1670</v>
      </c>
      <c r="AP437" s="585">
        <v>5</v>
      </c>
      <c r="AQ437" s="571"/>
    </row>
    <row r="438" spans="1:54" s="585" customFormat="1" ht="12.75" customHeight="1">
      <c r="A438" s="571"/>
      <c r="B438" s="14"/>
      <c r="C438" s="1917" t="s">
        <v>601</v>
      </c>
      <c r="D438" s="1918"/>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6" t="s">
        <v>1640</v>
      </c>
      <c r="AG438" s="1976"/>
      <c r="AH438" s="1976"/>
      <c r="AI438" s="1976"/>
      <c r="AJ438" s="1976"/>
      <c r="AK438" s="1976"/>
      <c r="AL438" s="2006"/>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1" t="s">
        <v>601</v>
      </c>
      <c r="D442" s="2032"/>
      <c r="E442" s="750" t="s">
        <v>1676</v>
      </c>
      <c r="F442" s="1907" t="s">
        <v>1677</v>
      </c>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2002" t="s">
        <v>1640</v>
      </c>
      <c r="AG442" s="2002"/>
      <c r="AH442" s="2002"/>
      <c r="AI442" s="2002"/>
      <c r="AJ442" s="2002"/>
      <c r="AK442" s="2002"/>
      <c r="AL442" s="2003"/>
      <c r="AM442" s="605"/>
      <c r="AN442" s="789"/>
      <c r="AO442" s="585" t="s">
        <v>1678</v>
      </c>
      <c r="AP442" s="585">
        <v>1</v>
      </c>
    </row>
    <row r="443" spans="1:54" s="585" customFormat="1" ht="12.75" customHeight="1">
      <c r="A443" s="571"/>
      <c r="B443" s="14"/>
      <c r="C443" s="787"/>
      <c r="D443" s="765"/>
      <c r="E443" s="754"/>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7" t="s">
        <v>601</v>
      </c>
      <c r="D446" s="1918"/>
      <c r="E446" s="750" t="s">
        <v>1682</v>
      </c>
      <c r="F446" s="1907" t="s">
        <v>1683</v>
      </c>
      <c r="G446" s="1907"/>
      <c r="H446" s="1907"/>
      <c r="I446" s="1907"/>
      <c r="J446" s="1907"/>
      <c r="K446" s="1907"/>
      <c r="L446" s="1907"/>
      <c r="M446" s="1907"/>
      <c r="N446" s="1907"/>
      <c r="O446" s="1907"/>
      <c r="P446" s="1907"/>
      <c r="Q446" s="1907"/>
      <c r="R446" s="1907"/>
      <c r="S446" s="1907"/>
      <c r="T446" s="1907"/>
      <c r="U446" s="1907"/>
      <c r="V446" s="1907"/>
      <c r="W446" s="1907"/>
      <c r="X446" s="1907"/>
      <c r="Y446" s="1907"/>
      <c r="Z446" s="1907"/>
      <c r="AA446" s="1907"/>
      <c r="AB446" s="1907"/>
      <c r="AC446" s="1907"/>
      <c r="AD446" s="1907"/>
      <c r="AE446" s="1907"/>
      <c r="AF446" s="2002" t="s">
        <v>1640</v>
      </c>
      <c r="AG446" s="2002"/>
      <c r="AH446" s="2002"/>
      <c r="AI446" s="2002"/>
      <c r="AJ446" s="2002"/>
      <c r="AK446" s="2002"/>
      <c r="AL446" s="200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08"/>
      <c r="G447" s="1908"/>
      <c r="H447" s="1908"/>
      <c r="I447" s="1908"/>
      <c r="J447" s="1908"/>
      <c r="K447" s="1908"/>
      <c r="L447" s="1908"/>
      <c r="M447" s="1908"/>
      <c r="N447" s="1908"/>
      <c r="O447" s="1908"/>
      <c r="P447" s="1908"/>
      <c r="Q447" s="1908"/>
      <c r="R447" s="1908"/>
      <c r="S447" s="1908"/>
      <c r="T447" s="1908"/>
      <c r="U447" s="1908"/>
      <c r="V447" s="1908"/>
      <c r="W447" s="1908"/>
      <c r="X447" s="1908"/>
      <c r="Y447" s="1908"/>
      <c r="Z447" s="1908"/>
      <c r="AA447" s="1908"/>
      <c r="AB447" s="1908"/>
      <c r="AC447" s="1908"/>
      <c r="AD447" s="1908"/>
      <c r="AE447" s="190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8"/>
      <c r="G448" s="1908"/>
      <c r="H448" s="1908"/>
      <c r="I448" s="1908"/>
      <c r="J448" s="1908"/>
      <c r="K448" s="1908"/>
      <c r="L448" s="1908"/>
      <c r="M448" s="1908"/>
      <c r="N448" s="1908"/>
      <c r="O448" s="1908"/>
      <c r="P448" s="1908"/>
      <c r="Q448" s="1908"/>
      <c r="R448" s="1908"/>
      <c r="S448" s="1908"/>
      <c r="T448" s="1908"/>
      <c r="U448" s="1908"/>
      <c r="V448" s="1908"/>
      <c r="W448" s="1908"/>
      <c r="X448" s="1908"/>
      <c r="Y448" s="1908"/>
      <c r="Z448" s="1908"/>
      <c r="AA448" s="1908"/>
      <c r="AB448" s="1908"/>
      <c r="AC448" s="1908"/>
      <c r="AD448" s="1908"/>
      <c r="AE448" s="190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7" t="s">
        <v>1686</v>
      </c>
      <c r="G451" s="1907"/>
      <c r="H451" s="1907"/>
      <c r="I451" s="1907"/>
      <c r="J451" s="1907"/>
      <c r="K451" s="1907"/>
      <c r="L451" s="1907"/>
      <c r="M451" s="1907"/>
      <c r="N451" s="1907"/>
      <c r="O451" s="1907"/>
      <c r="P451" s="1907"/>
      <c r="Q451" s="1907"/>
      <c r="R451" s="1907"/>
      <c r="S451" s="1907"/>
      <c r="T451" s="1907"/>
      <c r="U451" s="1907"/>
      <c r="V451" s="1907"/>
      <c r="W451" s="1907"/>
      <c r="X451" s="1907"/>
      <c r="Y451" s="1907"/>
      <c r="Z451" s="1907"/>
      <c r="AA451" s="1907"/>
      <c r="AB451" s="1907"/>
      <c r="AC451" s="1907"/>
      <c r="AD451" s="1907"/>
      <c r="AE451" s="1907"/>
      <c r="AF451" s="1907"/>
      <c r="AG451" s="779"/>
      <c r="AH451" s="749"/>
      <c r="AI451" s="749"/>
      <c r="AJ451" s="749"/>
      <c r="AK451" s="749"/>
      <c r="AL451" s="780"/>
      <c r="AM451" s="605"/>
      <c r="AN451" s="632"/>
    </row>
    <row r="452" spans="1:49" s="585" customFormat="1" ht="12.75" customHeight="1">
      <c r="A452" s="571"/>
      <c r="B452" s="14"/>
      <c r="C452" s="766"/>
      <c r="D452" s="14"/>
      <c r="E452" s="726"/>
      <c r="F452" s="1908"/>
      <c r="G452" s="1908"/>
      <c r="H452" s="1908"/>
      <c r="I452" s="1908"/>
      <c r="J452" s="1908"/>
      <c r="K452" s="1908"/>
      <c r="L452" s="1908"/>
      <c r="M452" s="1908"/>
      <c r="N452" s="1908"/>
      <c r="O452" s="1908"/>
      <c r="P452" s="1908"/>
      <c r="Q452" s="1908"/>
      <c r="R452" s="1908"/>
      <c r="S452" s="1908"/>
      <c r="T452" s="1908"/>
      <c r="U452" s="1908"/>
      <c r="V452" s="1908"/>
      <c r="W452" s="1908"/>
      <c r="X452" s="1908"/>
      <c r="Y452" s="1908"/>
      <c r="Z452" s="1908"/>
      <c r="AA452" s="1908"/>
      <c r="AB452" s="1908"/>
      <c r="AC452" s="1908"/>
      <c r="AD452" s="1908"/>
      <c r="AE452" s="1908"/>
      <c r="AF452" s="1908"/>
      <c r="AL452" s="767"/>
      <c r="AM452" s="605"/>
      <c r="AN452" s="632"/>
    </row>
    <row r="453" spans="1:49" s="585" customFormat="1" ht="12.75" customHeight="1">
      <c r="A453" s="571"/>
      <c r="B453" s="14"/>
      <c r="C453" s="774"/>
      <c r="F453" s="1908"/>
      <c r="G453" s="1908"/>
      <c r="H453" s="1908"/>
      <c r="I453" s="1908"/>
      <c r="J453" s="1908"/>
      <c r="K453" s="1908"/>
      <c r="L453" s="1908"/>
      <c r="M453" s="1908"/>
      <c r="N453" s="1908"/>
      <c r="O453" s="1908"/>
      <c r="P453" s="1908"/>
      <c r="Q453" s="1908"/>
      <c r="R453" s="1908"/>
      <c r="S453" s="1908"/>
      <c r="T453" s="1908"/>
      <c r="U453" s="1908"/>
      <c r="V453" s="1908"/>
      <c r="W453" s="1908"/>
      <c r="X453" s="1908"/>
      <c r="Y453" s="1908"/>
      <c r="Z453" s="1908"/>
      <c r="AA453" s="1908"/>
      <c r="AB453" s="1908"/>
      <c r="AC453" s="1908"/>
      <c r="AD453" s="1908"/>
      <c r="AE453" s="1908"/>
      <c r="AF453" s="1908"/>
      <c r="AL453" s="767"/>
      <c r="AM453" s="605"/>
      <c r="AN453" s="632"/>
    </row>
    <row r="454" spans="1:49" s="585" customFormat="1" ht="12.75" customHeight="1">
      <c r="A454" s="571"/>
      <c r="B454" s="14"/>
      <c r="C454" s="774"/>
      <c r="F454" s="1908"/>
      <c r="G454" s="1908"/>
      <c r="H454" s="1908"/>
      <c r="I454" s="1908"/>
      <c r="J454" s="1908"/>
      <c r="K454" s="1908"/>
      <c r="L454" s="1908"/>
      <c r="M454" s="1908"/>
      <c r="N454" s="1908"/>
      <c r="O454" s="1908"/>
      <c r="P454" s="1908"/>
      <c r="Q454" s="1908"/>
      <c r="R454" s="1908"/>
      <c r="S454" s="1908"/>
      <c r="T454" s="1908"/>
      <c r="U454" s="1908"/>
      <c r="V454" s="1908"/>
      <c r="W454" s="1908"/>
      <c r="X454" s="1908"/>
      <c r="Y454" s="1908"/>
      <c r="Z454" s="1908"/>
      <c r="AA454" s="1908"/>
      <c r="AB454" s="1908"/>
      <c r="AC454" s="1908"/>
      <c r="AD454" s="1908"/>
      <c r="AE454" s="1908"/>
      <c r="AF454" s="1908"/>
      <c r="AL454" s="767"/>
      <c r="AM454" s="605"/>
      <c r="AN454" s="632"/>
    </row>
    <row r="455" spans="1:49" s="585" customFormat="1" ht="12.75" customHeight="1">
      <c r="A455" s="571"/>
      <c r="B455" s="14"/>
      <c r="C455" s="1917" t="s">
        <v>601</v>
      </c>
      <c r="D455" s="1918"/>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6" t="s">
        <v>1640</v>
      </c>
      <c r="AG455" s="1906"/>
      <c r="AH455" s="1906"/>
      <c r="AI455" s="1906"/>
      <c r="AJ455" s="1906"/>
      <c r="AK455" s="1906"/>
      <c r="AL455" s="19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3">
        <f>IF(Application!D213="N/A",AS347,AS349)</f>
        <v>10</v>
      </c>
      <c r="AL458" s="1904"/>
      <c r="AM458" s="190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6" t="s">
        <v>1690</v>
      </c>
      <c r="AF461" s="1906"/>
      <c r="AG461" s="1906"/>
      <c r="AH461" s="1906"/>
      <c r="AI461" s="1906"/>
      <c r="AJ461" s="1906"/>
      <c r="AK461" s="1906"/>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3" t="s">
        <v>601</v>
      </c>
      <c r="D467" s="1984"/>
      <c r="E467" s="797" t="s">
        <v>517</v>
      </c>
      <c r="F467" s="2004" t="s">
        <v>1696</v>
      </c>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5"/>
      <c r="G468" s="2005"/>
      <c r="H468" s="2005"/>
      <c r="I468" s="2005"/>
      <c r="J468" s="2005"/>
      <c r="K468" s="2005"/>
      <c r="L468" s="2005"/>
      <c r="M468" s="2005"/>
      <c r="N468" s="2005"/>
      <c r="O468" s="2005"/>
      <c r="P468" s="2005"/>
      <c r="Q468" s="2005"/>
      <c r="R468" s="2005"/>
      <c r="S468" s="2005"/>
      <c r="T468" s="2005"/>
      <c r="U468" s="2005"/>
      <c r="V468" s="2005"/>
      <c r="W468" s="2005"/>
      <c r="X468" s="2005"/>
      <c r="Y468" s="2005"/>
      <c r="Z468" s="2005"/>
      <c r="AA468" s="2005"/>
      <c r="AB468" s="2005"/>
      <c r="AC468" s="2005"/>
      <c r="AD468" s="2005"/>
      <c r="AE468" s="2005"/>
      <c r="AG468" s="586"/>
      <c r="AH468" s="586"/>
      <c r="AI468" s="586"/>
      <c r="AJ468" s="586"/>
      <c r="AK468" s="767"/>
      <c r="AN468" s="632"/>
      <c r="AO468" s="585" t="s">
        <v>1678</v>
      </c>
      <c r="AP468" s="585">
        <v>1</v>
      </c>
    </row>
    <row r="469" spans="1:50" s="585" customFormat="1" ht="12.75" hidden="1" customHeight="1">
      <c r="C469" s="800"/>
      <c r="D469" s="762"/>
      <c r="E469" s="801"/>
      <c r="F469" s="1999" t="s">
        <v>601</v>
      </c>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0" t="s">
        <v>555</v>
      </c>
      <c r="D471" s="2001"/>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2" t="s">
        <v>601</v>
      </c>
      <c r="W474" s="1912"/>
      <c r="X474" s="1912"/>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2" t="s">
        <v>601</v>
      </c>
      <c r="W476" s="1912"/>
      <c r="X476" s="1912"/>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2" t="s">
        <v>601</v>
      </c>
      <c r="W481" s="1912"/>
      <c r="X481" s="1912"/>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6"/>
      <c r="E484" s="1986"/>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2" t="s">
        <v>601</v>
      </c>
      <c r="W485" s="1912"/>
      <c r="X485" s="1912"/>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2" t="s">
        <v>601</v>
      </c>
      <c r="W487" s="1912"/>
      <c r="X487" s="1912"/>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3" t="s">
        <v>601</v>
      </c>
      <c r="D490" s="1984"/>
      <c r="E490" s="797" t="s">
        <v>517</v>
      </c>
      <c r="F490" s="2004" t="s">
        <v>1696</v>
      </c>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5"/>
      <c r="G491" s="2005"/>
      <c r="H491" s="2005"/>
      <c r="I491" s="2005"/>
      <c r="J491" s="2005"/>
      <c r="K491" s="2005"/>
      <c r="L491" s="2005"/>
      <c r="M491" s="2005"/>
      <c r="N491" s="2005"/>
      <c r="O491" s="2005"/>
      <c r="P491" s="2005"/>
      <c r="Q491" s="2005"/>
      <c r="R491" s="2005"/>
      <c r="S491" s="2005"/>
      <c r="T491" s="2005"/>
      <c r="U491" s="2005"/>
      <c r="V491" s="2005"/>
      <c r="W491" s="2005"/>
      <c r="X491" s="2005"/>
      <c r="Y491" s="2005"/>
      <c r="Z491" s="2005"/>
      <c r="AA491" s="2005"/>
      <c r="AB491" s="2005"/>
      <c r="AC491" s="2005"/>
      <c r="AD491" s="2005"/>
      <c r="AE491" s="200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1" t="s">
        <v>601</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3" t="s">
        <v>601</v>
      </c>
      <c r="D494" s="1984"/>
      <c r="E494" s="797" t="s">
        <v>770</v>
      </c>
      <c r="F494" s="1992" t="s">
        <v>1718</v>
      </c>
      <c r="G494" s="1992"/>
      <c r="H494" s="1992"/>
      <c r="I494" s="1992"/>
      <c r="J494" s="1992"/>
      <c r="K494" s="1992"/>
      <c r="L494" s="1992"/>
      <c r="M494" s="1992"/>
      <c r="N494" s="1992"/>
      <c r="O494" s="1992"/>
      <c r="P494" s="1992"/>
      <c r="Q494" s="1992"/>
      <c r="R494" s="1992"/>
      <c r="S494" s="1992"/>
      <c r="T494" s="1992"/>
      <c r="U494" s="1992"/>
      <c r="V494" s="1992"/>
      <c r="W494" s="1992"/>
      <c r="X494" s="1992"/>
      <c r="Y494" s="1992"/>
      <c r="Z494" s="1992"/>
      <c r="AA494" s="1992"/>
      <c r="AB494" s="1992"/>
      <c r="AC494" s="1992"/>
      <c r="AD494" s="1992"/>
      <c r="AE494" s="199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3"/>
      <c r="G495" s="1993"/>
      <c r="H495" s="1993"/>
      <c r="I495" s="1993"/>
      <c r="J495" s="1993"/>
      <c r="K495" s="1993"/>
      <c r="L495" s="1993"/>
      <c r="M495" s="1993"/>
      <c r="N495" s="1993"/>
      <c r="O495" s="1993"/>
      <c r="P495" s="1993"/>
      <c r="Q495" s="1993"/>
      <c r="R495" s="1993"/>
      <c r="S495" s="1993"/>
      <c r="T495" s="1993"/>
      <c r="U495" s="1993"/>
      <c r="V495" s="1993"/>
      <c r="W495" s="1993"/>
      <c r="X495" s="1993"/>
      <c r="Y495" s="1993"/>
      <c r="Z495" s="1993"/>
      <c r="AA495" s="1993"/>
      <c r="AB495" s="1993"/>
      <c r="AC495" s="1993"/>
      <c r="AD495" s="1993"/>
      <c r="AE495" s="199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1994" t="s">
        <v>601</v>
      </c>
      <c r="G497" s="1994"/>
      <c r="H497" s="199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1983" t="s">
        <v>601</v>
      </c>
      <c r="D499" s="1984"/>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1985"/>
      <c r="D501" s="1986"/>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1987" t="s">
        <v>601</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8" t="s">
        <v>601</v>
      </c>
      <c r="D504" s="1989"/>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8" t="s">
        <v>601</v>
      </c>
      <c r="D508" s="1989"/>
      <c r="F508" s="831" t="s">
        <v>1726</v>
      </c>
      <c r="G508" s="1908" t="s">
        <v>1727</v>
      </c>
      <c r="H508" s="1908"/>
      <c r="I508" s="1908"/>
      <c r="J508" s="1908"/>
      <c r="K508" s="1908"/>
      <c r="L508" s="1908"/>
      <c r="M508" s="1908"/>
      <c r="N508" s="1908"/>
      <c r="O508" s="1908"/>
      <c r="P508" s="1908"/>
      <c r="Q508" s="1908"/>
      <c r="R508" s="1908"/>
      <c r="S508" s="1908"/>
      <c r="T508" s="1908"/>
      <c r="U508" s="1908"/>
      <c r="V508" s="1908"/>
      <c r="W508" s="1908"/>
      <c r="X508" s="1908"/>
      <c r="Y508" s="1908"/>
      <c r="Z508" s="1908"/>
      <c r="AA508" s="1908"/>
      <c r="AB508" s="1908"/>
      <c r="AC508" s="1908"/>
      <c r="AD508" s="1908"/>
      <c r="AE508" s="1908"/>
      <c r="AF508" s="190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5" t="s">
        <v>601</v>
      </c>
      <c r="D512" s="199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7" t="s">
        <v>601</v>
      </c>
      <c r="G513" s="1997"/>
      <c r="H513" s="1997"/>
      <c r="I513" s="1997"/>
      <c r="J513" s="1997"/>
      <c r="K513" s="1997"/>
      <c r="L513" s="1997"/>
      <c r="M513" s="1997"/>
      <c r="N513" s="1997"/>
      <c r="O513" s="1997"/>
      <c r="P513" s="1997"/>
      <c r="Q513" s="1997"/>
      <c r="R513" s="1997"/>
      <c r="S513" s="1997"/>
      <c r="T513" s="1997"/>
      <c r="U513" s="1997"/>
      <c r="V513" s="1997"/>
      <c r="W513" s="1997"/>
      <c r="X513" s="1997"/>
      <c r="Y513" s="1997"/>
      <c r="Z513" s="1997"/>
      <c r="AA513" s="1997"/>
      <c r="AB513" s="1997"/>
      <c r="AC513" s="1997"/>
      <c r="AD513" s="1997"/>
      <c r="AE513" s="1997"/>
      <c r="AF513" s="199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8"/>
      <c r="G514" s="1998"/>
      <c r="H514" s="1998"/>
      <c r="I514" s="1998"/>
      <c r="J514" s="1998"/>
      <c r="K514" s="1998"/>
      <c r="L514" s="1998"/>
      <c r="M514" s="1998"/>
      <c r="N514" s="1998"/>
      <c r="O514" s="1998"/>
      <c r="P514" s="1998"/>
      <c r="Q514" s="1998"/>
      <c r="R514" s="1998"/>
      <c r="S514" s="1998"/>
      <c r="T514" s="1998"/>
      <c r="U514" s="1998"/>
      <c r="V514" s="1998"/>
      <c r="W514" s="1998"/>
      <c r="X514" s="1998"/>
      <c r="Y514" s="1998"/>
      <c r="Z514" s="1998"/>
      <c r="AA514" s="1998"/>
      <c r="AB514" s="1998"/>
      <c r="AC514" s="1998"/>
      <c r="AD514" s="1998"/>
      <c r="AE514" s="1998"/>
      <c r="AF514" s="199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3">
        <f>SUM(AG468:AG513)</f>
        <v>0</v>
      </c>
      <c r="AL524" s="1904"/>
      <c r="AM524" s="190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9" t="s">
        <v>1739</v>
      </c>
      <c r="AF527" s="1909"/>
      <c r="AG527" s="1909"/>
      <c r="AH527" s="1909"/>
      <c r="AI527" s="1909"/>
      <c r="AJ527" s="1909"/>
      <c r="AK527" s="190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8" t="s">
        <v>555</v>
      </c>
      <c r="D530" s="1918"/>
      <c r="E530" s="586"/>
      <c r="F530" s="1977" t="s">
        <v>1740</v>
      </c>
      <c r="G530" s="1978"/>
      <c r="H530" s="1978"/>
      <c r="I530" s="1978"/>
      <c r="J530" s="1978"/>
      <c r="K530" s="1978"/>
      <c r="L530" s="1978"/>
      <c r="M530" s="1978"/>
      <c r="N530" s="1978"/>
      <c r="O530" s="1978"/>
      <c r="P530" s="1978"/>
      <c r="Q530" s="1978"/>
      <c r="R530" s="1978"/>
      <c r="S530" s="1978"/>
      <c r="T530" s="1978"/>
      <c r="U530" s="1978"/>
      <c r="V530" s="1978"/>
      <c r="W530" s="1978"/>
      <c r="X530" s="1978"/>
      <c r="Y530" s="1978"/>
      <c r="Z530" s="1978"/>
      <c r="AA530" s="1978"/>
      <c r="AB530" s="1978"/>
      <c r="AC530" s="1978"/>
      <c r="AD530" s="1978"/>
      <c r="AE530" s="1978"/>
      <c r="AF530" s="1978"/>
      <c r="AG530" s="1978"/>
      <c r="AH530" s="1978"/>
      <c r="AI530" s="1978"/>
      <c r="AJ530" s="1978"/>
      <c r="AK530" s="1978"/>
      <c r="AL530" s="1979"/>
      <c r="AM530" s="630"/>
      <c r="AN530" s="632"/>
    </row>
    <row r="531" spans="1:49" s="585" customFormat="1" ht="12.75" customHeight="1">
      <c r="A531" s="574"/>
      <c r="B531" s="574"/>
      <c r="C531" s="586"/>
      <c r="D531" s="586"/>
      <c r="E531" s="586"/>
      <c r="F531" s="1980"/>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1981"/>
      <c r="AH531" s="1981"/>
      <c r="AI531" s="1981"/>
      <c r="AJ531" s="1981"/>
      <c r="AK531" s="1981"/>
      <c r="AL531" s="198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8" t="s">
        <v>601</v>
      </c>
      <c r="D533" s="1918"/>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5" t="s">
        <v>1742</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630"/>
      <c r="AN534" s="632"/>
      <c r="AS534" s="906"/>
      <c r="AT534" s="906"/>
      <c r="AU534" s="906"/>
      <c r="AV534" s="906"/>
      <c r="AW534" s="906"/>
    </row>
    <row r="535" spans="1:49" s="585" customFormat="1" ht="12.75" customHeight="1">
      <c r="B535" s="842"/>
      <c r="C535" s="842"/>
      <c r="D535" s="842"/>
      <c r="E535" s="84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5" t="s">
        <v>1743</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849"/>
      <c r="AM537" s="630"/>
      <c r="AN537" s="632"/>
    </row>
    <row r="538" spans="1:49" s="585" customFormat="1" ht="12.75" customHeight="1">
      <c r="B538" s="842"/>
      <c r="C538" s="842"/>
      <c r="D538" s="842"/>
      <c r="E538" s="84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0">
        <f>Application!AJ961</f>
        <v>92757520</v>
      </c>
      <c r="AQ539" s="1890"/>
      <c r="AR539" s="189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0">
        <f>'Sources and Uses Budget'!S107+'Sources and Uses Budget'!T107</f>
        <v>109758820</v>
      </c>
      <c r="AG540" s="1900"/>
      <c r="AH540" s="1900"/>
      <c r="AI540" s="1900"/>
      <c r="AJ540" s="190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1">
        <f>IFERROR(AP548,0)</f>
        <v>213342296</v>
      </c>
      <c r="AG541" s="1901"/>
      <c r="AH541" s="1901"/>
      <c r="AI541" s="1901"/>
      <c r="AJ541" s="1901"/>
      <c r="AK541" s="630"/>
      <c r="AL541" s="630"/>
      <c r="AM541" s="630"/>
      <c r="AN541" s="632"/>
      <c r="AP541" s="1890">
        <f>Application!AJ1010</f>
        <v>30609981.600000001</v>
      </c>
      <c r="AQ541" s="1890"/>
      <c r="AR541" s="18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2">
        <f>IFERROR(ROUNDDOWN(IF(C533="YES",((1-(AF540/AF541))*2),(1-(AF540/AF541))),2),0)</f>
        <v>0.48</v>
      </c>
      <c r="AG542" s="1902"/>
      <c r="AH542" s="1902"/>
      <c r="AI542" s="1902"/>
      <c r="AJ542" s="1902"/>
      <c r="AK542" s="630"/>
      <c r="AL542" s="630"/>
      <c r="AM542" s="630"/>
      <c r="AN542" s="632"/>
      <c r="AP542" s="1891">
        <f>Application!AJ1014</f>
        <v>68640564.799999997</v>
      </c>
      <c r="AQ542" s="1891"/>
      <c r="AR542" s="189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0">
        <f>IF(((AP541+AP542)/AP539)&gt;0.8,0.8,((AP541+AP542)/AP539))</f>
        <v>0.8</v>
      </c>
      <c r="AQ543" s="1910"/>
      <c r="AR543" s="1910"/>
    </row>
    <row r="544" spans="1:49" s="585" customFormat="1" ht="12.75" customHeight="1">
      <c r="A544" s="659"/>
      <c r="B544" s="1956" t="s">
        <v>2431</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630"/>
      <c r="AL544" s="630"/>
      <c r="AM544" s="630"/>
      <c r="AN544" s="632"/>
    </row>
    <row r="545" spans="1:44" s="585" customFormat="1" ht="12.75" customHeight="1">
      <c r="A545" s="65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630"/>
      <c r="AL545" s="630"/>
      <c r="AM545" s="630"/>
      <c r="AN545" s="632"/>
      <c r="AP545" s="1890">
        <f>AP546-AP541-AP542</f>
        <v>139136280</v>
      </c>
      <c r="AQ545" s="1911"/>
      <c r="AR545" s="1911"/>
    </row>
    <row r="546" spans="1:44" s="585" customFormat="1" ht="12.75" customHeight="1">
      <c r="A546" s="65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630"/>
      <c r="AL546" s="630"/>
      <c r="AM546" s="630"/>
      <c r="AN546" s="632"/>
      <c r="AP546" s="1890">
        <f>Application!AJ1018</f>
        <v>238386826.39999998</v>
      </c>
      <c r="AQ546" s="1890"/>
      <c r="AR546" s="18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5">
        <f>IFERROR(IF(AND(C530="N/A",C533="N/A"),0,IF(AF542=0,0,IF((AF542*100)&gt;12,12,(AF542*100)))),0)</f>
        <v>12</v>
      </c>
      <c r="AL548" s="1965"/>
      <c r="AM548" s="1966"/>
      <c r="AN548" s="632"/>
      <c r="AP548" s="1879">
        <f>AP545+(AP539*AP543)</f>
        <v>213342296</v>
      </c>
      <c r="AQ548" s="1880"/>
      <c r="AR548" s="188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9" t="s">
        <v>1488</v>
      </c>
      <c r="AF551" s="1909"/>
      <c r="AG551" s="1909"/>
      <c r="AH551" s="1909"/>
      <c r="AI551" s="1909"/>
      <c r="AJ551" s="1909"/>
      <c r="AK551" s="190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6" t="s">
        <v>2422</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677"/>
      <c r="AL553" s="608"/>
      <c r="AM553" s="638"/>
      <c r="AN553" s="632"/>
    </row>
    <row r="554" spans="1:44" s="585" customFormat="1" ht="12.75" customHeight="1">
      <c r="A554" s="63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677"/>
      <c r="AL554" s="608"/>
      <c r="AM554" s="638"/>
      <c r="AN554" s="632"/>
    </row>
    <row r="555" spans="1:44" s="585" customFormat="1" ht="12.75" customHeight="1">
      <c r="A555" s="63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677"/>
      <c r="AL555" s="608"/>
      <c r="AM555" s="638"/>
      <c r="AN555" s="632"/>
    </row>
    <row r="556" spans="1:44" s="585" customFormat="1" ht="12.75" customHeight="1">
      <c r="A556" s="63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677"/>
      <c r="AL556" s="608"/>
      <c r="AM556" s="638"/>
      <c r="AN556" s="632"/>
    </row>
    <row r="557" spans="1:44" s="585" customFormat="1" ht="12.75" customHeight="1">
      <c r="A557" s="63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677"/>
      <c r="AL557" s="608"/>
      <c r="AM557" s="638"/>
      <c r="AN557" s="632"/>
    </row>
    <row r="558" spans="1:44" s="585" customFormat="1" ht="12.75" customHeight="1">
      <c r="A558" s="63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677"/>
      <c r="AL558" s="608"/>
      <c r="AM558" s="638"/>
      <c r="AN558" s="632"/>
    </row>
    <row r="559" spans="1:44" s="585" customFormat="1" ht="12.75" customHeight="1">
      <c r="A559" s="63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677"/>
      <c r="AL559" s="608"/>
      <c r="AM559" s="638"/>
      <c r="AN559" s="632"/>
    </row>
    <row r="560" spans="1:44" ht="12.75" customHeight="1">
      <c r="A560" s="63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677"/>
      <c r="AL560" s="608"/>
      <c r="AM560" s="638"/>
    </row>
    <row r="561" spans="1:42" s="58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6" t="s">
        <v>1512</v>
      </c>
      <c r="AG567" s="1976"/>
      <c r="AH567" s="1976"/>
      <c r="AI567" s="1976"/>
      <c r="AJ567" s="1976"/>
      <c r="AK567" s="1976"/>
      <c r="AL567" s="197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6" t="s">
        <v>1570</v>
      </c>
      <c r="AG574" s="1976"/>
      <c r="AH574" s="1976"/>
      <c r="AI574" s="1976"/>
      <c r="AJ574" s="1976"/>
      <c r="AK574" s="1976"/>
      <c r="AL574" s="197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6" t="s">
        <v>1552</v>
      </c>
      <c r="AG580" s="1976"/>
      <c r="AH580" s="1976"/>
      <c r="AI580" s="1976"/>
      <c r="AJ580" s="1976"/>
      <c r="AK580" s="1976"/>
      <c r="AL580" s="197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6" t="s">
        <v>1573</v>
      </c>
      <c r="AG586" s="1976"/>
      <c r="AH586" s="1976"/>
      <c r="AI586" s="1976"/>
      <c r="AJ586" s="1976"/>
      <c r="AK586" s="1976"/>
      <c r="AL586" s="197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4" t="s">
        <v>1328</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6" t="s">
        <v>1526</v>
      </c>
      <c r="AG592" s="1976"/>
      <c r="AH592" s="1976"/>
      <c r="AI592" s="1976"/>
      <c r="AJ592" s="1976"/>
      <c r="AK592" s="1976"/>
      <c r="AL592" s="197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0" t="s">
        <v>698</v>
      </c>
      <c r="I595" s="192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3" t="s">
        <v>601</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1" t="s">
        <v>601</v>
      </c>
      <c r="C605" s="2011"/>
      <c r="D605" s="677"/>
      <c r="E605" s="1896" t="s">
        <v>1577</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677"/>
      <c r="AI605" s="677"/>
      <c r="AJ605" s="677"/>
      <c r="AK605" s="677"/>
      <c r="AL605" s="677"/>
      <c r="AN605" s="632"/>
    </row>
    <row r="606" spans="2:47" s="585" customFormat="1" ht="12.75" customHeight="1">
      <c r="B606" s="571"/>
      <c r="C606" s="970"/>
      <c r="D606" s="67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677"/>
      <c r="AI606" s="677"/>
      <c r="AJ606" s="677"/>
      <c r="AK606" s="677"/>
      <c r="AL606" s="677"/>
      <c r="AN606" s="632"/>
    </row>
    <row r="607" spans="2:47" s="585" customFormat="1" ht="12.75" customHeight="1">
      <c r="B607" s="571"/>
      <c r="C607" s="970"/>
      <c r="D607" s="67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677"/>
      <c r="AI607" s="677"/>
      <c r="AJ607" s="677"/>
      <c r="AK607" s="677"/>
      <c r="AL607" s="677"/>
      <c r="AN607" s="632"/>
    </row>
    <row r="608" spans="2:47" s="585" customFormat="1" ht="12.75" customHeight="1">
      <c r="B608" s="571"/>
      <c r="C608" s="970"/>
      <c r="D608" s="67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3">
        <f>VLOOKUP($H$595,$AO$575:$AP$580,2,FALSE)+VLOOKUP($I$603,$AO$602:$AP$604,2,FALSE)</f>
        <v>7</v>
      </c>
      <c r="AK610" s="190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2" t="s">
        <v>1956</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4"/>
      <c r="AF614" s="1976" t="s">
        <v>1526</v>
      </c>
      <c r="AG614" s="1976"/>
      <c r="AH614" s="1976"/>
      <c r="AI614" s="1976"/>
      <c r="AJ614" s="1976"/>
      <c r="AK614" s="1976"/>
      <c r="AL614" s="1976"/>
      <c r="AM614" s="585"/>
      <c r="AN614" s="713"/>
    </row>
    <row r="615" spans="1:42" s="585" customFormat="1" ht="12.75" customHeight="1">
      <c r="A615" s="714"/>
      <c r="B615" s="571"/>
      <c r="C615" s="970"/>
      <c r="D615" s="698"/>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1"/>
      <c r="AF615" s="571"/>
      <c r="AG615" s="571"/>
      <c r="AH615" s="571"/>
      <c r="AI615" s="571"/>
      <c r="AJ615" s="571"/>
      <c r="AK615" s="571"/>
      <c r="AL615" s="571"/>
      <c r="AN615" s="632"/>
    </row>
    <row r="616" spans="1:42" s="585" customFormat="1" ht="12.75" customHeight="1">
      <c r="B616" s="571"/>
      <c r="C616" s="968"/>
      <c r="D616" s="698"/>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1"/>
      <c r="AF616" s="571"/>
      <c r="AG616" s="571"/>
      <c r="AH616" s="571"/>
      <c r="AI616" s="571"/>
      <c r="AJ616" s="571"/>
      <c r="AK616" s="571"/>
      <c r="AL616" s="571"/>
      <c r="AN616" s="632"/>
    </row>
    <row r="617" spans="1:42" s="585" customFormat="1" ht="12.75" customHeight="1">
      <c r="B617" s="571"/>
      <c r="C617" s="968"/>
      <c r="D617" s="698"/>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1"/>
      <c r="AF617" s="571"/>
      <c r="AG617" s="571"/>
      <c r="AH617" s="571"/>
      <c r="AI617" s="571"/>
      <c r="AJ617" s="571"/>
      <c r="AK617" s="571"/>
      <c r="AL617" s="571"/>
      <c r="AN617" s="632"/>
    </row>
    <row r="618" spans="1:42" s="585" customFormat="1" ht="12.75" customHeight="1">
      <c r="B618" s="571"/>
      <c r="C618" s="968"/>
      <c r="D618" s="698"/>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1"/>
      <c r="AF618" s="571"/>
      <c r="AG618" s="571"/>
      <c r="AH618" s="571"/>
      <c r="AI618" s="571"/>
      <c r="AJ618" s="571"/>
      <c r="AK618" s="571"/>
      <c r="AL618" s="571"/>
      <c r="AN618" s="632"/>
    </row>
    <row r="619" spans="1:42" s="585" customFormat="1" ht="12.75" customHeight="1">
      <c r="B619" s="571"/>
      <c r="C619" s="968"/>
      <c r="D619" s="698"/>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1"/>
      <c r="AF619" s="571"/>
      <c r="AG619" s="571"/>
      <c r="AH619" s="571"/>
      <c r="AI619" s="571"/>
      <c r="AJ619" s="571"/>
      <c r="AK619" s="571"/>
      <c r="AL619" s="571"/>
      <c r="AN619" s="632"/>
    </row>
    <row r="620" spans="1:42" s="585" customFormat="1" ht="12.75" customHeight="1">
      <c r="A620" s="672"/>
      <c r="B620" s="651"/>
      <c r="C620" s="977"/>
      <c r="D620" s="698"/>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1"/>
      <c r="AF620" s="651"/>
      <c r="AG620" s="651"/>
      <c r="AH620" s="651"/>
      <c r="AI620" s="651"/>
      <c r="AJ620" s="651"/>
      <c r="AK620" s="571"/>
      <c r="AL620" s="571"/>
      <c r="AN620" s="632"/>
    </row>
    <row r="621" spans="1:42" s="585" customFormat="1" ht="12.75" customHeight="1">
      <c r="B621" s="651"/>
      <c r="C621" s="977"/>
      <c r="D621" s="698"/>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1" t="s">
        <v>601</v>
      </c>
      <c r="Y623" s="201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6" t="s">
        <v>1582</v>
      </c>
      <c r="AG625" s="1976"/>
      <c r="AH625" s="1976"/>
      <c r="AI625" s="1976"/>
      <c r="AJ625" s="1976"/>
      <c r="AK625" s="1976"/>
      <c r="AL625" s="197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0" t="s">
        <v>698</v>
      </c>
      <c r="I627" s="192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3">
        <f>VLOOKUP($H$627,$AO$594:$AP$596,2,FALSE)</f>
        <v>3</v>
      </c>
      <c r="AK629" s="1905"/>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6" t="s">
        <v>2526</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571"/>
      <c r="AF633" s="1976" t="s">
        <v>1526</v>
      </c>
      <c r="AG633" s="1976"/>
      <c r="AH633" s="1976"/>
      <c r="AI633" s="1976"/>
      <c r="AJ633" s="1976"/>
      <c r="AK633" s="1976"/>
      <c r="AL633" s="1976"/>
      <c r="AN633" s="632"/>
    </row>
    <row r="634" spans="1:42" s="585" customFormat="1" ht="12.75" customHeight="1">
      <c r="B634" s="571"/>
      <c r="C634" s="571"/>
      <c r="D634" s="69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6" t="s">
        <v>1582</v>
      </c>
      <c r="AG636" s="1976"/>
      <c r="AH636" s="1976"/>
      <c r="AI636" s="1976"/>
      <c r="AJ636" s="1976"/>
      <c r="AK636" s="1976"/>
      <c r="AL636" s="197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0" t="s">
        <v>601</v>
      </c>
      <c r="I639" s="192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3">
        <f>VLOOKUP(H639,AT594:AU596,2,FALSE)</f>
        <v>0</v>
      </c>
      <c r="AK641" s="190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6" t="s">
        <v>1592</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571"/>
      <c r="AE646" s="571"/>
      <c r="AF646" s="1976" t="s">
        <v>1552</v>
      </c>
      <c r="AG646" s="1976"/>
      <c r="AH646" s="1976"/>
      <c r="AI646" s="1976"/>
      <c r="AJ646" s="1976"/>
      <c r="AK646" s="1976"/>
      <c r="AL646" s="1976"/>
      <c r="AN646" s="632"/>
    </row>
    <row r="647" spans="1:42" s="585" customFormat="1" ht="12.75" customHeight="1">
      <c r="B647" s="571"/>
      <c r="C647" s="574"/>
      <c r="D647" s="57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571"/>
      <c r="AE647" s="571"/>
      <c r="AF647" s="571"/>
      <c r="AG647" s="571"/>
      <c r="AH647" s="571"/>
      <c r="AI647" s="571"/>
      <c r="AJ647" s="571"/>
      <c r="AK647" s="571"/>
      <c r="AL647" s="571"/>
      <c r="AN647" s="632"/>
    </row>
    <row r="648" spans="1:42" s="585" customFormat="1" ht="12.75" customHeight="1">
      <c r="B648" s="571"/>
      <c r="C648" s="574"/>
      <c r="D648" s="69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6" t="s">
        <v>1593</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571"/>
      <c r="AE650" s="571"/>
      <c r="AF650" s="1976" t="s">
        <v>1573</v>
      </c>
      <c r="AG650" s="1976"/>
      <c r="AH650" s="1976"/>
      <c r="AI650" s="1976"/>
      <c r="AJ650" s="1976"/>
      <c r="AK650" s="1976"/>
      <c r="AL650" s="1976"/>
      <c r="AN650" s="632"/>
    </row>
    <row r="651" spans="1:42" s="585" customFormat="1" ht="12.75" customHeight="1">
      <c r="B651" s="571"/>
      <c r="C651" s="574"/>
      <c r="D651" s="57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571"/>
      <c r="AE651" s="571"/>
      <c r="AF651" s="571"/>
      <c r="AG651" s="571"/>
      <c r="AH651" s="571"/>
      <c r="AI651" s="571"/>
      <c r="AJ651" s="571"/>
      <c r="AK651" s="571"/>
      <c r="AL651" s="571"/>
      <c r="AN651" s="632"/>
    </row>
    <row r="652" spans="1:42" s="585" customFormat="1" ht="15" customHeight="1">
      <c r="B652" s="571"/>
      <c r="C652" s="574"/>
      <c r="D652" s="69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6" t="s">
        <v>1594</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571"/>
      <c r="AE654" s="571"/>
      <c r="AF654" s="1976" t="s">
        <v>1526</v>
      </c>
      <c r="AG654" s="1976"/>
      <c r="AH654" s="1976"/>
      <c r="AI654" s="1976"/>
      <c r="AJ654" s="1976"/>
      <c r="AK654" s="1976"/>
      <c r="AL654" s="1976"/>
      <c r="AN654" s="632"/>
    </row>
    <row r="655" spans="1:42" s="585" customFormat="1" ht="12.75" customHeight="1">
      <c r="B655" s="571"/>
      <c r="C655" s="968"/>
      <c r="D655" s="57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571"/>
      <c r="AE655" s="1976"/>
      <c r="AF655" s="1976"/>
      <c r="AG655" s="1976"/>
      <c r="AH655" s="1976"/>
      <c r="AI655" s="1976"/>
      <c r="AJ655" s="1976"/>
      <c r="AK655" s="1976"/>
      <c r="AL655" s="629"/>
      <c r="AN655" s="632"/>
      <c r="AO655" s="585" t="s">
        <v>601</v>
      </c>
      <c r="AP655" s="708">
        <v>0</v>
      </c>
    </row>
    <row r="656" spans="1:42" s="585" customFormat="1" ht="12.75" customHeight="1">
      <c r="A656" s="714"/>
      <c r="B656" s="571"/>
      <c r="C656" s="571"/>
      <c r="D656" s="69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6" t="s">
        <v>1595</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571"/>
      <c r="AE658" s="571"/>
      <c r="AF658" s="1976" t="s">
        <v>1573</v>
      </c>
      <c r="AG658" s="1976"/>
      <c r="AH658" s="1976"/>
      <c r="AI658" s="1976"/>
      <c r="AJ658" s="1976"/>
      <c r="AK658" s="1976"/>
      <c r="AL658" s="1976"/>
      <c r="AN658" s="632"/>
    </row>
    <row r="659" spans="1:42" s="585" customFormat="1" ht="12.75" customHeight="1">
      <c r="A659" s="705"/>
      <c r="B659" s="571"/>
      <c r="C659" s="984"/>
      <c r="D659" s="69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6" t="s">
        <v>1596</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571"/>
      <c r="AE662" s="571"/>
      <c r="AF662" s="1976" t="s">
        <v>1526</v>
      </c>
      <c r="AG662" s="1976"/>
      <c r="AH662" s="1976"/>
      <c r="AI662" s="1976"/>
      <c r="AJ662" s="1976"/>
      <c r="AK662" s="1976"/>
      <c r="AL662" s="1976"/>
      <c r="AM662" s="631"/>
      <c r="AN662" s="632"/>
    </row>
    <row r="663" spans="1:42" s="585" customFormat="1" ht="12.75" customHeight="1">
      <c r="B663" s="571"/>
      <c r="C663" s="968"/>
      <c r="D663" s="69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571"/>
      <c r="AE663" s="571"/>
      <c r="AF663" s="571"/>
      <c r="AG663" s="571"/>
      <c r="AH663" s="571"/>
      <c r="AI663" s="571"/>
      <c r="AJ663" s="571"/>
      <c r="AK663" s="571"/>
      <c r="AL663" s="571"/>
      <c r="AM663" s="631"/>
      <c r="AN663" s="632"/>
    </row>
    <row r="664" spans="1:42" s="585" customFormat="1" ht="12.75" customHeight="1">
      <c r="B664" s="571"/>
      <c r="C664" s="968"/>
      <c r="D664" s="69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6" t="s">
        <v>1597</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571"/>
      <c r="AE666" s="571"/>
      <c r="AF666" s="1976" t="s">
        <v>1582</v>
      </c>
      <c r="AG666" s="1976"/>
      <c r="AH666" s="1976"/>
      <c r="AI666" s="1976"/>
      <c r="AJ666" s="1976"/>
      <c r="AK666" s="1976"/>
      <c r="AL666" s="1976"/>
      <c r="AM666" s="631"/>
      <c r="AN666" s="632"/>
    </row>
    <row r="667" spans="1:42" s="585" customFormat="1" ht="12.75" customHeight="1">
      <c r="A667" s="714"/>
      <c r="B667" s="571"/>
      <c r="C667" s="968"/>
      <c r="D667" s="69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6" t="s">
        <v>1598</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571"/>
      <c r="AE670" s="571"/>
      <c r="AF670" s="1976" t="s">
        <v>1599</v>
      </c>
      <c r="AG670" s="1976"/>
      <c r="AH670" s="1976"/>
      <c r="AI670" s="1976"/>
      <c r="AJ670" s="1976"/>
      <c r="AK670" s="1976"/>
      <c r="AL670" s="1976"/>
      <c r="AM670" s="631"/>
      <c r="AN670" s="632"/>
      <c r="AO670" s="646" t="s">
        <v>698</v>
      </c>
      <c r="AP670" s="585">
        <v>3</v>
      </c>
    </row>
    <row r="671" spans="1:42" s="585" customFormat="1" ht="12.75" customHeight="1">
      <c r="A671" s="714"/>
      <c r="B671" s="571"/>
      <c r="C671" s="968"/>
      <c r="D671" s="69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0" t="s">
        <v>698</v>
      </c>
      <c r="I674" s="192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3">
        <f>VLOOKUP($H$674,$AO$622:$AP$629,2,FALSE)</f>
        <v>5</v>
      </c>
      <c r="AK676" s="190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6" t="s">
        <v>2563</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571"/>
      <c r="AD680" s="571"/>
      <c r="AE680" s="571"/>
      <c r="AF680" s="1976" t="s">
        <v>1526</v>
      </c>
      <c r="AG680" s="1976"/>
      <c r="AH680" s="1976"/>
      <c r="AI680" s="1976"/>
      <c r="AJ680" s="1976"/>
      <c r="AK680" s="1976"/>
      <c r="AL680" s="1976"/>
      <c r="AN680" s="632"/>
    </row>
    <row r="681" spans="1:42" s="585" customFormat="1" ht="12.75" customHeight="1">
      <c r="B681" s="571"/>
      <c r="C681" s="977"/>
      <c r="D681" s="69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571"/>
      <c r="AD681" s="571"/>
      <c r="AE681" s="651"/>
      <c r="AF681" s="571"/>
      <c r="AG681" s="571"/>
      <c r="AH681" s="571"/>
      <c r="AI681" s="571"/>
      <c r="AJ681" s="571"/>
      <c r="AK681" s="571"/>
      <c r="AL681" s="571"/>
      <c r="AN681" s="632"/>
      <c r="AO681" s="1911"/>
      <c r="AP681" s="1911"/>
    </row>
    <row r="682" spans="1:42" s="585" customFormat="1" ht="12.75" customHeight="1">
      <c r="B682" s="571"/>
      <c r="C682" s="977"/>
      <c r="D682" s="69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571"/>
      <c r="AD682" s="571"/>
      <c r="AE682" s="651"/>
      <c r="AF682" s="651"/>
      <c r="AG682" s="651"/>
      <c r="AH682" s="651"/>
      <c r="AI682" s="651"/>
      <c r="AJ682" s="651"/>
      <c r="AK682" s="651"/>
      <c r="AL682" s="651"/>
      <c r="AN682" s="632"/>
    </row>
    <row r="683" spans="1:42" s="585" customFormat="1" ht="28.5" customHeight="1">
      <c r="B683" s="571"/>
      <c r="C683" s="977"/>
      <c r="D683" s="69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6" t="s">
        <v>2564</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571"/>
      <c r="AD685" s="571"/>
      <c r="AE685" s="571"/>
      <c r="AF685" s="1976" t="s">
        <v>1582</v>
      </c>
      <c r="AG685" s="1976"/>
      <c r="AH685" s="1976"/>
      <c r="AI685" s="1976"/>
      <c r="AJ685" s="1976"/>
      <c r="AK685" s="1976"/>
      <c r="AL685" s="1976"/>
      <c r="AN685" s="632"/>
      <c r="AO685" s="646" t="s">
        <v>519</v>
      </c>
      <c r="AP685" s="585">
        <v>1</v>
      </c>
    </row>
    <row r="686" spans="1:42" s="585" customFormat="1" ht="12" customHeight="1">
      <c r="B686" s="571"/>
      <c r="C686" s="968"/>
      <c r="D686" s="57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571"/>
      <c r="AD686" s="571"/>
      <c r="AE686" s="651"/>
      <c r="AF686" s="571"/>
      <c r="AG686" s="571"/>
      <c r="AH686" s="571"/>
      <c r="AI686" s="571"/>
      <c r="AJ686" s="571"/>
      <c r="AK686" s="571"/>
      <c r="AL686" s="571"/>
      <c r="AN686" s="632"/>
    </row>
    <row r="687" spans="1:42" s="585" customFormat="1" ht="12" customHeight="1">
      <c r="B687" s="571"/>
      <c r="C687" s="968"/>
      <c r="D687" s="57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6" t="s">
        <v>1955</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0" t="s">
        <v>698</v>
      </c>
      <c r="I694" s="192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3">
        <f>VLOOKUP($H$694,$AO$641:$AP$643,2,FALSE)</f>
        <v>3</v>
      </c>
      <c r="AK696" s="1905"/>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9" t="s">
        <v>1957</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76" t="s">
        <v>1526</v>
      </c>
      <c r="AG700" s="1976"/>
      <c r="AH700" s="1976"/>
      <c r="AI700" s="1976"/>
      <c r="AJ700" s="1976"/>
      <c r="AK700" s="1976"/>
      <c r="AL700" s="1976"/>
      <c r="AM700" s="585"/>
      <c r="AN700" s="719"/>
      <c r="AP700" s="605" t="s">
        <v>1606</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10" t="s">
        <v>1609</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76" t="s">
        <v>1582</v>
      </c>
      <c r="AG704" s="1976"/>
      <c r="AH704" s="1976"/>
      <c r="AI704" s="1976"/>
      <c r="AJ704" s="1976"/>
      <c r="AK704" s="1976"/>
      <c r="AL704" s="1976"/>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1920" t="s">
        <v>601</v>
      </c>
      <c r="I708" s="192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3">
        <f>VLOOKUP($H$708,$AO$641:$AP$643,2,FALSE)</f>
        <v>0</v>
      </c>
      <c r="AK710" s="1905"/>
      <c r="AL710" s="630"/>
      <c r="AM710" s="585"/>
      <c r="AN710" s="719"/>
      <c r="AP710" s="1903"/>
      <c r="AQ710" s="190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6" t="s">
        <v>1958</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571"/>
      <c r="AD714" s="571"/>
      <c r="AE714" s="571"/>
      <c r="AF714" s="1976" t="s">
        <v>1526</v>
      </c>
      <c r="AG714" s="1976"/>
      <c r="AH714" s="1976"/>
      <c r="AI714" s="1976"/>
      <c r="AJ714" s="1976"/>
      <c r="AK714" s="1976"/>
      <c r="AL714" s="1976"/>
      <c r="AM714" s="585"/>
      <c r="AN714" s="719"/>
      <c r="AT714" s="14"/>
      <c r="AU714" s="14"/>
      <c r="AV714" s="14"/>
      <c r="AW714" s="14"/>
      <c r="AX714" s="14"/>
      <c r="AY714" s="14"/>
      <c r="AZ714" s="14"/>
    </row>
    <row r="715" spans="1:52" s="605" customFormat="1">
      <c r="A715" s="585"/>
      <c r="B715" s="571"/>
      <c r="C715" s="970"/>
      <c r="D715" s="69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6" t="s">
        <v>1613</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571"/>
      <c r="AD717" s="571"/>
      <c r="AE717" s="571"/>
      <c r="AF717" s="1976" t="s">
        <v>1582</v>
      </c>
      <c r="AG717" s="1976"/>
      <c r="AH717" s="1976"/>
      <c r="AI717" s="1976"/>
      <c r="AJ717" s="1976"/>
      <c r="AK717" s="1976"/>
      <c r="AL717" s="1976"/>
      <c r="AM717" s="585"/>
      <c r="AN717" s="719"/>
      <c r="AT717" s="14"/>
      <c r="AU717" s="14"/>
      <c r="AV717" s="14"/>
      <c r="AW717" s="14"/>
      <c r="AX717" s="14"/>
      <c r="AY717" s="14"/>
      <c r="AZ717" s="14"/>
    </row>
    <row r="718" spans="1:52" s="605" customFormat="1">
      <c r="A718" s="585"/>
      <c r="B718" s="571"/>
      <c r="C718" s="970"/>
      <c r="D718" s="57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0" t="s">
        <v>601</v>
      </c>
      <c r="I720" s="192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3">
        <f>VLOOKUP($H$720,$AO$655:$AP$657,2,FALSE)</f>
        <v>0</v>
      </c>
      <c r="AK722" s="190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6" t="s">
        <v>1616</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571"/>
      <c r="AD726" s="571"/>
      <c r="AE726" s="571"/>
      <c r="AF726" s="1976" t="s">
        <v>1526</v>
      </c>
      <c r="AG726" s="1976"/>
      <c r="AH726" s="1976"/>
      <c r="AI726" s="1976"/>
      <c r="AJ726" s="1976"/>
      <c r="AK726" s="1976"/>
      <c r="AL726" s="1976"/>
      <c r="AM726" s="585"/>
      <c r="AN726" s="719"/>
      <c r="AT726" s="14"/>
      <c r="AU726" s="14"/>
      <c r="AV726" s="14"/>
      <c r="AW726" s="14"/>
      <c r="AX726" s="14"/>
      <c r="AY726" s="14"/>
      <c r="AZ726" s="14"/>
    </row>
    <row r="727" spans="1:81" s="605" customFormat="1">
      <c r="A727" s="585"/>
      <c r="B727" s="571"/>
      <c r="C727" s="968"/>
      <c r="D727" s="69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6" t="s">
        <v>1617</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610"/>
      <c r="AC731" s="571"/>
      <c r="AD731" s="571"/>
      <c r="AE731" s="571"/>
      <c r="AF731" s="1976" t="s">
        <v>1582</v>
      </c>
      <c r="AG731" s="1976"/>
      <c r="AH731" s="1976"/>
      <c r="AI731" s="1976"/>
      <c r="AJ731" s="1976"/>
      <c r="AK731" s="1976"/>
      <c r="AL731" s="1976"/>
      <c r="AM731" s="585"/>
      <c r="AN731" s="719"/>
      <c r="AO731" s="30"/>
      <c r="AP731" s="14"/>
    </row>
    <row r="732" spans="1:81" s="605" customFormat="1">
      <c r="A732" s="585"/>
      <c r="B732" s="571"/>
      <c r="C732" s="968"/>
      <c r="D732" s="69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0" t="s">
        <v>519</v>
      </c>
      <c r="I736" s="192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3">
        <f>VLOOKUP($H$736,$AO$669:$AP$671,2,FALSE)</f>
        <v>2</v>
      </c>
      <c r="AK738" s="190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6" t="s">
        <v>1619</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571"/>
      <c r="AD742" s="571"/>
      <c r="AE742" s="571"/>
      <c r="AF742" s="1976" t="s">
        <v>1582</v>
      </c>
      <c r="AG742" s="1976"/>
      <c r="AH742" s="1976"/>
      <c r="AI742" s="1976"/>
      <c r="AJ742" s="1976"/>
      <c r="AK742" s="1976"/>
      <c r="AL742" s="197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6" t="s">
        <v>1620</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571"/>
      <c r="AD745" s="571"/>
      <c r="AE745" s="571"/>
      <c r="AF745" s="1976" t="s">
        <v>1599</v>
      </c>
      <c r="AG745" s="1976"/>
      <c r="AH745" s="1976"/>
      <c r="AI745" s="1976"/>
      <c r="AJ745" s="1976"/>
      <c r="AK745" s="1976"/>
      <c r="AL745" s="197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0" t="s">
        <v>698</v>
      </c>
      <c r="I748" s="192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3">
        <f>VLOOKUP($H$748,$AO$683:$AP$685,2,FALSE)</f>
        <v>2</v>
      </c>
      <c r="AK750" s="190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1896" t="s">
        <v>1954</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571"/>
      <c r="AF754" s="1976" t="s">
        <v>1582</v>
      </c>
      <c r="AG754" s="1976"/>
      <c r="AH754" s="1976"/>
      <c r="AI754" s="1976"/>
      <c r="AJ754" s="1976"/>
      <c r="AK754" s="1976"/>
      <c r="AL754" s="1976"/>
      <c r="AM754" s="648"/>
      <c r="AN754" s="719"/>
    </row>
    <row r="755" spans="1:81" s="605" customFormat="1" ht="13.65" customHeight="1">
      <c r="A755" s="585"/>
      <c r="B755" s="651"/>
      <c r="C755" s="977"/>
      <c r="D755" s="69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571"/>
      <c r="AF755" s="629"/>
      <c r="AG755" s="629"/>
      <c r="AH755" s="629"/>
      <c r="AI755" s="629"/>
      <c r="AJ755" s="629"/>
      <c r="AK755" s="629"/>
      <c r="AL755" s="629"/>
      <c r="AM755" s="648"/>
      <c r="AN755" s="719"/>
    </row>
    <row r="756" spans="1:81" s="605" customFormat="1">
      <c r="A756" s="585"/>
      <c r="B756" s="651"/>
      <c r="C756" s="977"/>
      <c r="D756" s="69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8" t="s">
        <v>1959</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76" t="s">
        <v>1526</v>
      </c>
      <c r="AG759" s="1976"/>
      <c r="AH759" s="1976"/>
      <c r="AI759" s="1976"/>
      <c r="AJ759" s="1976"/>
      <c r="AK759" s="1976"/>
      <c r="AL759" s="1976"/>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0" t="s">
        <v>601</v>
      </c>
      <c r="I764" s="192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3">
        <f>VLOOKUP($H$764,$AP$705:$AQ$707,2,FALSE)</f>
        <v>0</v>
      </c>
      <c r="AK766" s="190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1896" t="s">
        <v>2432</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571"/>
      <c r="AF770" s="1976" t="s">
        <v>1526</v>
      </c>
      <c r="AG770" s="1976"/>
      <c r="AH770" s="1976"/>
      <c r="AI770" s="1976"/>
      <c r="AJ770" s="1976"/>
      <c r="AK770" s="1976"/>
      <c r="AL770" s="1976"/>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0" t="s">
        <v>555</v>
      </c>
      <c r="I775" s="192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3">
        <f>VLOOKUP($H$775,$AO$769:$AP$770,2,FALSE)</f>
        <v>3</v>
      </c>
      <c r="AK777" s="190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3">
        <f>IF(($AJ$610+$AJ$629+$AJ$641+$AJ$676+$AJ$696+$AJ$710+$AJ$722+$AJ$738+$AJ$750+$AJ$766+AJ777)&gt;10,10,($AJ$610+$AJ$629+$AJ$641+$AJ$676+$AJ$696+$AJ$710+$AJ$722+$AJ$738+$AJ$750+$AJ$766+AJ777))</f>
        <v>10</v>
      </c>
      <c r="AL779" s="1904"/>
      <c r="AM779" s="190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7" t="s">
        <v>1747</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6"/>
      <c r="B785" s="1906"/>
      <c r="C785" s="1906"/>
      <c r="D785" s="1906"/>
      <c r="E785" s="1906"/>
      <c r="F785" s="1906"/>
      <c r="G785" s="1906"/>
      <c r="H785" s="1906"/>
      <c r="I785" s="1906"/>
      <c r="J785" s="1906"/>
      <c r="K785" s="1906"/>
      <c r="L785" s="1906"/>
      <c r="M785" s="1906"/>
      <c r="N785" s="1906"/>
      <c r="O785" s="1906"/>
      <c r="P785" s="1906"/>
      <c r="Q785" s="1906"/>
      <c r="R785" s="1906"/>
      <c r="S785" s="1906"/>
      <c r="T785" s="1906"/>
      <c r="U785" s="1906"/>
      <c r="V785" s="1906"/>
      <c r="W785" s="1906"/>
      <c r="X785" s="1906"/>
      <c r="Y785" s="1906"/>
      <c r="Z785" s="1906"/>
      <c r="AA785" s="1906"/>
      <c r="AB785" s="1906"/>
      <c r="AC785" s="1906"/>
      <c r="AD785" s="1906"/>
      <c r="AE785" s="1906"/>
      <c r="AF785" s="1906"/>
      <c r="AG785" s="1906"/>
      <c r="AH785" s="1906"/>
      <c r="AI785" s="1906"/>
      <c r="AJ785" s="1906"/>
      <c r="AK785" s="1906"/>
      <c r="AL785" s="1906"/>
      <c r="AM785" s="1906"/>
      <c r="AP785" s="852"/>
      <c r="AQ785" s="852"/>
    </row>
    <row r="786" spans="1:81">
      <c r="A786" s="1906"/>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0" t="s">
        <v>1748</v>
      </c>
      <c r="U787" s="1971"/>
      <c r="V787" s="1971"/>
      <c r="W787" s="1971"/>
      <c r="X787" s="1971"/>
      <c r="Y787" s="1972"/>
      <c r="Z787" s="1970" t="s">
        <v>1749</v>
      </c>
      <c r="AA787" s="1971"/>
      <c r="AB787" s="1971"/>
      <c r="AC787" s="1971"/>
      <c r="AD787" s="1971"/>
      <c r="AE787" s="1972"/>
      <c r="AF787" s="1970" t="s">
        <v>1750</v>
      </c>
      <c r="AG787" s="1971"/>
      <c r="AH787" s="1971"/>
      <c r="AI787" s="1971"/>
      <c r="AJ787" s="1971"/>
      <c r="AK787" s="19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3"/>
      <c r="U788" s="1974"/>
      <c r="V788" s="1974"/>
      <c r="W788" s="1974"/>
      <c r="X788" s="1974"/>
      <c r="Y788" s="1975"/>
      <c r="Z788" s="1973"/>
      <c r="AA788" s="1974"/>
      <c r="AB788" s="1974"/>
      <c r="AC788" s="1974"/>
      <c r="AD788" s="1974"/>
      <c r="AE788" s="1975"/>
      <c r="AF788" s="1973"/>
      <c r="AG788" s="1974"/>
      <c r="AH788" s="1974"/>
      <c r="AI788" s="1974"/>
      <c r="AJ788" s="1974"/>
      <c r="AK788" s="1975"/>
      <c r="AL788" s="854"/>
      <c r="AM788" s="631"/>
      <c r="AO788" s="852"/>
      <c r="AP788" s="852"/>
      <c r="AQ788" s="852"/>
    </row>
    <row r="789" spans="1:81">
      <c r="A789" s="855" t="s">
        <v>770</v>
      </c>
      <c r="B789" s="1927" t="s">
        <v>1478</v>
      </c>
      <c r="C789" s="1927"/>
      <c r="D789" s="1927"/>
      <c r="E789" s="1927"/>
      <c r="F789" s="1927"/>
      <c r="G789" s="1927"/>
      <c r="H789" s="1927"/>
      <c r="I789" s="1927"/>
      <c r="J789" s="1927"/>
      <c r="K789" s="1927"/>
      <c r="L789" s="1927"/>
      <c r="M789" s="1927"/>
      <c r="N789" s="1927"/>
      <c r="O789" s="1927"/>
      <c r="P789" s="1927"/>
      <c r="Q789" s="1927"/>
      <c r="R789" s="1927"/>
      <c r="S789" s="1928"/>
      <c r="T789" s="1955">
        <f>AK56</f>
        <v>0</v>
      </c>
      <c r="U789" s="1931"/>
      <c r="V789" s="1931"/>
      <c r="W789" s="1931"/>
      <c r="X789" s="1931"/>
      <c r="Y789" s="1932"/>
      <c r="Z789" s="1930">
        <v>20</v>
      </c>
      <c r="AA789" s="1931"/>
      <c r="AB789" s="1931"/>
      <c r="AC789" s="1931"/>
      <c r="AD789" s="1931"/>
      <c r="AE789" s="1932"/>
      <c r="AF789" s="1916">
        <f>IF(T789&gt;Z789,Z789,T789)</f>
        <v>0</v>
      </c>
      <c r="AG789" s="1916"/>
      <c r="AH789" s="1916"/>
      <c r="AI789" s="1916"/>
      <c r="AJ789" s="1916"/>
      <c r="AK789" s="1916"/>
      <c r="AL789" s="854"/>
      <c r="AM789" s="631"/>
      <c r="AO789" s="852"/>
      <c r="AP789" s="852"/>
      <c r="AQ789" s="852"/>
    </row>
    <row r="790" spans="1:81">
      <c r="A790" s="855" t="s">
        <v>1720</v>
      </c>
      <c r="B790" s="1927" t="s">
        <v>1487</v>
      </c>
      <c r="C790" s="1927"/>
      <c r="D790" s="1927"/>
      <c r="E790" s="1927"/>
      <c r="F790" s="1927"/>
      <c r="G790" s="1927"/>
      <c r="H790" s="1927"/>
      <c r="I790" s="1927"/>
      <c r="J790" s="1927"/>
      <c r="K790" s="1927"/>
      <c r="L790" s="1927"/>
      <c r="M790" s="1927"/>
      <c r="N790" s="1927"/>
      <c r="O790" s="1927"/>
      <c r="P790" s="1927"/>
      <c r="Q790" s="1927"/>
      <c r="R790" s="1927"/>
      <c r="S790" s="1928"/>
      <c r="T790" s="1955">
        <f>AK78</f>
        <v>10</v>
      </c>
      <c r="U790" s="1931"/>
      <c r="V790" s="1931"/>
      <c r="W790" s="1931"/>
      <c r="X790" s="1931"/>
      <c r="Y790" s="1932"/>
      <c r="Z790" s="1930">
        <v>10</v>
      </c>
      <c r="AA790" s="1931"/>
      <c r="AB790" s="1931"/>
      <c r="AC790" s="1931"/>
      <c r="AD790" s="1931"/>
      <c r="AE790" s="1932"/>
      <c r="AF790" s="1916">
        <f>IF(T790&gt;Z790,Z790,T790)</f>
        <v>10</v>
      </c>
      <c r="AG790" s="1916"/>
      <c r="AH790" s="1916"/>
      <c r="AI790" s="1916"/>
      <c r="AJ790" s="1916"/>
      <c r="AK790" s="1916"/>
      <c r="AL790" s="854"/>
      <c r="AM790" s="631"/>
      <c r="AO790" s="852"/>
      <c r="AP790" s="852"/>
      <c r="AQ790" s="852"/>
    </row>
    <row r="791" spans="1:81">
      <c r="A791" s="855" t="s">
        <v>1729</v>
      </c>
      <c r="B791" s="1927" t="s">
        <v>1497</v>
      </c>
      <c r="C791" s="1927"/>
      <c r="D791" s="1927"/>
      <c r="E791" s="1927"/>
      <c r="F791" s="1927"/>
      <c r="G791" s="1927"/>
      <c r="H791" s="1927"/>
      <c r="I791" s="1927"/>
      <c r="J791" s="1927"/>
      <c r="K791" s="1927"/>
      <c r="L791" s="1927"/>
      <c r="M791" s="1927"/>
      <c r="N791" s="1927"/>
      <c r="O791" s="1927"/>
      <c r="P791" s="1927"/>
      <c r="Q791" s="1927"/>
      <c r="R791" s="1927"/>
      <c r="S791" s="1928"/>
      <c r="T791" s="1955">
        <f>AK103</f>
        <v>20</v>
      </c>
      <c r="U791" s="1931"/>
      <c r="V791" s="1931"/>
      <c r="W791" s="1931"/>
      <c r="X791" s="1931"/>
      <c r="Y791" s="1932"/>
      <c r="Z791" s="1930">
        <v>20</v>
      </c>
      <c r="AA791" s="1931"/>
      <c r="AB791" s="1931"/>
      <c r="AC791" s="1931"/>
      <c r="AD791" s="1931"/>
      <c r="AE791" s="1932"/>
      <c r="AF791" s="1916">
        <f>IF(T791&gt;Z791,Z791,T791)</f>
        <v>20</v>
      </c>
      <c r="AG791" s="1916"/>
      <c r="AH791" s="1916"/>
      <c r="AI791" s="1916"/>
      <c r="AJ791" s="1916"/>
      <c r="AK791" s="1916"/>
      <c r="AL791" s="854"/>
      <c r="AM791" s="631"/>
      <c r="AO791" s="852"/>
      <c r="AP791" s="852"/>
      <c r="AQ791" s="852"/>
    </row>
    <row r="792" spans="1:81">
      <c r="A792" s="855" t="s">
        <v>1751</v>
      </c>
      <c r="B792" s="1927" t="s">
        <v>1507</v>
      </c>
      <c r="C792" s="1927"/>
      <c r="D792" s="1927"/>
      <c r="E792" s="1927"/>
      <c r="F792" s="1927"/>
      <c r="G792" s="1927"/>
      <c r="H792" s="1927"/>
      <c r="I792" s="1927"/>
      <c r="J792" s="1927"/>
      <c r="K792" s="1927"/>
      <c r="L792" s="1927"/>
      <c r="M792" s="1927"/>
      <c r="N792" s="1927"/>
      <c r="O792" s="1927"/>
      <c r="P792" s="1927"/>
      <c r="Q792" s="1927"/>
      <c r="R792" s="1927"/>
      <c r="S792" s="1928"/>
      <c r="T792" s="1955">
        <f>AK137</f>
        <v>10</v>
      </c>
      <c r="U792" s="1931"/>
      <c r="V792" s="1931"/>
      <c r="W792" s="1931"/>
      <c r="X792" s="1931"/>
      <c r="Y792" s="1932"/>
      <c r="Z792" s="1930">
        <v>10</v>
      </c>
      <c r="AA792" s="1931"/>
      <c r="AB792" s="1931"/>
      <c r="AC792" s="1931"/>
      <c r="AD792" s="1931"/>
      <c r="AE792" s="1932"/>
      <c r="AF792" s="1916">
        <f>IF(T792&gt;Z792,Z792,T792)</f>
        <v>10</v>
      </c>
      <c r="AG792" s="1916"/>
      <c r="AH792" s="1916"/>
      <c r="AI792" s="1916"/>
      <c r="AJ792" s="1916"/>
      <c r="AK792" s="1916"/>
      <c r="AL792" s="854"/>
      <c r="AM792" s="631"/>
      <c r="AO792" s="852"/>
      <c r="AP792" s="852"/>
      <c r="AQ792" s="852"/>
    </row>
    <row r="793" spans="1:81">
      <c r="A793" s="856" t="s">
        <v>1752</v>
      </c>
      <c r="B793" s="1927" t="s">
        <v>1753</v>
      </c>
      <c r="C793" s="1927"/>
      <c r="D793" s="1927"/>
      <c r="E793" s="1927"/>
      <c r="F793" s="1927"/>
      <c r="G793" s="1927"/>
      <c r="H793" s="1927"/>
      <c r="I793" s="1927"/>
      <c r="J793" s="1927"/>
      <c r="K793" s="1927"/>
      <c r="L793" s="1927"/>
      <c r="M793" s="1927"/>
      <c r="N793" s="1927"/>
      <c r="O793" s="1927"/>
      <c r="P793" s="1927"/>
      <c r="Q793" s="1927"/>
      <c r="R793" s="1927"/>
      <c r="S793" s="1928"/>
      <c r="T793" s="1929">
        <f>SUM(T794:Y795)</f>
        <v>10</v>
      </c>
      <c r="U793" s="1929"/>
      <c r="V793" s="1929"/>
      <c r="W793" s="1929"/>
      <c r="X793" s="1929"/>
      <c r="Y793" s="1929"/>
      <c r="Z793" s="1916">
        <v>10</v>
      </c>
      <c r="AA793" s="1916"/>
      <c r="AB793" s="1916"/>
      <c r="AC793" s="1916"/>
      <c r="AD793" s="1916"/>
      <c r="AE793" s="1916"/>
      <c r="AF793" s="1916">
        <f>IF(T793&gt;Z793,Z793,T793)</f>
        <v>10</v>
      </c>
      <c r="AG793" s="1916"/>
      <c r="AH793" s="1916"/>
      <c r="AI793" s="1916"/>
      <c r="AJ793" s="1916"/>
      <c r="AK793" s="1916"/>
      <c r="AL793" s="854"/>
      <c r="AM793" s="631"/>
    </row>
    <row r="794" spans="1:81">
      <c r="A794" s="570"/>
      <c r="B794" s="636"/>
      <c r="C794" s="1933" t="s">
        <v>1754</v>
      </c>
      <c r="D794" s="1933"/>
      <c r="E794" s="1933"/>
      <c r="F794" s="1933"/>
      <c r="G794" s="1933"/>
      <c r="H794" s="1933"/>
      <c r="I794" s="1933"/>
      <c r="J794" s="1933"/>
      <c r="K794" s="1933"/>
      <c r="L794" s="1933"/>
      <c r="M794" s="1933"/>
      <c r="N794" s="1933"/>
      <c r="O794" s="1933"/>
      <c r="P794" s="1933"/>
      <c r="Q794" s="1933"/>
      <c r="R794" s="1933"/>
      <c r="S794" s="1934"/>
      <c r="T794" s="1935">
        <f>AJ155</f>
        <v>7</v>
      </c>
      <c r="U794" s="1935"/>
      <c r="V794" s="1935"/>
      <c r="W794" s="1935"/>
      <c r="X794" s="1935"/>
      <c r="Y794" s="1935"/>
      <c r="Z794" s="1936">
        <v>7</v>
      </c>
      <c r="AA794" s="1936"/>
      <c r="AB794" s="1936"/>
      <c r="AC794" s="1936"/>
      <c r="AD794" s="1936"/>
      <c r="AE794" s="1936"/>
      <c r="AF794" s="1937"/>
      <c r="AG794" s="1937"/>
      <c r="AH794" s="1937"/>
      <c r="AI794" s="1937"/>
      <c r="AJ794" s="1937"/>
      <c r="AK794" s="1937"/>
      <c r="AL794" s="854"/>
      <c r="AM794" s="631"/>
    </row>
    <row r="795" spans="1:81">
      <c r="A795" s="635"/>
      <c r="B795" s="636"/>
      <c r="C795" s="1933" t="s">
        <v>1755</v>
      </c>
      <c r="D795" s="1933"/>
      <c r="E795" s="1933"/>
      <c r="F795" s="1933"/>
      <c r="G795" s="1933"/>
      <c r="H795" s="1933"/>
      <c r="I795" s="1933"/>
      <c r="J795" s="1933"/>
      <c r="K795" s="1933"/>
      <c r="L795" s="1933"/>
      <c r="M795" s="1933"/>
      <c r="N795" s="1933"/>
      <c r="O795" s="1933"/>
      <c r="P795" s="1933"/>
      <c r="Q795" s="1933"/>
      <c r="R795" s="1933"/>
      <c r="S795" s="1934"/>
      <c r="T795" s="1935">
        <f>AJ169</f>
        <v>3</v>
      </c>
      <c r="U795" s="1935"/>
      <c r="V795" s="1935"/>
      <c r="W795" s="1935"/>
      <c r="X795" s="1935"/>
      <c r="Y795" s="1935"/>
      <c r="Z795" s="1936">
        <v>3</v>
      </c>
      <c r="AA795" s="1936"/>
      <c r="AB795" s="1936"/>
      <c r="AC795" s="1936"/>
      <c r="AD795" s="1936"/>
      <c r="AE795" s="1936"/>
      <c r="AF795" s="1937"/>
      <c r="AG795" s="1937"/>
      <c r="AH795" s="1937"/>
      <c r="AI795" s="1937"/>
      <c r="AJ795" s="1937"/>
      <c r="AK795" s="1937"/>
      <c r="AL795" s="854"/>
      <c r="AM795" s="631"/>
      <c r="AO795" s="585"/>
    </row>
    <row r="796" spans="1:81">
      <c r="A796" s="856" t="s">
        <v>1535</v>
      </c>
      <c r="B796" s="1927" t="s">
        <v>1756</v>
      </c>
      <c r="C796" s="1927"/>
      <c r="D796" s="1927"/>
      <c r="E796" s="1927"/>
      <c r="F796" s="1927"/>
      <c r="G796" s="1927"/>
      <c r="H796" s="1927"/>
      <c r="I796" s="1927"/>
      <c r="J796" s="1927"/>
      <c r="K796" s="1927"/>
      <c r="L796" s="1927"/>
      <c r="M796" s="1927"/>
      <c r="N796" s="1927"/>
      <c r="O796" s="1927"/>
      <c r="P796" s="1927"/>
      <c r="Q796" s="1927"/>
      <c r="R796" s="1927"/>
      <c r="S796" s="1928"/>
      <c r="T796" s="1929">
        <f>AK180</f>
        <v>10</v>
      </c>
      <c r="U796" s="1929"/>
      <c r="V796" s="1929"/>
      <c r="W796" s="1929"/>
      <c r="X796" s="1929"/>
      <c r="Y796" s="1929"/>
      <c r="Z796" s="1916">
        <v>10</v>
      </c>
      <c r="AA796" s="1916"/>
      <c r="AB796" s="1916"/>
      <c r="AC796" s="1916"/>
      <c r="AD796" s="1916"/>
      <c r="AE796" s="1916"/>
      <c r="AF796" s="1916">
        <f>IF(T796&gt;Z796,Z796,T796)</f>
        <v>10</v>
      </c>
      <c r="AG796" s="1916"/>
      <c r="AH796" s="1916"/>
      <c r="AI796" s="1916"/>
      <c r="AJ796" s="1916"/>
      <c r="AK796" s="1916"/>
      <c r="AL796" s="854"/>
      <c r="AM796" s="631"/>
    </row>
    <row r="797" spans="1:81">
      <c r="A797" s="855" t="s">
        <v>1544</v>
      </c>
      <c r="B797" s="1927" t="s">
        <v>1545</v>
      </c>
      <c r="C797" s="1927"/>
      <c r="D797" s="1927"/>
      <c r="E797" s="1927"/>
      <c r="F797" s="1927"/>
      <c r="G797" s="1927"/>
      <c r="H797" s="1927"/>
      <c r="I797" s="1927"/>
      <c r="J797" s="1927"/>
      <c r="K797" s="1927"/>
      <c r="L797" s="1927"/>
      <c r="M797" s="1927"/>
      <c r="N797" s="1927"/>
      <c r="O797" s="1927"/>
      <c r="P797" s="1927"/>
      <c r="Q797" s="1927"/>
      <c r="R797" s="1927"/>
      <c r="S797" s="1928"/>
      <c r="T797" s="1929">
        <f>AK262</f>
        <v>8</v>
      </c>
      <c r="U797" s="1929"/>
      <c r="V797" s="1929"/>
      <c r="W797" s="1929"/>
      <c r="X797" s="1929"/>
      <c r="Y797" s="1929"/>
      <c r="Z797" s="1930">
        <v>8</v>
      </c>
      <c r="AA797" s="1931"/>
      <c r="AB797" s="1931"/>
      <c r="AC797" s="1931"/>
      <c r="AD797" s="1931"/>
      <c r="AE797" s="1932"/>
      <c r="AF797" s="1916">
        <f>IF(T797&gt;Z797,Z797,T797)</f>
        <v>8</v>
      </c>
      <c r="AG797" s="1916"/>
      <c r="AH797" s="1916"/>
      <c r="AI797" s="1916"/>
      <c r="AJ797" s="1916"/>
      <c r="AK797" s="1916"/>
      <c r="AL797" s="854"/>
      <c r="AM797" s="631"/>
    </row>
    <row r="798" spans="1:81" s="569" customFormat="1" hidden="1">
      <c r="A798" s="856" t="s">
        <v>599</v>
      </c>
      <c r="B798" s="1927" t="s">
        <v>1757</v>
      </c>
      <c r="C798" s="1927"/>
      <c r="D798" s="1927"/>
      <c r="E798" s="1927"/>
      <c r="F798" s="1927"/>
      <c r="G798" s="1927"/>
      <c r="H798" s="1927"/>
      <c r="I798" s="1927"/>
      <c r="J798" s="1927"/>
      <c r="K798" s="1927"/>
      <c r="L798" s="1927"/>
      <c r="M798" s="1927"/>
      <c r="N798" s="1927"/>
      <c r="O798" s="1927"/>
      <c r="P798" s="1927"/>
      <c r="Q798" s="1927"/>
      <c r="R798" s="1927"/>
      <c r="S798" s="1928"/>
      <c r="T798" s="1929">
        <f>IF(AK524&gt;5,5,AK524)</f>
        <v>0</v>
      </c>
      <c r="U798" s="1929"/>
      <c r="V798" s="1929"/>
      <c r="W798" s="1929"/>
      <c r="X798" s="1929"/>
      <c r="Y798" s="1929"/>
      <c r="Z798" s="1916">
        <v>5</v>
      </c>
      <c r="AA798" s="1916"/>
      <c r="AB798" s="1916"/>
      <c r="AC798" s="1916"/>
      <c r="AD798" s="1916"/>
      <c r="AE798" s="1916"/>
      <c r="AF798" s="1916">
        <f>IF(T798&gt;Z798,5,T798)</f>
        <v>0</v>
      </c>
      <c r="AG798" s="1916"/>
      <c r="AH798" s="1916"/>
      <c r="AI798" s="1916"/>
      <c r="AJ798" s="1916"/>
      <c r="AK798" s="19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7" t="s">
        <v>1758</v>
      </c>
      <c r="C799" s="1927"/>
      <c r="D799" s="1927"/>
      <c r="E799" s="1927"/>
      <c r="F799" s="1927"/>
      <c r="G799" s="1927"/>
      <c r="H799" s="1927"/>
      <c r="I799" s="1927"/>
      <c r="J799" s="1927"/>
      <c r="K799" s="1927"/>
      <c r="L799" s="1927"/>
      <c r="M799" s="1927"/>
      <c r="N799" s="1927"/>
      <c r="O799" s="1927"/>
      <c r="P799" s="1927"/>
      <c r="Q799" s="1927"/>
      <c r="R799" s="1927"/>
      <c r="S799" s="1928"/>
      <c r="T799" s="1929">
        <f>AK274</f>
        <v>10</v>
      </c>
      <c r="U799" s="1929"/>
      <c r="V799" s="1929"/>
      <c r="W799" s="1929"/>
      <c r="X799" s="1929"/>
      <c r="Y799" s="1929"/>
      <c r="Z799" s="1916">
        <v>10</v>
      </c>
      <c r="AA799" s="1916"/>
      <c r="AB799" s="1916"/>
      <c r="AC799" s="1916"/>
      <c r="AD799" s="1916"/>
      <c r="AE799" s="1916"/>
      <c r="AF799" s="1938">
        <f>IF(T799&gt;Z799,Z799,T799)</f>
        <v>10</v>
      </c>
      <c r="AG799" s="1939"/>
      <c r="AH799" s="1939"/>
      <c r="AI799" s="1939"/>
      <c r="AJ799" s="1939"/>
      <c r="AK799" s="194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7" t="s">
        <v>1555</v>
      </c>
      <c r="C800" s="1927"/>
      <c r="D800" s="1927"/>
      <c r="E800" s="1927"/>
      <c r="F800" s="1927"/>
      <c r="G800" s="1927"/>
      <c r="H800" s="1927"/>
      <c r="I800" s="1927"/>
      <c r="J800" s="1927"/>
      <c r="K800" s="1927"/>
      <c r="L800" s="1927"/>
      <c r="M800" s="1927"/>
      <c r="N800" s="1927"/>
      <c r="O800" s="1927"/>
      <c r="P800" s="1927"/>
      <c r="Q800" s="1927"/>
      <c r="R800" s="1927"/>
      <c r="S800" s="1928"/>
      <c r="T800" s="1929">
        <f>AK327</f>
        <v>10</v>
      </c>
      <c r="U800" s="1929"/>
      <c r="V800" s="1929"/>
      <c r="W800" s="1929"/>
      <c r="X800" s="1929"/>
      <c r="Y800" s="1929"/>
      <c r="Z800" s="1938">
        <v>10</v>
      </c>
      <c r="AA800" s="1939"/>
      <c r="AB800" s="1939"/>
      <c r="AC800" s="1939"/>
      <c r="AD800" s="1939"/>
      <c r="AE800" s="1940"/>
      <c r="AF800" s="1938">
        <f>IF(T800&gt;Z800,Z800,T800)</f>
        <v>10</v>
      </c>
      <c r="AG800" s="1939"/>
      <c r="AH800" s="1939"/>
      <c r="AI800" s="1939"/>
      <c r="AJ800" s="1939"/>
      <c r="AK800" s="194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5">
        <f>AK327</f>
        <v>10</v>
      </c>
      <c r="U801" s="1935"/>
      <c r="V801" s="1935"/>
      <c r="W801" s="1935"/>
      <c r="X801" s="1935"/>
      <c r="Y801" s="1935"/>
      <c r="Z801" s="1903">
        <v>20</v>
      </c>
      <c r="AA801" s="1904"/>
      <c r="AB801" s="1904"/>
      <c r="AC801" s="1904"/>
      <c r="AD801" s="1904"/>
      <c r="AE801" s="1905"/>
      <c r="AF801" s="1937"/>
      <c r="AG801" s="1937"/>
      <c r="AH801" s="1937"/>
      <c r="AI801" s="1937"/>
      <c r="AJ801" s="1937"/>
      <c r="AK801" s="193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7" t="s">
        <v>874</v>
      </c>
      <c r="C802" s="1927"/>
      <c r="D802" s="1927"/>
      <c r="E802" s="1927"/>
      <c r="F802" s="1927"/>
      <c r="G802" s="1927"/>
      <c r="H802" s="1927"/>
      <c r="I802" s="1927"/>
      <c r="J802" s="1927"/>
      <c r="K802" s="1927"/>
      <c r="L802" s="1927"/>
      <c r="M802" s="1927"/>
      <c r="N802" s="1927"/>
      <c r="O802" s="1927"/>
      <c r="P802" s="1927"/>
      <c r="Q802" s="1927"/>
      <c r="R802" s="1927"/>
      <c r="S802" s="1928"/>
      <c r="T802" s="1929">
        <f>AK458</f>
        <v>10</v>
      </c>
      <c r="U802" s="1929"/>
      <c r="V802" s="1929"/>
      <c r="W802" s="1929"/>
      <c r="X802" s="1929"/>
      <c r="Y802" s="1929"/>
      <c r="Z802" s="1938">
        <v>10</v>
      </c>
      <c r="AA802" s="1939"/>
      <c r="AB802" s="1939"/>
      <c r="AC802" s="1939"/>
      <c r="AD802" s="1939"/>
      <c r="AE802" s="1940"/>
      <c r="AF802" s="1916">
        <f>IF(T802&gt;Z802,Z802,T802)</f>
        <v>10</v>
      </c>
      <c r="AG802" s="1916"/>
      <c r="AH802" s="1916"/>
      <c r="AI802" s="1916"/>
      <c r="AJ802" s="1916"/>
      <c r="AK802" s="19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7" t="s">
        <v>1738</v>
      </c>
      <c r="C803" s="1927"/>
      <c r="D803" s="1927"/>
      <c r="E803" s="1927"/>
      <c r="F803" s="1927"/>
      <c r="G803" s="1927"/>
      <c r="H803" s="1927"/>
      <c r="I803" s="1927"/>
      <c r="J803" s="1927"/>
      <c r="K803" s="1927"/>
      <c r="L803" s="1927"/>
      <c r="M803" s="1927"/>
      <c r="N803" s="1927"/>
      <c r="O803" s="1927"/>
      <c r="P803" s="1927"/>
      <c r="Q803" s="1927"/>
      <c r="R803" s="1927"/>
      <c r="S803" s="1928"/>
      <c r="T803" s="1929">
        <f>AK548</f>
        <v>12</v>
      </c>
      <c r="U803" s="1929"/>
      <c r="V803" s="1929"/>
      <c r="W803" s="1929"/>
      <c r="X803" s="1929"/>
      <c r="Y803" s="1929"/>
      <c r="Z803" s="1938">
        <v>12</v>
      </c>
      <c r="AA803" s="1939"/>
      <c r="AB803" s="1939"/>
      <c r="AC803" s="1939"/>
      <c r="AD803" s="1939"/>
      <c r="AE803" s="1940"/>
      <c r="AF803" s="1916">
        <f>IF(T803&gt;Z803,Z803,T803)</f>
        <v>12</v>
      </c>
      <c r="AG803" s="1916"/>
      <c r="AH803" s="1916"/>
      <c r="AI803" s="1916"/>
      <c r="AJ803" s="1916"/>
      <c r="AK803" s="19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27" t="s">
        <v>1760</v>
      </c>
      <c r="C804" s="1927"/>
      <c r="D804" s="1927"/>
      <c r="E804" s="1927"/>
      <c r="F804" s="1927"/>
      <c r="G804" s="1927"/>
      <c r="H804" s="1927"/>
      <c r="I804" s="1927"/>
      <c r="J804" s="1927"/>
      <c r="K804" s="1927"/>
      <c r="L804" s="1927"/>
      <c r="M804" s="1927"/>
      <c r="N804" s="1927"/>
      <c r="O804" s="1927"/>
      <c r="P804" s="1927"/>
      <c r="Q804" s="1927"/>
      <c r="R804" s="1927"/>
      <c r="S804" s="1928"/>
      <c r="T804" s="1929">
        <f>AK779</f>
        <v>10</v>
      </c>
      <c r="U804" s="1929"/>
      <c r="V804" s="1929"/>
      <c r="W804" s="1929"/>
      <c r="X804" s="1929"/>
      <c r="Y804" s="1929"/>
      <c r="Z804" s="1938">
        <v>10</v>
      </c>
      <c r="AA804" s="1939"/>
      <c r="AB804" s="1939"/>
      <c r="AC804" s="1939"/>
      <c r="AD804" s="1939"/>
      <c r="AE804" s="1940"/>
      <c r="AF804" s="1916">
        <f>IF(T804&gt;Z804,Z804,T804)</f>
        <v>10</v>
      </c>
      <c r="AG804" s="1916"/>
      <c r="AH804" s="1916"/>
      <c r="AI804" s="1916"/>
      <c r="AJ804" s="1916"/>
      <c r="AK804" s="19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1" t="s">
        <v>1761</v>
      </c>
      <c r="B805" s="1927"/>
      <c r="C805" s="1927"/>
      <c r="D805" s="1927"/>
      <c r="E805" s="1927"/>
      <c r="F805" s="1927"/>
      <c r="G805" s="1927"/>
      <c r="H805" s="1927"/>
      <c r="I805" s="1927"/>
      <c r="J805" s="1927"/>
      <c r="K805" s="1927"/>
      <c r="L805" s="1927"/>
      <c r="M805" s="1927"/>
      <c r="N805" s="1927"/>
      <c r="O805" s="1927"/>
      <c r="P805" s="1927"/>
      <c r="Q805" s="1927"/>
      <c r="R805" s="1927"/>
      <c r="S805" s="1928"/>
      <c r="T805" s="1942"/>
      <c r="U805" s="1942"/>
      <c r="V805" s="1942"/>
      <c r="W805" s="1942"/>
      <c r="X805" s="1942"/>
      <c r="Y805" s="1942"/>
      <c r="Z805" s="1936" t="s">
        <v>1762</v>
      </c>
      <c r="AA805" s="1936"/>
      <c r="AB805" s="1936"/>
      <c r="AC805" s="1936"/>
      <c r="AD805" s="1936"/>
      <c r="AE805" s="1936"/>
      <c r="AF805" s="1938">
        <f>IF(T805&gt;0,T805,0)</f>
        <v>0</v>
      </c>
      <c r="AG805" s="1939"/>
      <c r="AH805" s="1939"/>
      <c r="AI805" s="1939"/>
      <c r="AJ805" s="1939"/>
      <c r="AK805" s="194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43" t="s">
        <v>1763</v>
      </c>
      <c r="B806" s="1944"/>
      <c r="C806" s="1944"/>
      <c r="D806" s="1944"/>
      <c r="E806" s="1944"/>
      <c r="F806" s="1944"/>
      <c r="G806" s="1944"/>
      <c r="H806" s="1944"/>
      <c r="I806" s="1944"/>
      <c r="J806" s="1944"/>
      <c r="K806" s="1944"/>
      <c r="L806" s="1944"/>
      <c r="M806" s="1944"/>
      <c r="N806" s="1944"/>
      <c r="O806" s="1944"/>
      <c r="P806" s="1944"/>
      <c r="Q806" s="1944"/>
      <c r="R806" s="1944"/>
      <c r="S806" s="1944"/>
      <c r="T806" s="1944"/>
      <c r="U806" s="1944"/>
      <c r="V806" s="1944"/>
      <c r="W806" s="1944"/>
      <c r="X806" s="1944"/>
      <c r="Y806" s="1944"/>
      <c r="Z806" s="1944"/>
      <c r="AA806" s="1944"/>
      <c r="AB806" s="1944"/>
      <c r="AC806" s="1944"/>
      <c r="AD806" s="1944"/>
      <c r="AE806" s="1945"/>
      <c r="AF806" s="1949">
        <f>SUM(AF789:AK804)-AF805</f>
        <v>120</v>
      </c>
      <c r="AG806" s="1950"/>
      <c r="AH806" s="1950"/>
      <c r="AI806" s="1950"/>
      <c r="AJ806" s="1950"/>
      <c r="AK806" s="195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46"/>
      <c r="B807" s="1947"/>
      <c r="C807" s="1947"/>
      <c r="D807" s="1947"/>
      <c r="E807" s="1947"/>
      <c r="F807" s="1947"/>
      <c r="G807" s="1947"/>
      <c r="H807" s="1947"/>
      <c r="I807" s="1947"/>
      <c r="J807" s="1947"/>
      <c r="K807" s="1947"/>
      <c r="L807" s="1947"/>
      <c r="M807" s="1947"/>
      <c r="N807" s="1947"/>
      <c r="O807" s="1947"/>
      <c r="P807" s="1947"/>
      <c r="Q807" s="1947"/>
      <c r="R807" s="1947"/>
      <c r="S807" s="1947"/>
      <c r="T807" s="1947"/>
      <c r="U807" s="1947"/>
      <c r="V807" s="1947"/>
      <c r="W807" s="1947"/>
      <c r="X807" s="1947"/>
      <c r="Y807" s="1947"/>
      <c r="Z807" s="1947"/>
      <c r="AA807" s="1947"/>
      <c r="AB807" s="1947"/>
      <c r="AC807" s="1947"/>
      <c r="AD807" s="1947"/>
      <c r="AE807" s="1948"/>
      <c r="AF807" s="1952"/>
      <c r="AG807" s="1953"/>
      <c r="AH807" s="1953"/>
      <c r="AI807" s="1953"/>
      <c r="AJ807" s="1953"/>
      <c r="AK807" s="195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25" t="s">
        <v>1764</v>
      </c>
      <c r="B1" s="2125"/>
      <c r="C1" s="2125"/>
      <c r="D1" s="2125"/>
      <c r="E1" s="2125"/>
      <c r="F1" s="2125"/>
      <c r="G1" s="2125"/>
      <c r="H1" s="2125"/>
      <c r="I1" s="2125"/>
      <c r="J1" s="2125"/>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54555048</v>
      </c>
      <c r="I3" s="1154"/>
    </row>
    <row r="4" spans="1:13" s="1095" customFormat="1" ht="20.100000000000001" customHeight="1">
      <c r="B4" s="1143"/>
      <c r="D4" s="1157"/>
      <c r="F4" s="1141" t="s">
        <v>2387</v>
      </c>
      <c r="G4" s="1140" t="s">
        <v>2386</v>
      </c>
      <c r="H4" s="1142">
        <f>I16</f>
        <v>65092029.377124183</v>
      </c>
      <c r="I4" s="1144"/>
      <c r="K4" s="1099"/>
    </row>
    <row r="5" spans="1:13" s="1095" customFormat="1" ht="20.100000000000001" customHeight="1" thickBot="1">
      <c r="B5" s="1145"/>
      <c r="C5" s="1146"/>
      <c r="D5" s="1158"/>
      <c r="E5" s="1147"/>
      <c r="F5" s="1158" t="s">
        <v>2327</v>
      </c>
      <c r="G5" s="1159"/>
      <c r="H5" s="1155">
        <f>H3/H4</f>
        <v>0.83812178729171283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6" t="s">
        <v>2325</v>
      </c>
      <c r="C8" s="2127"/>
      <c r="D8" s="2127"/>
      <c r="E8" s="2128"/>
      <c r="G8" s="2129" t="s">
        <v>2326</v>
      </c>
      <c r="H8" s="2130"/>
      <c r="I8" s="2131"/>
      <c r="K8" s="1101"/>
    </row>
    <row r="9" spans="1:13" ht="15" customHeight="1">
      <c r="A9" s="1090"/>
      <c r="B9" s="2120" t="s">
        <v>2364</v>
      </c>
      <c r="C9" s="2120"/>
      <c r="D9" s="2120"/>
      <c r="E9" s="1103">
        <f>G31</f>
        <v>7500000</v>
      </c>
      <c r="G9" s="2123" t="s">
        <v>2362</v>
      </c>
      <c r="H9" s="2123"/>
      <c r="I9" s="1104">
        <f>Application!AM550</f>
        <v>63920895</v>
      </c>
      <c r="K9" s="1105"/>
      <c r="M9" s="1106"/>
    </row>
    <row r="10" spans="1:13" ht="15" customHeight="1" thickBot="1">
      <c r="A10" s="1090"/>
      <c r="B10" s="2120" t="s">
        <v>2365</v>
      </c>
      <c r="C10" s="2120"/>
      <c r="D10" s="2120"/>
      <c r="E10" s="1104">
        <f>G40</f>
        <v>31065047.999999996</v>
      </c>
      <c r="G10" s="2123" t="s">
        <v>2328</v>
      </c>
      <c r="H10" s="2123"/>
      <c r="I10" s="1191">
        <f>'Basis &amp; Credits'!AB77</f>
        <v>32921993</v>
      </c>
      <c r="M10" s="1106"/>
    </row>
    <row r="11" spans="1:13" ht="15" customHeight="1">
      <c r="A11" s="1107"/>
      <c r="B11" s="2120" t="s">
        <v>2366</v>
      </c>
      <c r="C11" s="2120"/>
      <c r="D11" s="2120"/>
      <c r="E11" s="1104">
        <f>G49</f>
        <v>200000</v>
      </c>
      <c r="G11" s="2123" t="s">
        <v>2377</v>
      </c>
      <c r="H11" s="2123"/>
      <c r="I11" s="1190">
        <f>I9+I10</f>
        <v>96842888</v>
      </c>
      <c r="M11" s="1106"/>
    </row>
    <row r="12" spans="1:13" ht="15" customHeight="1">
      <c r="A12" s="1093"/>
      <c r="B12" s="2120" t="s">
        <v>2367</v>
      </c>
      <c r="C12" s="2120"/>
      <c r="D12" s="2120"/>
      <c r="E12" s="1104">
        <f>G58</f>
        <v>940000</v>
      </c>
      <c r="G12" s="1192" t="s">
        <v>2402</v>
      </c>
      <c r="H12" s="1193"/>
      <c r="M12" s="1106"/>
    </row>
    <row r="13" spans="1:13" ht="15" customHeight="1">
      <c r="A13" s="1090"/>
      <c r="B13" s="2120" t="s">
        <v>2368</v>
      </c>
      <c r="C13" s="2120"/>
      <c r="D13" s="2120"/>
      <c r="E13" s="1109">
        <f>G83</f>
        <v>10350000</v>
      </c>
      <c r="G13" s="2124" t="s">
        <v>140</v>
      </c>
      <c r="H13" s="2124"/>
      <c r="I13" s="1108">
        <f>15%*(Application!AJ963&gt;0)</f>
        <v>0.15</v>
      </c>
      <c r="M13" s="1106"/>
    </row>
    <row r="14" spans="1:13" ht="15" customHeight="1">
      <c r="A14" s="1090"/>
      <c r="B14" s="2120" t="s">
        <v>2369</v>
      </c>
      <c r="C14" s="2120"/>
      <c r="D14" s="2120"/>
      <c r="E14" s="1104">
        <f>IF(G96&gt;G106,G96,0)</f>
        <v>4500000</v>
      </c>
      <c r="G14" s="1188" t="s">
        <v>2378</v>
      </c>
      <c r="H14" s="1188"/>
      <c r="I14" s="1108">
        <f>IF(Application!AJ997&gt;0,10%,IF(Application!AJ1001&gt;0,5%,0))</f>
        <v>0.05</v>
      </c>
      <c r="M14" s="1106"/>
    </row>
    <row r="15" spans="1:13" ht="15" customHeight="1" thickBot="1">
      <c r="A15" s="1090"/>
      <c r="B15" s="2121" t="s">
        <v>2388</v>
      </c>
      <c r="C15" s="2121"/>
      <c r="D15" s="2121"/>
      <c r="E15" s="1160">
        <f>IF(E14&gt;0,0,G106)</f>
        <v>0</v>
      </c>
      <c r="G15" s="2118" t="s">
        <v>2379</v>
      </c>
      <c r="H15" s="2119"/>
      <c r="I15" s="1162">
        <f>G114</f>
        <v>0.127859477124183</v>
      </c>
      <c r="M15" s="1106"/>
    </row>
    <row r="16" spans="1:13" ht="15" customHeight="1">
      <c r="A16" s="1090"/>
      <c r="B16" s="2122" t="s">
        <v>2324</v>
      </c>
      <c r="C16" s="2122"/>
      <c r="D16" s="2122"/>
      <c r="E16" s="1161">
        <f>SUM(E9:E15)</f>
        <v>54555048</v>
      </c>
      <c r="G16" s="1189" t="s">
        <v>2363</v>
      </c>
      <c r="H16" s="1189"/>
      <c r="I16" s="1163">
        <f>I11-((I11*I13)+(I11*I14)+(I11*I15))</f>
        <v>65092029.377124183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124</v>
      </c>
      <c r="O18" s="1133" t="s">
        <v>592</v>
      </c>
      <c r="P18" s="1088">
        <f>MATCH(Application!T189,Application!BP656:BP713,0)</f>
        <v>41</v>
      </c>
      <c r="S18" s="1110">
        <f>SUM(Cdlac[Population])</f>
        <v>20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6" t="s">
        <v>2381</v>
      </c>
      <c r="D20" s="2116" t="s">
        <v>2382</v>
      </c>
      <c r="E20" s="2116" t="s">
        <v>2383</v>
      </c>
      <c r="F20" s="2116" t="s">
        <v>2384</v>
      </c>
      <c r="G20" s="2116" t="s">
        <v>2380</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1048.8</v>
      </c>
      <c r="Q20" s="1110" cm="1">
        <f t="array" ref="Q20">IF(Cdlac[[#This Row],[Quantity]]&gt;0,INDEX(HudFmrs,$P$18,Cdlac[[#This Row],[Bedrooms]]+1),"")</f>
        <v>2631</v>
      </c>
      <c r="R20" s="1110">
        <f>IF(Cdlac[[#This Row],[Quantity]]&gt;0,MAX(0,Cdlac[[#This Row],[Fair Market Rent]]-Cdlac[[#This Row],[Restricted Rent]]),"")</f>
        <v>1582.2</v>
      </c>
      <c r="S20" s="1088">
        <f>IF(Cdlac[[#This Row],[Quantity]]&gt;0,AND(Application!AK714&lt;&gt;"N/A",Application!AK714&lt;&gt;"")*Cdlac[[#This Row],[Quantity]],"")</f>
        <v>5</v>
      </c>
      <c r="T20" s="1088" t="b">
        <f>AND('Subsidy Contract Calculation'!F4&gt;0,'Subsidy Contract Calculation'!C4="Federal",Cdlac[[#This Row],[Quantity]]&gt;0)</f>
        <v>1</v>
      </c>
    </row>
    <row r="21" spans="1:20" ht="15" customHeight="1">
      <c r="A21" s="1093"/>
      <c r="C21" s="2117"/>
      <c r="D21" s="2117"/>
      <c r="E21" s="2117"/>
      <c r="F21" s="2117"/>
      <c r="G21" s="2117"/>
      <c r="H21" s="1117"/>
      <c r="I21" s="1116"/>
      <c r="L21" s="1088">
        <f>IFERROR(MIN(4,MATCH(Application!B715,UnitSizes,0)-1),"")</f>
        <v>1</v>
      </c>
      <c r="M21" s="1110">
        <f>Application!G715</f>
        <v>14</v>
      </c>
      <c r="N21" s="1118">
        <f>Application!AC715</f>
        <v>0.5</v>
      </c>
      <c r="O21" s="1118">
        <f>IF(Cdlac[[#This Row],[Quantity]]&gt;0,IF(Cdlac[[#This Row],[Federal]],30%,IF($G$36,40%,Cdlac[[#This Row],[iAMI]])),"")</f>
        <v>0.3</v>
      </c>
      <c r="P21" s="1110" cm="1">
        <f t="array" ref="P21">IF(Cdlac[[#This Row],[Quantity]]&gt;0,INDEX(TcacRents,$P$18,Cdlac[[#This Row],[Bedrooms]]+1)*Cdlac[[#This Row],[AMI]],"")</f>
        <v>1048.8</v>
      </c>
      <c r="Q21" s="1110" cm="1">
        <f t="array" ref="Q21">IF(Cdlac[[#This Row],[Quantity]]&gt;0,INDEX(HudFmrs,$P$18,Cdlac[[#This Row],[Bedrooms]]+1),"")</f>
        <v>2631</v>
      </c>
      <c r="R21" s="1110">
        <f>IF(Cdlac[[#This Row],[Quantity]]&gt;0,MAX(0,Cdlac[[#This Row],[Fair Market Rent]]-Cdlac[[#This Row],[Restricted Rent]]),"")</f>
        <v>1582.2</v>
      </c>
      <c r="S21" s="1088">
        <f>IF(Cdlac[[#This Row],[Quantity]]&gt;0,AND(Application!AK715&lt;&gt;"N/A",Application!AK715&lt;&gt;"")*Cdlac[[#This Row],[Quantity]],"")</f>
        <v>14</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19</v>
      </c>
      <c r="N22" s="1118">
        <f>Application!AC716</f>
        <v>0.5</v>
      </c>
      <c r="O22" s="1118">
        <f>IF(Cdlac[[#This Row],[Quantity]]&gt;0,IF(Cdlac[[#This Row],[Federal]],30%,IF($G$36,40%,Cdlac[[#This Row],[iAMI]])),"")</f>
        <v>0.5</v>
      </c>
      <c r="P22" s="1110" cm="1">
        <f t="array" ref="P22">IF(Cdlac[[#This Row],[Quantity]]&gt;0,INDEX(TcacRents,$P$18,Cdlac[[#This Row],[Bedrooms]]+1)*Cdlac[[#This Row],[AMI]],"")</f>
        <v>1748</v>
      </c>
      <c r="Q22" s="1110" cm="1">
        <f t="array" ref="Q22">IF(Cdlac[[#This Row],[Quantity]]&gt;0,INDEX(HudFmrs,$P$18,Cdlac[[#This Row],[Bedrooms]]+1),"")</f>
        <v>2631</v>
      </c>
      <c r="R22" s="1110">
        <f>IF(Cdlac[[#This Row],[Quantity]]&gt;0,MAX(0,Cdlac[[#This Row],[Fair Market Rent]]-Cdlac[[#This Row],[Restricted Rent]]),"")</f>
        <v>883</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52</v>
      </c>
      <c r="F23" s="1119">
        <f>E23</f>
        <v>52</v>
      </c>
      <c r="G23" s="1119">
        <f>D23*F23</f>
        <v>52</v>
      </c>
      <c r="L23" s="1088">
        <f>IFERROR(MIN(4,MATCH(Application!B717,UnitSizes,0)-1),"")</f>
        <v>1</v>
      </c>
      <c r="M23" s="1110">
        <f>Application!G717</f>
        <v>4</v>
      </c>
      <c r="N23" s="1118">
        <f>Application!AC717</f>
        <v>0.6</v>
      </c>
      <c r="O23" s="1118">
        <f>IF(Cdlac[[#This Row],[Quantity]]&gt;0,IF(Cdlac[[#This Row],[Federal]],30%,IF($G$36,40%,Cdlac[[#This Row],[iAMI]])),"")</f>
        <v>0.6</v>
      </c>
      <c r="P23" s="1110" cm="1">
        <f t="array" ref="P23">IF(Cdlac[[#This Row],[Quantity]]&gt;0,INDEX(TcacRents,$P$18,Cdlac[[#This Row],[Bedrooms]]+1)*Cdlac[[#This Row],[AMI]],"")</f>
        <v>2097.6</v>
      </c>
      <c r="Q23" s="1110" cm="1">
        <f t="array" ref="Q23">IF(Cdlac[[#This Row],[Quantity]]&gt;0,INDEX(HudFmrs,$P$18,Cdlac[[#This Row],[Bedrooms]]+1),"")</f>
        <v>2631</v>
      </c>
      <c r="R23" s="1110">
        <f>IF(Cdlac[[#This Row],[Quantity]]&gt;0,MAX(0,Cdlac[[#This Row],[Fair Market Rent]]-Cdlac[[#This Row],[Restricted Rent]]),"")</f>
        <v>533.40000000000009</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40</v>
      </c>
      <c r="F24" s="1122">
        <f>SUM(E24:E26)-SUM(F25:F26)</f>
        <v>40</v>
      </c>
      <c r="G24" s="1119">
        <f>D24*F24</f>
        <v>50</v>
      </c>
      <c r="H24" s="1121"/>
      <c r="I24" s="1121"/>
      <c r="L24" s="1088">
        <f>IFERROR(MIN(4,MATCH(Application!B718,UnitSizes,0)-1),"")</f>
        <v>1</v>
      </c>
      <c r="M24" s="1110">
        <f>Application!G718</f>
        <v>10</v>
      </c>
      <c r="N24" s="1118">
        <f>Application!AC718</f>
        <v>0.7</v>
      </c>
      <c r="O24" s="1118">
        <f>IF(Cdlac[[#This Row],[Quantity]]&gt;0,IF(Cdlac[[#This Row],[Federal]],30%,IF($G$36,40%,Cdlac[[#This Row],[iAMI]])),"")</f>
        <v>0.7</v>
      </c>
      <c r="P24" s="1110" cm="1">
        <f t="array" ref="P24">IF(Cdlac[[#This Row],[Quantity]]&gt;0,INDEX(TcacRents,$P$18,Cdlac[[#This Row],[Bedrooms]]+1)*Cdlac[[#This Row],[AMI]],"")</f>
        <v>2447.1999999999998</v>
      </c>
      <c r="Q24" s="1110" cm="1">
        <f t="array" ref="Q24">IF(Cdlac[[#This Row],[Quantity]]&gt;0,INDEX(HudFmrs,$P$18,Cdlac[[#This Row],[Bedrooms]]+1),"")</f>
        <v>2631</v>
      </c>
      <c r="R24" s="1110">
        <f>IF(Cdlac[[#This Row],[Quantity]]&gt;0,MAX(0,Cdlac[[#This Row],[Fair Market Rent]]-Cdlac[[#This Row],[Restricted Rent]]),"")</f>
        <v>183.80000000000018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32</v>
      </c>
      <c r="F25" s="1122">
        <f>MIN(E25,ROUNDDOWN(E27*30%,0))</f>
        <v>32</v>
      </c>
      <c r="G25" s="1119">
        <f>D25*F25</f>
        <v>48</v>
      </c>
      <c r="H25" s="1121"/>
      <c r="I25" s="1121"/>
      <c r="L25" s="1088">
        <f>IFERROR(MIN(4,MATCH(Application!B719,UnitSizes,0)-1),"")</f>
        <v>2</v>
      </c>
      <c r="M25" s="1110">
        <f>Application!G719</f>
        <v>13</v>
      </c>
      <c r="N25" s="1118">
        <f>Application!AC719</f>
        <v>0.3</v>
      </c>
      <c r="O25" s="1118">
        <f>IF(Cdlac[[#This Row],[Quantity]]&gt;0,IF(Cdlac[[#This Row],[Federal]],30%,IF($G$36,40%,Cdlac[[#This Row],[iAMI]])),"")</f>
        <v>0.3</v>
      </c>
      <c r="P25" s="1110" cm="1">
        <f t="array" ref="P25">IF(Cdlac[[#This Row],[Quantity]]&gt;0,INDEX(TcacRents,$P$18,Cdlac[[#This Row],[Bedrooms]]+1)*Cdlac[[#This Row],[AMI]],"")</f>
        <v>1258.2</v>
      </c>
      <c r="Q25" s="1110" cm="1">
        <f t="array" ref="Q25">IF(Cdlac[[#This Row],[Quantity]]&gt;0,INDEX(HudFmrs,$P$18,Cdlac[[#This Row],[Bedrooms]]+1),"")</f>
        <v>3198</v>
      </c>
      <c r="R25" s="1110">
        <f>IF(Cdlac[[#This Row],[Quantity]]&gt;0,MAX(0,Cdlac[[#This Row],[Fair Market Rent]]-Cdlac[[#This Row],[Restricted Rent]]),"")</f>
        <v>1939.8</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v>
      </c>
      <c r="N26" s="1118">
        <f>Application!AC720</f>
        <v>0.5</v>
      </c>
      <c r="O26" s="1118">
        <f>IF(Cdlac[[#This Row],[Quantity]]&gt;0,IF(Cdlac[[#This Row],[Federal]],30%,IF($G$36,40%,Cdlac[[#This Row],[iAMI]])),"")</f>
        <v>0.3</v>
      </c>
      <c r="P26" s="1110" cm="1">
        <f t="array" ref="P26">IF(Cdlac[[#This Row],[Quantity]]&gt;0,INDEX(TcacRents,$P$18,Cdlac[[#This Row],[Bedrooms]]+1)*Cdlac[[#This Row],[AMI]],"")</f>
        <v>1258.2</v>
      </c>
      <c r="Q26" s="1110" cm="1">
        <f t="array" ref="Q26">IF(Cdlac[[#This Row],[Quantity]]&gt;0,INDEX(HudFmrs,$P$18,Cdlac[[#This Row],[Bedrooms]]+1),"")</f>
        <v>3198</v>
      </c>
      <c r="R26" s="1110">
        <f>IF(Cdlac[[#This Row],[Quantity]]&gt;0,MAX(0,Cdlac[[#This Row],[Fair Market Rent]]-Cdlac[[#This Row],[Restricted Rent]]),"")</f>
        <v>1939.8</v>
      </c>
      <c r="S26" s="1088">
        <f>IF(Cdlac[[#This Row],[Quantity]]&gt;0,AND(Application!AK720&lt;&gt;"N/A",Application!AK720&lt;&gt;"")*Cdlac[[#This Row],[Quantity]],"")</f>
        <v>1</v>
      </c>
      <c r="T26" s="1088" t="b">
        <f>AND('Subsidy Contract Calculation'!F10&gt;0,'Subsidy Contract Calculation'!C10="Federal",Cdlac[[#This Row],[Quantity]]&gt;0)</f>
        <v>1</v>
      </c>
    </row>
    <row r="27" spans="1:20" ht="15" customHeight="1">
      <c r="A27" s="1121"/>
      <c r="C27" s="2132" t="s">
        <v>1765</v>
      </c>
      <c r="D27" s="2133"/>
      <c r="E27" s="1138">
        <f>SUM(E22:E26)</f>
        <v>124</v>
      </c>
      <c r="F27" s="1138">
        <f>SUM(F22:F26)</f>
        <v>124</v>
      </c>
      <c r="G27" s="1139">
        <f>SUMPRODUCT(D22:D26,F22:F26)</f>
        <v>150</v>
      </c>
      <c r="H27" s="1121"/>
      <c r="I27" s="1121"/>
      <c r="L27" s="1088">
        <f>IFERROR(MIN(4,MATCH(Application!B721,UnitSizes,0)-1),"")</f>
        <v>2</v>
      </c>
      <c r="M27" s="1110">
        <f>Application!G721</f>
        <v>6</v>
      </c>
      <c r="N27" s="1118">
        <f>Application!AC721</f>
        <v>0.5</v>
      </c>
      <c r="O27" s="1118">
        <f>IF(Cdlac[[#This Row],[Quantity]]&gt;0,IF(Cdlac[[#This Row],[Federal]],30%,IF($G$36,40%,Cdlac[[#This Row],[iAMI]])),"")</f>
        <v>0.5</v>
      </c>
      <c r="P27" s="1110" cm="1">
        <f t="array" ref="P27">IF(Cdlac[[#This Row],[Quantity]]&gt;0,INDEX(TcacRents,$P$18,Cdlac[[#This Row],[Bedrooms]]+1)*Cdlac[[#This Row],[AMI]],"")</f>
        <v>2097</v>
      </c>
      <c r="Q27" s="1110" cm="1">
        <f t="array" ref="Q27">IF(Cdlac[[#This Row],[Quantity]]&gt;0,INDEX(HudFmrs,$P$18,Cdlac[[#This Row],[Bedrooms]]+1),"")</f>
        <v>3198</v>
      </c>
      <c r="R27" s="1110">
        <f>IF(Cdlac[[#This Row],[Quantity]]&gt;0,MAX(0,Cdlac[[#This Row],[Fair Market Rent]]-Cdlac[[#This Row],[Restricted Rent]]),"")</f>
        <v>1101</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v>
      </c>
      <c r="N28" s="1118">
        <f>Application!AC722</f>
        <v>0.6</v>
      </c>
      <c r="O28" s="1118">
        <f>IF(Cdlac[[#This Row],[Quantity]]&gt;0,IF(Cdlac[[#This Row],[Federal]],30%,IF($G$36,40%,Cdlac[[#This Row],[iAMI]])),"")</f>
        <v>0.6</v>
      </c>
      <c r="P28" s="1110" cm="1">
        <f t="array" ref="P28">IF(Cdlac[[#This Row],[Quantity]]&gt;0,INDEX(TcacRents,$P$18,Cdlac[[#This Row],[Bedrooms]]+1)*Cdlac[[#This Row],[AMI]],"")</f>
        <v>2516.4</v>
      </c>
      <c r="Q28" s="1110" cm="1">
        <f t="array" ref="Q28">IF(Cdlac[[#This Row],[Quantity]]&gt;0,INDEX(HudFmrs,$P$18,Cdlac[[#This Row],[Bedrooms]]+1),"")</f>
        <v>3198</v>
      </c>
      <c r="R28" s="1110">
        <f>IF(Cdlac[[#This Row],[Quantity]]&gt;0,MAX(0,Cdlac[[#This Row],[Fair Market Rent]]-Cdlac[[#This Row],[Restricted Rent]]),"")</f>
        <v>681.59999999999991</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150</v>
      </c>
      <c r="H29" s="1121"/>
      <c r="I29" s="1121"/>
      <c r="L29" s="1088">
        <f>IFERROR(MIN(4,MATCH(Application!B723,UnitSizes,0)-1),"")</f>
        <v>2</v>
      </c>
      <c r="M29" s="1110">
        <f>Application!G723</f>
        <v>15</v>
      </c>
      <c r="N29" s="1118">
        <f>Application!AC723</f>
        <v>0.7</v>
      </c>
      <c r="O29" s="1118">
        <f>IF(Cdlac[[#This Row],[Quantity]]&gt;0,IF(Cdlac[[#This Row],[Federal]],30%,IF($G$36,40%,Cdlac[[#This Row],[iAMI]])),"")</f>
        <v>0.7</v>
      </c>
      <c r="P29" s="1110" cm="1">
        <f t="array" ref="P29">IF(Cdlac[[#This Row],[Quantity]]&gt;0,INDEX(TcacRents,$P$18,Cdlac[[#This Row],[Bedrooms]]+1)*Cdlac[[#This Row],[AMI]],"")</f>
        <v>2935.7999999999997</v>
      </c>
      <c r="Q29" s="1110" cm="1">
        <f t="array" ref="Q29">IF(Cdlac[[#This Row],[Quantity]]&gt;0,INDEX(HudFmrs,$P$18,Cdlac[[#This Row],[Bedrooms]]+1),"")</f>
        <v>3198</v>
      </c>
      <c r="R29" s="1110">
        <f>IF(Cdlac[[#This Row],[Quantity]]&gt;0,MAX(0,Cdlac[[#This Row],[Fair Market Rent]]-Cdlac[[#This Row],[Restricted Rent]]),"")</f>
        <v>262.20000000000027</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f>IFERROR(MIN(4,MATCH(Application!B724,UnitSizes,0)-1),"")</f>
        <v>3</v>
      </c>
      <c r="M30" s="1110">
        <f>Application!G724</f>
        <v>29</v>
      </c>
      <c r="N30" s="1118">
        <f>Application!AC724</f>
        <v>0.3</v>
      </c>
      <c r="O30" s="1118">
        <f>IF(Cdlac[[#This Row],[Quantity]]&gt;0,IF(Cdlac[[#This Row],[Federal]],30%,IF($G$36,40%,Cdlac[[#This Row],[iAMI]])),"")</f>
        <v>0.3</v>
      </c>
      <c r="P30" s="1110" cm="1">
        <f t="array" ref="P30">IF(Cdlac[[#This Row],[Quantity]]&gt;0,INDEX(TcacRents,$P$18,Cdlac[[#This Row],[Bedrooms]]+1)*Cdlac[[#This Row],[AMI]],"")</f>
        <v>1453.8</v>
      </c>
      <c r="Q30" s="1110" cm="1">
        <f t="array" ref="Q30">IF(Cdlac[[#This Row],[Quantity]]&gt;0,INDEX(HudFmrs,$P$18,Cdlac[[#This Row],[Bedrooms]]+1),"")</f>
        <v>4111</v>
      </c>
      <c r="R30" s="1110">
        <f>IF(Cdlac[[#This Row],[Quantity]]&gt;0,MAX(0,Cdlac[[#This Row],[Fair Market Rent]]-Cdlac[[#This Row],[Restricted Rent]]),"")</f>
        <v>2657.2</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2373</v>
      </c>
      <c r="F31" s="1090"/>
      <c r="G31" s="1170">
        <f>G30*G29</f>
        <v>7500000</v>
      </c>
      <c r="H31" s="1121"/>
      <c r="I31" s="1121"/>
      <c r="L31" s="1088">
        <f>IFERROR(MIN(4,MATCH(Application!B725,UnitSizes,0)-1),"")</f>
        <v>3</v>
      </c>
      <c r="M31" s="1110">
        <f>Application!G725</f>
        <v>1</v>
      </c>
      <c r="N31" s="1118">
        <f>Application!AC725</f>
        <v>0.5</v>
      </c>
      <c r="O31" s="1118">
        <f>IF(Cdlac[[#This Row],[Quantity]]&gt;0,IF(Cdlac[[#This Row],[Federal]],30%,IF($G$36,40%,Cdlac[[#This Row],[iAMI]])),"")</f>
        <v>0.5</v>
      </c>
      <c r="P31" s="1110" cm="1">
        <f t="array" ref="P31">IF(Cdlac[[#This Row],[Quantity]]&gt;0,INDEX(TcacRents,$P$18,Cdlac[[#This Row],[Bedrooms]]+1)*Cdlac[[#This Row],[AMI]],"")</f>
        <v>2423</v>
      </c>
      <c r="Q31" s="1110" cm="1">
        <f t="array" ref="Q31">IF(Cdlac[[#This Row],[Quantity]]&gt;0,INDEX(HudFmrs,$P$18,Cdlac[[#This Row],[Bedrooms]]+1),"")</f>
        <v>4111</v>
      </c>
      <c r="R31" s="1110">
        <f>IF(Cdlac[[#This Row],[Quantity]]&gt;0,MAX(0,Cdlac[[#This Row],[Fair Market Rent]]-Cdlac[[#This Row],[Restricted Rent]]),"")</f>
        <v>1688</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0.6</v>
      </c>
      <c r="O32" s="1118">
        <f>IF(Cdlac[[#This Row],[Quantity]]&gt;0,IF(Cdlac[[#This Row],[Federal]],30%,IF($G$36,40%,Cdlac[[#This Row],[iAMI]])),"")</f>
        <v>0.6</v>
      </c>
      <c r="P32" s="1110" cm="1">
        <f t="array" ref="P32">IF(Cdlac[[#This Row],[Quantity]]&gt;0,INDEX(TcacRents,$P$18,Cdlac[[#This Row],[Bedrooms]]+1)*Cdlac[[#This Row],[AMI]],"")</f>
        <v>2907.6</v>
      </c>
      <c r="Q32" s="1110" cm="1">
        <f t="array" ref="Q32">IF(Cdlac[[#This Row],[Quantity]]&gt;0,INDEX(HudFmrs,$P$18,Cdlac[[#This Row],[Bedrooms]]+1),"")</f>
        <v>4111</v>
      </c>
      <c r="R32" s="1110">
        <f>IF(Cdlac[[#This Row],[Quantity]]&gt;0,MAX(0,Cdlac[[#This Row],[Fair Market Rent]]-Cdlac[[#This Row],[Restricted Rent]]),"")</f>
        <v>1203.4000000000001</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0.7</v>
      </c>
      <c r="O33" s="1118">
        <f>IF(Cdlac[[#This Row],[Quantity]]&gt;0,IF(Cdlac[[#This Row],[Federal]],30%,IF($G$36,40%,Cdlac[[#This Row],[iAMI]])),"")</f>
        <v>0.7</v>
      </c>
      <c r="P33" s="1110" cm="1">
        <f t="array" ref="P33">IF(Cdlac[[#This Row],[Quantity]]&gt;0,INDEX(TcacRents,$P$18,Cdlac[[#This Row],[Bedrooms]]+1)*Cdlac[[#This Row],[AMI]],"")</f>
        <v>3392.2</v>
      </c>
      <c r="Q33" s="1110" cm="1">
        <f t="array" ref="Q33">IF(Cdlac[[#This Row],[Quantity]]&gt;0,INDEX(HudFmrs,$P$18,Cdlac[[#This Row],[Bedrooms]]+1),"")</f>
        <v>4111</v>
      </c>
      <c r="R33" s="1110">
        <f>IF(Cdlac[[#This Row],[Quantity]]&gt;0,MAX(0,Cdlac[[#This Row],[Fair Market Rent]]-Cdlac[[#This Row],[Restricted Rent]]),"")</f>
        <v>718.80000000000018</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0.60000000000000009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172583.59999999998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31065047.999999996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20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62</v>
      </c>
    </row>
    <row r="46" spans="2:20" ht="15" customHeight="1">
      <c r="E46" s="1168"/>
      <c r="G46" s="1176"/>
    </row>
    <row r="47" spans="2:20" ht="15" customHeight="1">
      <c r="E47" s="1168" t="s">
        <v>2342</v>
      </c>
      <c r="G47" s="1165">
        <f>MIN(G44:G45)</f>
        <v>20</v>
      </c>
    </row>
    <row r="48" spans="2:20" ht="15" customHeight="1">
      <c r="E48" s="1168" t="s">
        <v>2332</v>
      </c>
      <c r="F48" s="1164" t="s">
        <v>2389</v>
      </c>
      <c r="G48" s="1175">
        <v>10000</v>
      </c>
    </row>
    <row r="49" spans="2:14" ht="15" customHeight="1">
      <c r="E49" s="1169" t="s">
        <v>2372</v>
      </c>
      <c r="F49" s="1090"/>
      <c r="G49" s="1174">
        <f>G47*G48</f>
        <v>200000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47</v>
      </c>
    </row>
    <row r="54" spans="2:14" ht="15" customHeight="1">
      <c r="E54" s="1168" t="s">
        <v>2391</v>
      </c>
      <c r="G54" s="1126">
        <f>ROUNDDOWN(E27*50%,0)</f>
        <v>62</v>
      </c>
    </row>
    <row r="55" spans="2:14" ht="15" customHeight="1">
      <c r="E55" s="1168"/>
      <c r="G55" s="1126"/>
    </row>
    <row r="56" spans="2:14" ht="15" customHeight="1">
      <c r="E56" s="1168" t="s">
        <v>2342</v>
      </c>
      <c r="G56" s="1165">
        <f>MIN(G53:G54)</f>
        <v>47</v>
      </c>
    </row>
    <row r="57" spans="2:14" ht="15" customHeight="1">
      <c r="E57" s="1168" t="s">
        <v>2332</v>
      </c>
      <c r="F57" s="1164" t="s">
        <v>2389</v>
      </c>
      <c r="G57" s="1175">
        <v>20000</v>
      </c>
    </row>
    <row r="58" spans="2:14" ht="15" customHeight="1">
      <c r="E58" s="1169" t="s">
        <v>2371</v>
      </c>
      <c r="F58" s="1090"/>
      <c r="G58" s="1174">
        <f>G56*G57</f>
        <v>940000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34" t="s">
        <v>1579</v>
      </c>
      <c r="N62" s="2135"/>
    </row>
    <row r="63" spans="2:14" ht="15" customHeight="1">
      <c r="E63" s="1133" t="s">
        <v>2332</v>
      </c>
      <c r="F63" s="1164" t="s">
        <v>2389</v>
      </c>
      <c r="G63" s="1123">
        <v>4000</v>
      </c>
      <c r="L63" s="1179" t="str">
        <f>'Points System'!H639</f>
        <v>N/A</v>
      </c>
      <c r="M63" s="2136" t="s">
        <v>2346</v>
      </c>
      <c r="N63" s="2137"/>
    </row>
    <row r="64" spans="2:14" ht="15" customHeight="1">
      <c r="E64" s="1133" t="s">
        <v>2393</v>
      </c>
      <c r="F64" s="1164" t="s">
        <v>2389</v>
      </c>
      <c r="G64" s="1177">
        <f>G27</f>
        <v>150</v>
      </c>
      <c r="L64" s="1179" t="str">
        <f>'Points System'!H674</f>
        <v>(i)</v>
      </c>
      <c r="M64" s="2136" t="s">
        <v>2347</v>
      </c>
      <c r="N64" s="2137"/>
    </row>
    <row r="65" spans="2:14" ht="15" customHeight="1">
      <c r="E65" s="1169" t="s">
        <v>2351</v>
      </c>
      <c r="F65" s="1090"/>
      <c r="G65" s="1174">
        <f>G62*G63*G64</f>
        <v>4200000</v>
      </c>
      <c r="L65" s="1179" t="str">
        <f>'Points System'!H694</f>
        <v>(i)</v>
      </c>
      <c r="M65" s="2136" t="s">
        <v>2348</v>
      </c>
      <c r="N65" s="2137"/>
    </row>
    <row r="66" spans="2:14" ht="15" customHeight="1">
      <c r="C66" s="1124"/>
      <c r="G66" s="1165"/>
      <c r="L66" s="1180" t="str">
        <f>'Points System'!H708</f>
        <v>N/A</v>
      </c>
      <c r="M66" s="2136" t="s">
        <v>1605</v>
      </c>
      <c r="N66" s="2137"/>
    </row>
    <row r="67" spans="2:14" ht="15" customHeight="1">
      <c r="E67" s="1133" t="s">
        <v>2394</v>
      </c>
      <c r="G67" s="1177">
        <f>COUNTIFS(L62:L69,"(i)")</f>
        <v>4</v>
      </c>
      <c r="L67" s="1179" t="str">
        <f>'Points System'!H720</f>
        <v>N/A</v>
      </c>
      <c r="M67" s="2136" t="s">
        <v>2349</v>
      </c>
      <c r="N67" s="2137"/>
    </row>
    <row r="68" spans="2:14" ht="15" customHeight="1">
      <c r="E68" s="1133" t="s">
        <v>2332</v>
      </c>
      <c r="F68" s="1164" t="s">
        <v>2389</v>
      </c>
      <c r="G68" s="1175">
        <v>4000</v>
      </c>
      <c r="L68" s="1179" t="str">
        <f>'Points System'!H736</f>
        <v>(ii)</v>
      </c>
      <c r="M68" s="2136" t="s">
        <v>2350</v>
      </c>
      <c r="N68" s="2137"/>
    </row>
    <row r="69" spans="2:14" ht="15" customHeight="1" thickBot="1">
      <c r="E69" s="1169" t="s">
        <v>2352</v>
      </c>
      <c r="F69" s="1090"/>
      <c r="G69" s="1174">
        <f>G64*G67*G68</f>
        <v>2400000</v>
      </c>
      <c r="L69" s="1181" t="str">
        <f>'Points System'!H748</f>
        <v>(i)</v>
      </c>
      <c r="M69" s="2142" t="s">
        <v>1608</v>
      </c>
      <c r="N69" s="2143"/>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150</v>
      </c>
    </row>
    <row r="80" spans="2:14" ht="15" customHeight="1">
      <c r="E80" s="1133" t="s">
        <v>2332</v>
      </c>
      <c r="F80" s="1164" t="s">
        <v>2389</v>
      </c>
      <c r="G80" s="1175">
        <v>25000</v>
      </c>
    </row>
    <row r="81" spans="2:14" ht="15" customHeight="1">
      <c r="E81" s="1169" t="s">
        <v>2353</v>
      </c>
      <c r="F81" s="1090"/>
      <c r="G81" s="1174">
        <f>G77*G80*G64</f>
        <v>3750000</v>
      </c>
    </row>
    <row r="82" spans="2:14" ht="15" customHeight="1">
      <c r="C82" s="1124"/>
      <c r="E82" s="1124"/>
    </row>
    <row r="83" spans="2:14" ht="15" customHeight="1">
      <c r="E83" s="1169" t="s">
        <v>2330</v>
      </c>
      <c r="G83" s="1174">
        <f>G81+G69+G65</f>
        <v>10350000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44" t="s">
        <v>2359</v>
      </c>
      <c r="M87" s="2145"/>
      <c r="N87" s="1182">
        <v>30000</v>
      </c>
    </row>
    <row r="88" spans="2:14" ht="15" customHeight="1">
      <c r="C88" s="1124" t="s">
        <v>2376</v>
      </c>
      <c r="G88" s="1128" t="str">
        <f>IF(Application!D210="Large Family","Yes","No")</f>
        <v>Yes</v>
      </c>
      <c r="L88" s="2138" t="s">
        <v>2323</v>
      </c>
      <c r="M88" s="2139"/>
      <c r="N88" s="1183">
        <v>20000</v>
      </c>
    </row>
    <row r="89" spans="2:14" ht="15" customHeight="1" thickBot="1">
      <c r="C89" s="1124" t="s">
        <v>2357</v>
      </c>
      <c r="G89" s="1087" t="s">
        <v>679</v>
      </c>
      <c r="L89" s="2140" t="s">
        <v>2360</v>
      </c>
      <c r="M89" s="2141"/>
      <c r="N89" s="1184">
        <v>10000</v>
      </c>
    </row>
    <row r="90" spans="2:14" ht="15" customHeight="1">
      <c r="C90" s="1124" t="s">
        <v>2358</v>
      </c>
      <c r="G90" s="1088" t="str">
        <f>Application!T193</f>
        <v>Highest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30000</v>
      </c>
    </row>
    <row r="95" spans="2:14" ht="15" customHeight="1">
      <c r="E95" s="1133" t="str">
        <f>E64</f>
        <v>Bedroom-Adjusted Low-Income Units</v>
      </c>
      <c r="F95" s="1164" t="s">
        <v>2389</v>
      </c>
      <c r="G95" s="1165">
        <f>G27</f>
        <v>150</v>
      </c>
    </row>
    <row r="96" spans="2:14" ht="15" customHeight="1">
      <c r="D96" s="1090"/>
      <c r="E96" s="1169" t="s">
        <v>2331</v>
      </c>
      <c r="F96" s="1090"/>
      <c r="G96" s="1174">
        <f>G95*G94*G92</f>
        <v>4500000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150</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San Mateo</v>
      </c>
    </row>
    <row r="111" spans="2:9" ht="15" customHeight="1">
      <c r="E111" s="1133"/>
      <c r="G111" s="1125"/>
    </row>
    <row r="112" spans="2:9" ht="15" customHeight="1">
      <c r="E112" s="1133" t="str">
        <f>"2-Bedroom "&amp;G110&amp;" County Basis Limit"</f>
        <v>2-Bedroom San Mateo County Basis Limit</v>
      </c>
      <c r="G112" s="1125">
        <f>Application!R957</f>
        <v>740000</v>
      </c>
    </row>
    <row r="113" spans="4:9" ht="15" customHeight="1">
      <c r="E113" s="1133" t="s">
        <v>2397</v>
      </c>
      <c r="G113" s="1125">
        <f>MEDIAN((Application!BR795:BR852))</f>
        <v>489600</v>
      </c>
    </row>
    <row r="114" spans="4:9" ht="15" customHeight="1">
      <c r="D114" s="1090"/>
      <c r="E114" s="1169" t="s">
        <v>2399</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154" t="s">
        <v>2522</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2570</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6" t="str">
        <f>IF(Application!H18="","",Application!H18)</f>
        <v>Belmont Family Apartments</v>
      </c>
      <c r="M4" s="2147"/>
      <c r="N4" s="2147"/>
      <c r="O4" s="2147"/>
      <c r="P4" s="2147"/>
      <c r="Q4" s="2147"/>
      <c r="R4" s="2147"/>
      <c r="S4" s="2147"/>
      <c r="T4" s="2147"/>
      <c r="U4" s="2147"/>
      <c r="V4" s="2147"/>
      <c r="W4" s="2147"/>
      <c r="X4" s="2147"/>
      <c r="Y4" s="2147"/>
      <c r="Z4" s="2147"/>
      <c r="AA4" s="2147"/>
      <c r="AB4" s="2147"/>
      <c r="AC4" s="2148"/>
      <c r="AD4" s="1207"/>
      <c r="AE4" s="1207"/>
      <c r="AF4" s="2160" t="s">
        <v>2571</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2572</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6" t="str">
        <f>IF(Application!H16="","",Application!H16)</f>
        <v>ROEM West, LLC</v>
      </c>
      <c r="M6" s="2147"/>
      <c r="N6" s="2147"/>
      <c r="O6" s="2147"/>
      <c r="P6" s="2147"/>
      <c r="Q6" s="2147"/>
      <c r="R6" s="2147"/>
      <c r="S6" s="2147"/>
      <c r="T6" s="2147"/>
      <c r="U6" s="2147"/>
      <c r="V6" s="2147"/>
      <c r="W6" s="2147"/>
      <c r="X6" s="2147"/>
      <c r="Y6" s="2147"/>
      <c r="Z6" s="2147"/>
      <c r="AA6" s="2147"/>
      <c r="AB6" s="2147"/>
      <c r="AC6" s="2148"/>
      <c r="AD6" s="1207"/>
      <c r="AE6" s="1207"/>
      <c r="AF6" s="2149" t="s">
        <v>2573</v>
      </c>
      <c r="AG6" s="2149"/>
      <c r="AH6" s="2149"/>
      <c r="AI6" s="2149"/>
      <c r="AJ6" s="2149"/>
      <c r="AK6" s="2149"/>
      <c r="AL6" s="2149"/>
      <c r="AM6" s="2149"/>
      <c r="AN6" s="2149"/>
      <c r="AO6" s="2149"/>
      <c r="AP6" s="2150">
        <v>0</v>
      </c>
      <c r="AQ6" s="2150"/>
      <c r="AR6" s="2150"/>
      <c r="AS6" s="2150"/>
      <c r="AT6" s="2150"/>
      <c r="AU6" s="2150"/>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2574</v>
      </c>
      <c r="AG7" s="2149"/>
      <c r="AH7" s="2149"/>
      <c r="AI7" s="2149"/>
      <c r="AJ7" s="2149"/>
      <c r="AK7" s="2149"/>
      <c r="AL7" s="2149"/>
      <c r="AM7" s="2149"/>
      <c r="AN7" s="2149"/>
      <c r="AO7" s="2149"/>
      <c r="AP7" s="2150">
        <v>0</v>
      </c>
      <c r="AQ7" s="2150"/>
      <c r="AR7" s="2150"/>
      <c r="AS7" s="2150"/>
      <c r="AT7" s="2150"/>
      <c r="AU7" s="2150"/>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2575</v>
      </c>
      <c r="AG8" s="2149"/>
      <c r="AH8" s="2149"/>
      <c r="AI8" s="2149"/>
      <c r="AJ8" s="2149"/>
      <c r="AK8" s="2149"/>
      <c r="AL8" s="2149"/>
      <c r="AM8" s="2149"/>
      <c r="AN8" s="2149"/>
      <c r="AO8" s="2149"/>
      <c r="AP8" s="2150" t="s">
        <v>2527</v>
      </c>
      <c r="AQ8" s="2150"/>
      <c r="AR8" s="2150"/>
      <c r="AS8" s="2150"/>
      <c r="AT8" s="2150"/>
      <c r="AU8" s="2150"/>
      <c r="AV8" s="1207"/>
      <c r="AW8" s="1207"/>
      <c r="AX8" s="1207"/>
      <c r="AY8" s="1207"/>
      <c r="AZ8" s="1207"/>
      <c r="BA8" s="1207"/>
      <c r="BB8" s="1207"/>
      <c r="BC8" s="1207"/>
      <c r="BD8" s="1207"/>
      <c r="BE8" s="1208"/>
      <c r="BM8" s="1204" t="s">
        <v>2378</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4.4">
      <c r="A10" s="1206"/>
      <c r="B10" s="1209" t="s">
        <v>1861</v>
      </c>
      <c r="C10" s="1209"/>
      <c r="D10" s="1209"/>
      <c r="E10" s="1209"/>
      <c r="F10" s="1209"/>
      <c r="G10" s="1209"/>
      <c r="H10" s="1209"/>
      <c r="I10" s="1209"/>
      <c r="J10" s="1209"/>
      <c r="K10" s="1209"/>
      <c r="L10" s="1209"/>
      <c r="M10" s="1207"/>
      <c r="N10" s="2177">
        <f>Application!AO623</f>
        <v>32500000</v>
      </c>
      <c r="O10" s="2177"/>
      <c r="P10" s="2177"/>
      <c r="Q10" s="2177"/>
      <c r="R10" s="2177"/>
      <c r="S10" s="2177"/>
      <c r="T10" s="2177"/>
      <c r="U10" s="1207"/>
      <c r="V10" s="1207"/>
      <c r="W10" s="1207"/>
      <c r="X10" s="2163" t="s">
        <v>2577</v>
      </c>
      <c r="Y10" s="2163"/>
      <c r="Z10" s="2163"/>
      <c r="AA10" s="2163"/>
      <c r="AB10" s="2163"/>
      <c r="AC10" s="2163"/>
      <c r="AD10" s="2163"/>
      <c r="AE10" s="2163"/>
      <c r="AF10" s="2163"/>
      <c r="AG10" s="2163"/>
      <c r="AH10" s="2163"/>
      <c r="AI10" s="2163"/>
      <c r="AJ10" s="2163"/>
      <c r="AK10" s="2163"/>
      <c r="AL10" s="2178">
        <f>Application!W471</f>
        <v>19</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2578</v>
      </c>
    </row>
    <row r="11" spans="1:65" ht="14.4">
      <c r="A11" s="1206"/>
      <c r="B11" s="1209" t="s">
        <v>1862</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2579</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2527</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2580</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2581</v>
      </c>
    </row>
    <row r="13" spans="1:65" ht="15" thickBot="1">
      <c r="A13" s="1207"/>
      <c r="B13" s="2166" t="s">
        <v>1863</v>
      </c>
      <c r="C13" s="2167"/>
      <c r="D13" s="2167"/>
      <c r="E13" s="2167"/>
      <c r="F13" s="2167"/>
      <c r="G13" s="2167"/>
      <c r="H13" s="2167"/>
      <c r="I13" s="2167"/>
      <c r="J13" s="2167"/>
      <c r="K13" s="2167"/>
      <c r="L13" s="2167"/>
      <c r="M13" s="2167"/>
      <c r="N13" s="2167"/>
      <c r="O13" s="2167"/>
      <c r="P13" s="2168"/>
      <c r="Q13" s="2169" t="s">
        <v>679</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2" t="s">
        <v>1864</v>
      </c>
      <c r="C15" s="2173"/>
      <c r="D15" s="2173"/>
      <c r="E15" s="2173"/>
      <c r="F15" s="2173"/>
      <c r="G15" s="2173"/>
      <c r="H15" s="2173"/>
      <c r="I15" s="2173"/>
      <c r="J15" s="2173"/>
      <c r="K15" s="2173"/>
      <c r="L15" s="2173"/>
      <c r="M15" s="2173"/>
      <c r="N15" s="2173"/>
      <c r="O15" s="2173"/>
      <c r="P15" s="2173"/>
      <c r="Q15" s="2173"/>
      <c r="R15" s="2174"/>
      <c r="S15" s="2175" t="str">
        <f>IF(Application!AB214="","",Application!AB214)</f>
        <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81" t="s">
        <v>1865</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1866</v>
      </c>
      <c r="C18" s="2185"/>
      <c r="D18" s="2185"/>
      <c r="E18" s="2185"/>
      <c r="F18" s="2185"/>
      <c r="G18" s="2185"/>
      <c r="H18" s="2185"/>
      <c r="I18" s="2186"/>
      <c r="J18" s="2187" t="s">
        <v>1765</v>
      </c>
      <c r="K18" s="2188"/>
      <c r="L18" s="2188"/>
      <c r="M18" s="2188"/>
      <c r="N18" s="2188"/>
      <c r="O18" s="2189"/>
      <c r="P18" s="2187" t="s">
        <v>326</v>
      </c>
      <c r="Q18" s="2188"/>
      <c r="R18" s="2188"/>
      <c r="S18" s="2188"/>
      <c r="T18" s="2188"/>
      <c r="U18" s="2189"/>
      <c r="V18" s="2187" t="s">
        <v>327</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1867</v>
      </c>
      <c r="AU18" s="2188"/>
      <c r="AV18" s="2188"/>
      <c r="AW18" s="2188"/>
      <c r="AX18" s="2188"/>
      <c r="AY18" s="2190"/>
      <c r="AZ18" s="1207"/>
      <c r="BA18" s="1207"/>
      <c r="BB18" s="1207"/>
      <c r="BC18" s="1207"/>
      <c r="BD18" s="1207"/>
      <c r="BE18" s="1213"/>
    </row>
    <row r="19" spans="1:58" ht="14.4">
      <c r="A19" s="1207"/>
      <c r="B19" s="2197">
        <v>0.3</v>
      </c>
      <c r="C19" s="2198"/>
      <c r="D19" s="2198"/>
      <c r="E19" s="2198"/>
      <c r="F19" s="2198"/>
      <c r="G19" s="2198"/>
      <c r="H19" s="2198"/>
      <c r="I19" s="2199"/>
      <c r="J19" s="2191">
        <f>SUM(P19:AS19)</f>
        <v>47</v>
      </c>
      <c r="K19" s="2192"/>
      <c r="L19" s="2192"/>
      <c r="M19" s="2192"/>
      <c r="N19" s="2192"/>
      <c r="O19" s="2193"/>
      <c r="P19" s="2191" cm="1">
        <f t="array" ref="P19">SUMPRODUCT((Application!$B$714:$B$738 = 'CalHFA Addendum'!P$18)*(Application!$AC$714:$AC$738 = 'CalHFA Addendum'!$B19),Application!$G$714:$G$738)</f>
        <v>0</v>
      </c>
      <c r="Q19" s="2192"/>
      <c r="R19" s="2192"/>
      <c r="S19" s="2192"/>
      <c r="T19" s="2192"/>
      <c r="U19" s="2193"/>
      <c r="V19" s="2191" cm="1">
        <f t="array" ref="V19">SUMPRODUCT((Application!$B$714:$B$738 = 'CalHFA Addendum'!V$18)*(Application!$AC$714:$AC$738 = 'CalHFA Addendum'!$B19),Application!$G$714:$G$738)</f>
        <v>5</v>
      </c>
      <c r="W19" s="2192"/>
      <c r="X19" s="2192"/>
      <c r="Y19" s="2192"/>
      <c r="Z19" s="2192"/>
      <c r="AA19" s="2193"/>
      <c r="AB19" s="2191" cm="1">
        <f t="array" ref="AB19">SUMPRODUCT((Application!$B$714:$B$738 = 'CalHFA Addendum'!AB$18)*(Application!$AC$714:$AC$738 = 'CalHFA Addendum'!$B19),Application!$G$714:$G$738)</f>
        <v>13</v>
      </c>
      <c r="AC19" s="2192"/>
      <c r="AD19" s="2192"/>
      <c r="AE19" s="2192"/>
      <c r="AF19" s="2192"/>
      <c r="AG19" s="2193"/>
      <c r="AH19" s="2191" cm="1">
        <f t="array" ref="AH19">SUMPRODUCT((Application!$B$714:$B$738 = 'CalHFA Addendum'!AH$18)*(Application!$AC$714:$AC$738 = 'CalHFA Addendum'!$B19),Application!$G$714:$G$738)</f>
        <v>29</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0.376</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0</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0</v>
      </c>
      <c r="W20" s="2192"/>
      <c r="X20" s="2192"/>
      <c r="Y20" s="2192"/>
      <c r="Z20" s="2192"/>
      <c r="AA20" s="2193"/>
      <c r="AB20" s="2191" cm="1">
        <f t="array" ref="AB20">SUMPRODUCT((Application!$B$714:$B$738 = 'CalHFA Addendum'!AB$18)*(Application!$AC$714:$AC$738 = 'CalHFA Addendum'!$B20),Application!$G$714:$G$738)</f>
        <v>0</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v>
      </c>
      <c r="AU20" s="2195"/>
      <c r="AV20" s="2195"/>
      <c r="AW20" s="2195"/>
      <c r="AX20" s="2195"/>
      <c r="AY20" s="2196"/>
      <c r="AZ20" s="1207"/>
      <c r="BA20" s="1207"/>
      <c r="BB20" s="1207"/>
      <c r="BC20" s="1207"/>
      <c r="BD20" s="1207"/>
      <c r="BE20" s="1213"/>
    </row>
    <row r="21" spans="1:58" ht="14.4">
      <c r="A21" s="1207"/>
      <c r="B21" s="2197">
        <v>0.5</v>
      </c>
      <c r="C21" s="2198"/>
      <c r="D21" s="2198"/>
      <c r="E21" s="2198"/>
      <c r="F21" s="2198"/>
      <c r="G21" s="2198"/>
      <c r="H21" s="2198"/>
      <c r="I21" s="2199"/>
      <c r="J21" s="2191">
        <f t="shared" si="1"/>
        <v>41</v>
      </c>
      <c r="K21" s="2192"/>
      <c r="L21" s="2192"/>
      <c r="M21" s="2192"/>
      <c r="N21" s="2192"/>
      <c r="O21" s="2193"/>
      <c r="P21" s="2191" cm="1">
        <f t="array" ref="P21">SUMPRODUCT((Application!$B$714:$B$738 = 'CalHFA Addendum'!P$18)*(Application!$AC$714:$AC$738 = 'CalHFA Addendum'!$B21),Application!$G$714:$G$738)</f>
        <v>0</v>
      </c>
      <c r="Q21" s="2192"/>
      <c r="R21" s="2192"/>
      <c r="S21" s="2192"/>
      <c r="T21" s="2192"/>
      <c r="U21" s="2193"/>
      <c r="V21" s="2191" cm="1">
        <f t="array" ref="V21">SUMPRODUCT((Application!$B$714:$B$738 = 'CalHFA Addendum'!V$18)*(Application!$AC$714:$AC$738 = 'CalHFA Addendum'!$B21),Application!$G$714:$G$738)</f>
        <v>33</v>
      </c>
      <c r="W21" s="2192"/>
      <c r="X21" s="2192"/>
      <c r="Y21" s="2192"/>
      <c r="Z21" s="2192"/>
      <c r="AA21" s="2193"/>
      <c r="AB21" s="2191" cm="1">
        <f t="array" ref="AB21">SUMPRODUCT((Application!$B$714:$B$738 = 'CalHFA Addendum'!AB$18)*(Application!$AC$714:$AC$738 = 'CalHFA Addendum'!$B21),Application!$G$714:$G$738)</f>
        <v>7</v>
      </c>
      <c r="AC21" s="2192"/>
      <c r="AD21" s="2192"/>
      <c r="AE21" s="2192"/>
      <c r="AF21" s="2192"/>
      <c r="AG21" s="2193"/>
      <c r="AH21" s="2191" cm="1">
        <f t="array" ref="AH21">SUMPRODUCT((Application!$B$714:$B$738 = 'CalHFA Addendum'!AH$18)*(Application!$AC$714:$AC$738 = 'CalHFA Addendum'!$B21),Application!$G$714:$G$738)</f>
        <v>1</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0.32800000000000001</v>
      </c>
      <c r="AU21" s="2195"/>
      <c r="AV21" s="2195"/>
      <c r="AW21" s="2195"/>
      <c r="AX21" s="2195"/>
      <c r="AY21" s="2196"/>
      <c r="AZ21" s="1207"/>
      <c r="BA21" s="1207"/>
      <c r="BB21" s="1207"/>
      <c r="BC21" s="1207"/>
      <c r="BD21" s="1207"/>
      <c r="BE21" s="1213"/>
    </row>
    <row r="22" spans="1:58" ht="14.4">
      <c r="A22" s="1207"/>
      <c r="B22" s="2197">
        <v>0.6</v>
      </c>
      <c r="C22" s="2198"/>
      <c r="D22" s="2198"/>
      <c r="E22" s="2198"/>
      <c r="F22" s="2198"/>
      <c r="G22" s="2198"/>
      <c r="H22" s="2198"/>
      <c r="I22" s="2199"/>
      <c r="J22" s="2191">
        <f t="shared" si="1"/>
        <v>10</v>
      </c>
      <c r="K22" s="2192"/>
      <c r="L22" s="2192"/>
      <c r="M22" s="2192"/>
      <c r="N22" s="2192"/>
      <c r="O22" s="2193"/>
      <c r="P22" s="2191" cm="1">
        <f t="array" ref="P22">SUMPRODUCT((Application!$B$714:$B$738 = 'CalHFA Addendum'!P$18)*(Application!$AC$714:$AC$738 = 'CalHFA Addendum'!$B22),Application!$G$714:$G$738)</f>
        <v>0</v>
      </c>
      <c r="Q22" s="2192"/>
      <c r="R22" s="2192"/>
      <c r="S22" s="2192"/>
      <c r="T22" s="2192"/>
      <c r="U22" s="2193"/>
      <c r="V22" s="2191" cm="1">
        <f t="array" ref="V22">SUMPRODUCT((Application!$B$714:$B$738 = 'CalHFA Addendum'!V$18)*(Application!$AC$714:$AC$738 = 'CalHFA Addendum'!$B22),Application!$G$714:$G$738)</f>
        <v>4</v>
      </c>
      <c r="W22" s="2192"/>
      <c r="X22" s="2192"/>
      <c r="Y22" s="2192"/>
      <c r="Z22" s="2192"/>
      <c r="AA22" s="2193"/>
      <c r="AB22" s="2191" cm="1">
        <f t="array" ref="AB22">SUMPRODUCT((Application!$B$714:$B$738 = 'CalHFA Addendum'!AB$18)*(Application!$AC$714:$AC$738 = 'CalHFA Addendum'!$B22),Application!$G$714:$G$738)</f>
        <v>5</v>
      </c>
      <c r="AC22" s="2192"/>
      <c r="AD22" s="2192"/>
      <c r="AE22" s="2192"/>
      <c r="AF22" s="2192"/>
      <c r="AG22" s="2193"/>
      <c r="AH22" s="2191" cm="1">
        <f t="array" ref="AH22">SUMPRODUCT((Application!$B$714:$B$738 = 'CalHFA Addendum'!AH$18)*(Application!$AC$714:$AC$738 = 'CalHFA Addendum'!$B22),Application!$G$714:$G$738)</f>
        <v>1</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0.08</v>
      </c>
      <c r="AU22" s="2195"/>
      <c r="AV22" s="2195"/>
      <c r="AW22" s="2195"/>
      <c r="AX22" s="2195"/>
      <c r="AY22" s="2196"/>
      <c r="AZ22" s="1207"/>
      <c r="BA22" s="1207"/>
      <c r="BB22" s="1207"/>
      <c r="BC22" s="1207"/>
      <c r="BD22" s="1207"/>
      <c r="BE22" s="1213"/>
    </row>
    <row r="23" spans="1:58" ht="14.4">
      <c r="A23" s="1207"/>
      <c r="B23" s="2197">
        <v>0.7</v>
      </c>
      <c r="C23" s="2198"/>
      <c r="D23" s="2198"/>
      <c r="E23" s="2198"/>
      <c r="F23" s="2198"/>
      <c r="G23" s="2198"/>
      <c r="H23" s="2198"/>
      <c r="I23" s="2199"/>
      <c r="J23" s="2191">
        <f t="shared" si="1"/>
        <v>26</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10</v>
      </c>
      <c r="W23" s="2192"/>
      <c r="X23" s="2192"/>
      <c r="Y23" s="2192"/>
      <c r="Z23" s="2192"/>
      <c r="AA23" s="2193"/>
      <c r="AB23" s="2191" cm="1">
        <f t="array" ref="AB23">SUMPRODUCT((Application!$B$714:$B$738 = 'CalHFA Addendum'!AB$18)*(Application!$AC$714:$AC$738 = 'CalHFA Addendum'!$B23),Application!$G$714:$G$738)</f>
        <v>15</v>
      </c>
      <c r="AC23" s="2192"/>
      <c r="AD23" s="2192"/>
      <c r="AE23" s="2192"/>
      <c r="AF23" s="2192"/>
      <c r="AG23" s="2193"/>
      <c r="AH23" s="2191" cm="1">
        <f t="array" ref="AH23">SUMPRODUCT((Application!$B$714:$B$738 = 'CalHFA Addendum'!AH$18)*(Application!$AC$714:$AC$738 = 'CalHFA Addendum'!$B23),Application!$G$714:$G$738)</f>
        <v>1</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0.20799999999999999</v>
      </c>
      <c r="AU23" s="2195"/>
      <c r="AV23" s="2195"/>
      <c r="AW23" s="2195"/>
      <c r="AX23" s="2195"/>
      <c r="AY23" s="2196"/>
      <c r="AZ23" s="1207"/>
      <c r="BA23" s="1207"/>
      <c r="BB23" s="1207"/>
      <c r="BC23" s="1207"/>
      <c r="BD23" s="1207"/>
      <c r="BE23" s="1213"/>
    </row>
    <row r="24" spans="1:58" ht="14.4">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4.4">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4.4">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4.4">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ht="15" thickBot="1">
      <c r="A28" s="1207"/>
      <c r="B28" s="2200" t="s">
        <v>1868</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0</v>
      </c>
      <c r="W28" s="2204"/>
      <c r="X28" s="2204"/>
      <c r="Y28" s="2204"/>
      <c r="Z28" s="2204"/>
      <c r="AA28" s="2205"/>
      <c r="AB28" s="2203">
        <f>_xlfn.IFNA(VLOOKUP(AB$18,Application!$J$758:$S$761,6,FALSE), 0)</f>
        <v>0</v>
      </c>
      <c r="AC28" s="2204"/>
      <c r="AD28" s="2204"/>
      <c r="AE28" s="2204"/>
      <c r="AF28" s="2204"/>
      <c r="AG28" s="2205"/>
      <c r="AH28" s="2203">
        <f>_xlfn.IFNA(VLOOKUP(AH$18,Application!$J$758:$S$761,6,FALSE), 0)</f>
        <v>1</v>
      </c>
      <c r="AI28" s="2204"/>
      <c r="AJ28" s="2204"/>
      <c r="AK28" s="2204"/>
      <c r="AL28" s="2204"/>
      <c r="AM28" s="2205"/>
      <c r="AN28" s="2203">
        <f>_xlfn.IFNA(VLOOKUP(AN$18,Application!$J$758:$S$761,6,FALSE), 0)</f>
        <v>0</v>
      </c>
      <c r="AO28" s="2204"/>
      <c r="AP28" s="2204"/>
      <c r="AQ28" s="2204"/>
      <c r="AR28" s="2204"/>
      <c r="AS28" s="2205"/>
      <c r="AT28" s="2206">
        <f t="shared" si="0"/>
        <v>8.0000000000000002E-3</v>
      </c>
      <c r="AU28" s="2207"/>
      <c r="AV28" s="2207"/>
      <c r="AW28" s="2207"/>
      <c r="AX28" s="2207"/>
      <c r="AY28" s="2208"/>
      <c r="AZ28" s="1207"/>
      <c r="BA28" s="1207"/>
      <c r="BB28" s="1207"/>
      <c r="BC28" s="1207"/>
      <c r="BD28" s="1207"/>
      <c r="BE28" s="1213"/>
    </row>
    <row r="29" spans="1:58" ht="15" thickBot="1">
      <c r="A29" s="1207"/>
      <c r="B29" s="2231" t="s">
        <v>1765</v>
      </c>
      <c r="C29" s="2214"/>
      <c r="D29" s="2214"/>
      <c r="E29" s="2214"/>
      <c r="F29" s="2214"/>
      <c r="G29" s="2214"/>
      <c r="H29" s="2214"/>
      <c r="I29" s="2215"/>
      <c r="J29" s="2213">
        <f>SUM(J19:O28)</f>
        <v>125</v>
      </c>
      <c r="K29" s="2214"/>
      <c r="L29" s="2214"/>
      <c r="M29" s="2214"/>
      <c r="N29" s="2214"/>
      <c r="O29" s="2215"/>
      <c r="P29" s="2213">
        <f>SUM(P19:U28)</f>
        <v>0</v>
      </c>
      <c r="Q29" s="2214"/>
      <c r="R29" s="2214"/>
      <c r="S29" s="2214"/>
      <c r="T29" s="2214"/>
      <c r="U29" s="2215"/>
      <c r="V29" s="2213">
        <f>SUM(V19:AA28)</f>
        <v>52</v>
      </c>
      <c r="W29" s="2214"/>
      <c r="X29" s="2214"/>
      <c r="Y29" s="2214"/>
      <c r="Z29" s="2214"/>
      <c r="AA29" s="2215"/>
      <c r="AB29" s="2213">
        <f>SUM(AB19:AG28)</f>
        <v>40</v>
      </c>
      <c r="AC29" s="2214"/>
      <c r="AD29" s="2214"/>
      <c r="AE29" s="2214"/>
      <c r="AF29" s="2214"/>
      <c r="AG29" s="2215"/>
      <c r="AH29" s="2213">
        <f>SUM(AH19:AM28)</f>
        <v>33</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9" t="s">
        <v>1869</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4.4">
      <c r="A32" s="1207"/>
      <c r="B32" s="2222" t="s">
        <v>2583</v>
      </c>
      <c r="C32" s="2223"/>
      <c r="D32" s="2223"/>
      <c r="E32" s="2223"/>
      <c r="F32" s="2223"/>
      <c r="G32" s="2223"/>
      <c r="H32" s="2223"/>
      <c r="I32" s="2223"/>
      <c r="J32" s="2225" t="s">
        <v>2584</v>
      </c>
      <c r="K32" s="2226"/>
      <c r="L32" s="2226"/>
      <c r="M32" s="2226"/>
      <c r="N32" s="2225" t="s">
        <v>1870</v>
      </c>
      <c r="O32" s="2226"/>
      <c r="P32" s="2226"/>
      <c r="Q32" s="2226"/>
      <c r="R32" s="2227" t="s">
        <v>1871</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1872</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1873</v>
      </c>
      <c r="AP35" s="2211"/>
      <c r="AQ35" s="2211"/>
      <c r="AR35" s="2211"/>
      <c r="AS35" s="2211"/>
      <c r="AT35" s="2211"/>
      <c r="AU35" s="2211" t="s">
        <v>1874</v>
      </c>
      <c r="AV35" s="2211"/>
      <c r="AW35" s="2211"/>
      <c r="AX35" s="2211"/>
      <c r="AY35" s="2211"/>
      <c r="AZ35" s="2212"/>
      <c r="BA35" s="1214"/>
      <c r="BB35" s="1207"/>
      <c r="BC35" s="1207"/>
      <c r="BD35" s="1207"/>
      <c r="BE35" s="1213"/>
      <c r="BF35" s="1205"/>
    </row>
    <row r="36" spans="1:58" ht="15.75" customHeight="1">
      <c r="A36" s="1207"/>
      <c r="B36" s="2232" t="s">
        <v>1875</v>
      </c>
      <c r="C36" s="2233"/>
      <c r="D36" s="2233"/>
      <c r="E36" s="2233"/>
      <c r="F36" s="2233"/>
      <c r="G36" s="2233"/>
      <c r="H36" s="2233"/>
      <c r="I36" s="2233"/>
      <c r="J36" s="2234" t="s">
        <v>1876</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0.32</v>
      </c>
      <c r="AV36" s="2237"/>
      <c r="AW36" s="2237"/>
      <c r="AX36" s="2237"/>
      <c r="AY36" s="2237"/>
      <c r="AZ36" s="2238"/>
      <c r="BA36" s="1207"/>
      <c r="BB36" s="1207"/>
      <c r="BC36" s="1207"/>
      <c r="BD36" s="1207"/>
      <c r="BE36" s="1213"/>
      <c r="BF36" s="1205"/>
    </row>
    <row r="37" spans="1:58" ht="15.75" customHeight="1">
      <c r="A37" s="1207"/>
      <c r="B37" s="2232" t="s">
        <v>2585</v>
      </c>
      <c r="C37" s="2233"/>
      <c r="D37" s="2233"/>
      <c r="E37" s="2233"/>
      <c r="F37" s="2233"/>
      <c r="G37" s="2233"/>
      <c r="H37" s="2233"/>
      <c r="I37" s="2233"/>
      <c r="J37" s="2234" t="s">
        <v>1877</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0.08</v>
      </c>
      <c r="AV37" s="2237"/>
      <c r="AW37" s="2237"/>
      <c r="AX37" s="2237"/>
      <c r="AY37" s="2237"/>
      <c r="AZ37" s="2238"/>
      <c r="BA37" s="1207"/>
      <c r="BB37" s="1207"/>
      <c r="BC37" s="1207"/>
      <c r="BD37" s="1207"/>
      <c r="BE37" s="1213"/>
      <c r="BF37" s="1205"/>
    </row>
    <row r="38" spans="1:58" ht="15.75" customHeight="1">
      <c r="A38" s="1207"/>
      <c r="B38" s="2232" t="s">
        <v>2523</v>
      </c>
      <c r="C38" s="2233"/>
      <c r="D38" s="2233"/>
      <c r="E38" s="2233"/>
      <c r="F38" s="2233"/>
      <c r="G38" s="2233"/>
      <c r="H38" s="2233"/>
      <c r="I38" s="2233"/>
      <c r="J38" s="2234" t="s">
        <v>1878</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1879</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1879</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1880</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1880</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1881</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1882</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1883</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1884</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302</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1885</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1886</v>
      </c>
      <c r="C51" s="2248"/>
      <c r="D51" s="2248"/>
      <c r="E51" s="2248"/>
      <c r="F51" s="2248"/>
      <c r="G51" s="2248"/>
      <c r="H51" s="2248"/>
      <c r="I51" s="2248"/>
      <c r="J51" s="2248" t="s">
        <v>2587</v>
      </c>
      <c r="K51" s="2248"/>
      <c r="L51" s="2248"/>
      <c r="M51" s="2248"/>
      <c r="N51" s="2248"/>
      <c r="O51" s="2248"/>
      <c r="P51" s="2248"/>
      <c r="Q51" s="2248"/>
      <c r="R51" s="2229" t="s">
        <v>2588</v>
      </c>
      <c r="S51" s="2229"/>
      <c r="T51" s="2229"/>
      <c r="U51" s="2229"/>
      <c r="V51" s="2229"/>
      <c r="W51" s="2229"/>
      <c r="X51" s="2229"/>
      <c r="Y51" s="2229"/>
      <c r="Z51" s="2229" t="s">
        <v>1887</v>
      </c>
      <c r="AA51" s="2229"/>
      <c r="AB51" s="2229"/>
      <c r="AC51" s="2229"/>
      <c r="AD51" s="2229"/>
      <c r="AE51" s="2229"/>
      <c r="AF51" s="2229"/>
      <c r="AG51" s="2229"/>
      <c r="AH51" s="2229" t="s">
        <v>1888</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2261</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2262</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1765</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1886</v>
      </c>
      <c r="C59" s="2257"/>
      <c r="D59" s="2257"/>
      <c r="E59" s="2257"/>
      <c r="F59" s="2257"/>
      <c r="G59" s="2257"/>
      <c r="H59" s="2257"/>
      <c r="I59" s="2258"/>
      <c r="J59" s="2182" t="s">
        <v>2589</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1890</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1891</v>
      </c>
      <c r="AD68" s="2297"/>
      <c r="AE68" s="2297"/>
      <c r="AF68" s="2297"/>
      <c r="AG68" s="2297"/>
      <c r="AH68" s="2297"/>
      <c r="AI68" s="2297"/>
      <c r="AJ68" s="2297"/>
      <c r="AK68" s="2297"/>
      <c r="AL68" s="2297"/>
      <c r="AM68" s="2297"/>
      <c r="AN68" s="2297"/>
      <c r="AO68" s="2297"/>
      <c r="AP68" s="2297"/>
      <c r="AQ68" s="2297"/>
      <c r="AR68" s="2297"/>
      <c r="AS68" s="2297"/>
      <c r="AT68" s="2297"/>
      <c r="AU68" s="2297"/>
      <c r="AV68" s="2271" t="s">
        <v>679</v>
      </c>
      <c r="AW68" s="2272"/>
      <c r="AX68" s="2272"/>
      <c r="AY68" s="2272"/>
      <c r="AZ68" s="2272"/>
      <c r="BA68" s="2272"/>
      <c r="BB68" s="2272"/>
      <c r="BC68" s="2273"/>
      <c r="BD68" s="1207"/>
      <c r="BE68" s="1213"/>
      <c r="BM68" s="1218" t="s">
        <v>2590</v>
      </c>
    </row>
    <row r="69" spans="1:65" ht="15.75" customHeight="1" thickTop="1" thickBot="1">
      <c r="A69" s="1207"/>
      <c r="B69" s="2274" t="s">
        <v>1892</v>
      </c>
      <c r="C69" s="2275"/>
      <c r="D69" s="2275"/>
      <c r="E69" s="2275"/>
      <c r="F69" s="2275"/>
      <c r="G69" s="2275"/>
      <c r="H69" s="2275"/>
      <c r="I69" s="2275"/>
      <c r="J69" s="2275"/>
      <c r="K69" s="2275"/>
      <c r="L69" s="2275"/>
      <c r="M69" s="2275"/>
      <c r="N69" s="2275"/>
      <c r="O69" s="2276" t="s">
        <v>1893</v>
      </c>
      <c r="P69" s="2277"/>
      <c r="Q69" s="2277"/>
      <c r="R69" s="2277"/>
      <c r="S69" s="2277"/>
      <c r="T69" s="2277"/>
      <c r="U69" s="2277"/>
      <c r="V69" s="2277"/>
      <c r="W69" s="2277"/>
      <c r="X69" s="2277"/>
      <c r="Y69" s="2277"/>
      <c r="Z69" s="2277"/>
      <c r="AA69" s="2278"/>
      <c r="AB69" s="1207"/>
      <c r="AC69" s="2279" t="s">
        <v>1894</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555</v>
      </c>
    </row>
    <row r="70" spans="1:65" ht="15.75" customHeight="1">
      <c r="A70" s="1207"/>
      <c r="B70" s="2232" t="s">
        <v>2591</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1895</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679</v>
      </c>
    </row>
    <row r="71" spans="1:65" ht="15.75" customHeight="1" thickBot="1">
      <c r="A71" s="1207"/>
      <c r="B71" s="2232" t="s">
        <v>2592</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1896</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2593</v>
      </c>
    </row>
    <row r="72" spans="1:65" ht="15.75" customHeight="1">
      <c r="A72" s="1207"/>
      <c r="B72" s="2232" t="s">
        <v>2594</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2595</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2596</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2263</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2246</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2597</v>
      </c>
      <c r="AK79" s="2315"/>
      <c r="AL79" s="2315"/>
      <c r="AM79" s="2315"/>
      <c r="AN79" s="2315"/>
      <c r="AO79" s="2315"/>
      <c r="AP79" s="2315"/>
      <c r="AQ79" s="2315"/>
      <c r="AR79" s="2315"/>
      <c r="AS79" s="2315"/>
      <c r="AT79" s="2315"/>
      <c r="AU79" s="2315"/>
      <c r="AV79" s="2315"/>
      <c r="AW79" s="2315"/>
      <c r="AX79" s="2315"/>
      <c r="AY79" s="2318" t="s">
        <v>555</v>
      </c>
      <c r="AZ79" s="2318"/>
      <c r="BA79" s="2318"/>
      <c r="BB79" s="2319"/>
      <c r="BC79" s="1207"/>
      <c r="BD79" s="1207"/>
      <c r="BE79" s="1213"/>
    </row>
    <row r="80" spans="1:65" ht="15.75" customHeight="1">
      <c r="A80" s="1207"/>
      <c r="B80" s="2247"/>
      <c r="C80" s="2248"/>
      <c r="D80" s="2248"/>
      <c r="E80" s="2248"/>
      <c r="F80" s="2248"/>
      <c r="G80" s="2248"/>
      <c r="H80" s="2248"/>
      <c r="I80" s="2248" t="s">
        <v>1898</v>
      </c>
      <c r="J80" s="2248"/>
      <c r="K80" s="2248"/>
      <c r="L80" s="2248"/>
      <c r="M80" s="2248"/>
      <c r="N80" s="2248"/>
      <c r="O80" s="2248" t="s">
        <v>1899</v>
      </c>
      <c r="P80" s="2248"/>
      <c r="Q80" s="2248"/>
      <c r="R80" s="2248"/>
      <c r="S80" s="2248"/>
      <c r="T80" s="2248"/>
      <c r="U80" s="2248"/>
      <c r="V80" s="2322" t="s">
        <v>2264</v>
      </c>
      <c r="W80" s="2322"/>
      <c r="X80" s="2322"/>
      <c r="Y80" s="2322"/>
      <c r="Z80" s="2322"/>
      <c r="AA80" s="2322"/>
      <c r="AB80" s="2227" t="s">
        <v>1900</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2247</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2248</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2598</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1901</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1903</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2599</v>
      </c>
      <c r="AK88" s="2315"/>
      <c r="AL88" s="2315"/>
      <c r="AM88" s="2315"/>
      <c r="AN88" s="2315"/>
      <c r="AO88" s="2315"/>
      <c r="AP88" s="2315"/>
      <c r="AQ88" s="2315"/>
      <c r="AR88" s="2315"/>
      <c r="AS88" s="2315"/>
      <c r="AT88" s="2315"/>
      <c r="AU88" s="2315"/>
      <c r="AV88" s="2315"/>
      <c r="AW88" s="2315"/>
      <c r="AX88" s="2315"/>
      <c r="AY88" s="2318" t="s">
        <v>555</v>
      </c>
      <c r="AZ88" s="2318"/>
      <c r="BA88" s="2318"/>
      <c r="BB88" s="2319"/>
      <c r="BC88" s="1207"/>
      <c r="BD88" s="1207"/>
      <c r="BE88" s="1213"/>
    </row>
    <row r="89" spans="1:57" ht="16.5" customHeight="1">
      <c r="A89" s="1207"/>
      <c r="B89" s="2247"/>
      <c r="C89" s="2248"/>
      <c r="D89" s="2248"/>
      <c r="E89" s="2248"/>
      <c r="F89" s="2248"/>
      <c r="G89" s="2248"/>
      <c r="H89" s="2248"/>
      <c r="I89" s="2248" t="s">
        <v>1898</v>
      </c>
      <c r="J89" s="2248"/>
      <c r="K89" s="2248"/>
      <c r="L89" s="2248"/>
      <c r="M89" s="2248"/>
      <c r="N89" s="2248"/>
      <c r="O89" s="2248" t="s">
        <v>1899</v>
      </c>
      <c r="P89" s="2248"/>
      <c r="Q89" s="2248"/>
      <c r="R89" s="2248"/>
      <c r="S89" s="2248"/>
      <c r="T89" s="2248"/>
      <c r="U89" s="2248"/>
      <c r="V89" s="2322" t="s">
        <v>2264</v>
      </c>
      <c r="W89" s="2322"/>
      <c r="X89" s="2322"/>
      <c r="Y89" s="2322"/>
      <c r="Z89" s="2322"/>
      <c r="AA89" s="2322"/>
      <c r="AB89" s="2227" t="s">
        <v>1900</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2247</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2248</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2265</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1901</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2249</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1755</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2250</v>
      </c>
      <c r="J98" s="2248"/>
      <c r="K98" s="2248"/>
      <c r="L98" s="2248"/>
      <c r="M98" s="2248"/>
      <c r="N98" s="2248"/>
      <c r="O98" s="2345" t="s">
        <v>2251</v>
      </c>
      <c r="P98" s="2345"/>
      <c r="Q98" s="2345"/>
      <c r="R98" s="2345"/>
      <c r="S98" s="2345"/>
      <c r="T98" s="2345"/>
      <c r="U98" s="2346"/>
      <c r="V98" s="1207"/>
      <c r="W98" s="1207"/>
      <c r="X98" s="2300" t="s">
        <v>2263</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2252</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2253</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1906</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1899</v>
      </c>
      <c r="J105" s="2338"/>
      <c r="K105" s="2338"/>
      <c r="L105" s="2338"/>
      <c r="M105" s="2338"/>
      <c r="N105" s="2338"/>
      <c r="O105" s="2338"/>
      <c r="P105" s="2338" t="s">
        <v>2264</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2252</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2253</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1907</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555</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1908</v>
      </c>
      <c r="C111" s="2354"/>
      <c r="D111" s="2354"/>
      <c r="E111" s="2354"/>
      <c r="F111" s="2354"/>
      <c r="G111" s="2354"/>
      <c r="H111" s="2354"/>
      <c r="I111" s="2354"/>
      <c r="J111" s="2354"/>
      <c r="K111" s="2354"/>
      <c r="L111" s="2354"/>
      <c r="M111" s="2354"/>
      <c r="N111" s="2354"/>
      <c r="O111" s="2354"/>
      <c r="P111" s="2354"/>
      <c r="Q111" s="2354"/>
      <c r="R111" s="2355" t="s">
        <v>2266</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252</v>
      </c>
      <c r="BD111" s="1207"/>
      <c r="BE111" s="1213"/>
    </row>
    <row r="112" spans="1:57" ht="15.75" customHeight="1">
      <c r="A112" s="1207"/>
      <c r="B112" s="2357" t="s">
        <v>2267</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1910</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2269</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1899</v>
      </c>
      <c r="J126" s="2338"/>
      <c r="K126" s="2338"/>
      <c r="L126" s="2338"/>
      <c r="M126" s="2338"/>
      <c r="N126" s="2338"/>
      <c r="O126" s="2338"/>
      <c r="P126" s="2338" t="s">
        <v>2270</v>
      </c>
      <c r="Q126" s="2338"/>
      <c r="R126" s="2338"/>
      <c r="S126" s="2338"/>
      <c r="T126" s="2338"/>
      <c r="U126" s="2339"/>
      <c r="V126" s="1207"/>
      <c r="W126" s="1207"/>
      <c r="X126" s="2336"/>
      <c r="Y126" s="2337"/>
      <c r="Z126" s="2337"/>
      <c r="AA126" s="2337"/>
      <c r="AB126" s="2337"/>
      <c r="AC126" s="2337"/>
      <c r="AD126" s="2337"/>
      <c r="AE126" s="2338" t="s">
        <v>1899</v>
      </c>
      <c r="AF126" s="2338"/>
      <c r="AG126" s="2338"/>
      <c r="AH126" s="2338"/>
      <c r="AI126" s="2338"/>
      <c r="AJ126" s="2338"/>
      <c r="AK126" s="2338"/>
      <c r="AL126" s="2338" t="s">
        <v>2264</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2252</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2252</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2253</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2254</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1911</v>
      </c>
      <c r="D132" s="2337"/>
      <c r="E132" s="2337"/>
      <c r="F132" s="2337"/>
      <c r="G132" s="2337"/>
      <c r="H132" s="2337"/>
      <c r="I132" s="2337"/>
      <c r="J132" s="2337"/>
      <c r="K132" s="2337"/>
      <c r="L132" s="2337"/>
      <c r="M132" s="2337"/>
      <c r="N132" s="2337"/>
      <c r="O132" s="2337"/>
      <c r="P132" s="2337"/>
      <c r="Q132" s="2337" t="s">
        <v>1912</v>
      </c>
      <c r="R132" s="2337"/>
      <c r="S132" s="2337"/>
      <c r="T132" s="2227" t="s">
        <v>2255</v>
      </c>
      <c r="U132" s="2227"/>
      <c r="V132" s="2227"/>
      <c r="W132" s="2227"/>
      <c r="X132" s="2227"/>
      <c r="Y132" s="2227"/>
      <c r="Z132" s="2227"/>
      <c r="AA132" s="2227"/>
      <c r="AB132" s="2337" t="s">
        <v>1913</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1914</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1915</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1916</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1884</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171</v>
      </c>
      <c r="D137" s="2364"/>
      <c r="E137" s="2364"/>
      <c r="F137" s="2371" t="s">
        <v>1917</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171</v>
      </c>
      <c r="D138" s="2364"/>
      <c r="E138" s="2364"/>
      <c r="F138" s="2371" t="s">
        <v>1917</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171</v>
      </c>
      <c r="D139" s="2373"/>
      <c r="E139" s="2373"/>
      <c r="F139" s="2374" t="s">
        <v>1917</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1918</v>
      </c>
      <c r="D141" s="2297"/>
      <c r="E141" s="2297"/>
      <c r="F141" s="2297"/>
      <c r="G141" s="2297"/>
      <c r="H141" s="2297"/>
      <c r="I141" s="2297"/>
      <c r="J141" s="2297"/>
      <c r="K141" s="2297"/>
      <c r="L141" s="2297"/>
      <c r="M141" s="2297"/>
      <c r="N141" s="2333"/>
      <c r="O141" s="1207"/>
      <c r="P141" s="2351" t="s">
        <v>1919</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1920</v>
      </c>
      <c r="D142" s="2337"/>
      <c r="E142" s="2337"/>
      <c r="F142" s="2337"/>
      <c r="G142" s="2337"/>
      <c r="H142" s="2337"/>
      <c r="I142" s="2337" t="s">
        <v>1921</v>
      </c>
      <c r="J142" s="2337"/>
      <c r="K142" s="2337"/>
      <c r="L142" s="2337"/>
      <c r="M142" s="2337"/>
      <c r="N142" s="2368"/>
      <c r="O142" s="1207"/>
      <c r="P142" s="2300" t="s">
        <v>2263</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2600</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1911</v>
      </c>
      <c r="D153" s="2297"/>
      <c r="E153" s="2297"/>
      <c r="F153" s="2297"/>
      <c r="G153" s="2297"/>
      <c r="H153" s="2297"/>
      <c r="I153" s="2297"/>
      <c r="J153" s="2297"/>
      <c r="K153" s="2297"/>
      <c r="L153" s="2297"/>
      <c r="M153" s="2297"/>
      <c r="N153" s="2297" t="s">
        <v>1922</v>
      </c>
      <c r="O153" s="2297"/>
      <c r="P153" s="2297"/>
      <c r="Q153" s="2297"/>
      <c r="R153" s="2297"/>
      <c r="S153" s="2297"/>
      <c r="T153" s="2297"/>
      <c r="U153" s="2220" t="s">
        <v>1911</v>
      </c>
      <c r="V153" s="2220"/>
      <c r="W153" s="2220"/>
      <c r="X153" s="2220"/>
      <c r="Y153" s="2220"/>
      <c r="Z153" s="2220"/>
      <c r="AA153" s="2220"/>
      <c r="AB153" s="2220"/>
      <c r="AC153" s="2220"/>
      <c r="AD153" s="2220"/>
      <c r="AE153" s="2221"/>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2601</v>
      </c>
      <c r="D154" s="2382"/>
      <c r="E154" s="2382"/>
      <c r="F154" s="2382"/>
      <c r="G154" s="2382"/>
      <c r="H154" s="2382"/>
      <c r="I154" s="2382"/>
      <c r="J154" s="2382"/>
      <c r="K154" s="2382"/>
      <c r="L154" s="2382"/>
      <c r="M154" s="2382"/>
      <c r="N154" s="2383">
        <f>'Sources and Uses Budget'!B105</f>
        <v>130067043</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2603</v>
      </c>
      <c r="D155" s="2382"/>
      <c r="E155" s="2382"/>
      <c r="F155" s="2382"/>
      <c r="G155" s="2382"/>
      <c r="H155" s="2382"/>
      <c r="I155" s="2382"/>
      <c r="J155" s="2382"/>
      <c r="K155" s="2382"/>
      <c r="L155" s="2382"/>
      <c r="M155" s="2382"/>
      <c r="N155" s="2383">
        <f>N154/J29</f>
        <v>1040536.344</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2604</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2271</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2605</v>
      </c>
      <c r="D157" s="2382"/>
      <c r="E157" s="2382"/>
      <c r="F157" s="2382"/>
      <c r="G157" s="2382"/>
      <c r="H157" s="2382"/>
      <c r="I157" s="2382"/>
      <c r="J157" s="2382"/>
      <c r="K157" s="2382"/>
      <c r="L157" s="2382"/>
      <c r="M157" s="2382"/>
      <c r="N157" s="2397">
        <f>SUM('Sources and Uses Budget'!B85:B86)</f>
        <v>3867109</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2607</v>
      </c>
      <c r="D158" s="2382"/>
      <c r="E158" s="2382"/>
      <c r="F158" s="2382"/>
      <c r="G158" s="2382"/>
      <c r="H158" s="2382"/>
      <c r="I158" s="2382"/>
      <c r="J158" s="2382"/>
      <c r="K158" s="2382"/>
      <c r="L158" s="2382"/>
      <c r="M158" s="2382"/>
      <c r="N158" s="2397">
        <f>'Sources and Uses Budget'!B8</f>
        <v>14359424</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2608</v>
      </c>
      <c r="AI158" s="2399"/>
      <c r="AJ158" s="2399"/>
      <c r="AK158" s="2399"/>
      <c r="AL158" s="2399"/>
      <c r="AM158" s="2399"/>
      <c r="AN158" s="2399"/>
      <c r="AO158" s="2399"/>
      <c r="AP158" s="2399"/>
      <c r="AQ158" s="2399"/>
      <c r="AR158" s="2400"/>
      <c r="AS158" s="2404" t="s">
        <v>2609</v>
      </c>
      <c r="AT158" s="2405"/>
      <c r="AU158" s="2405"/>
      <c r="AV158" s="2405"/>
      <c r="AW158" s="2405"/>
      <c r="AX158" s="2406"/>
      <c r="AY158" s="2405" t="s">
        <v>2610</v>
      </c>
      <c r="AZ158" s="2405"/>
      <c r="BA158" s="2405"/>
      <c r="BB158" s="2405"/>
      <c r="BC158" s="2405"/>
      <c r="BD158" s="2410"/>
      <c r="BE158" s="1213"/>
    </row>
    <row r="159" spans="1:57" ht="15.75" customHeight="1">
      <c r="A159" s="1207"/>
      <c r="B159" s="1207"/>
      <c r="C159" s="2381" t="s">
        <v>2611</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2612</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2272</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302</v>
      </c>
      <c r="D161" s="2365"/>
      <c r="E161" s="2417" t="s">
        <v>1917</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2273</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302</v>
      </c>
      <c r="D162" s="2251"/>
      <c r="E162" s="2417" t="s">
        <v>1917</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2274</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302</v>
      </c>
      <c r="D163" s="2424"/>
      <c r="E163" s="2425" t="s">
        <v>1917</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2275</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1925</v>
      </c>
      <c r="D164" s="2420"/>
      <c r="E164" s="2420"/>
      <c r="F164" s="2420"/>
      <c r="G164" s="2420"/>
      <c r="H164" s="2420"/>
      <c r="I164" s="2420"/>
      <c r="J164" s="2420"/>
      <c r="K164" s="2420"/>
      <c r="L164" s="2420"/>
      <c r="M164" s="2420"/>
      <c r="N164" s="2421">
        <f>SUM(N156:T163)</f>
        <v>18226533</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2276</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2613</v>
      </c>
      <c r="D165" s="2446"/>
      <c r="E165" s="2446"/>
      <c r="F165" s="2446"/>
      <c r="G165" s="2446"/>
      <c r="H165" s="2446"/>
      <c r="I165" s="2446"/>
      <c r="J165" s="2446"/>
      <c r="K165" s="2446"/>
      <c r="L165" s="2446"/>
      <c r="M165" s="2446"/>
      <c r="N165" s="2447">
        <f>(N154-N164)/J29</f>
        <v>894724.08</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2277</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1926</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1927</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1928</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1929</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1931</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2614</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1932</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1933</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1934</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445</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1935</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1936</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6" zoomScaleNormal="100" zoomScaleSheetLayoutView="100" workbookViewId="0">
      <selection activeCell="AG97" sqref="AG97"/>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497" t="s">
        <v>1446</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 customHeight="1">
      <c r="B11" s="2478" t="s">
        <v>377</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109758820</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 customHeight="1">
      <c r="B12" s="2493" t="s">
        <v>507</v>
      </c>
      <c r="C12" s="1281"/>
      <c r="D12" s="1281"/>
      <c r="E12" s="1281"/>
      <c r="F12" s="1281"/>
      <c r="G12" s="1281"/>
      <c r="H12" s="1281"/>
      <c r="I12" s="1281"/>
      <c r="J12" s="1281"/>
      <c r="K12" s="1281"/>
      <c r="L12" s="1281"/>
      <c r="M12" s="1281"/>
      <c r="N12" s="1281"/>
      <c r="O12" s="1281"/>
      <c r="P12" s="1281"/>
      <c r="Q12" s="1281"/>
      <c r="R12" s="1281"/>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 customHeight="1">
      <c r="B13" s="468"/>
      <c r="C13" s="2495" t="s">
        <v>508</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 customHeight="1">
      <c r="B14" s="468"/>
      <c r="C14" s="2495" t="s">
        <v>509</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 customHeight="1">
      <c r="B15" s="468"/>
      <c r="C15" s="2495" t="s">
        <v>510</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 customHeight="1">
      <c r="B16" s="468"/>
      <c r="C16" s="2495" t="s">
        <v>831</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 customHeight="1">
      <c r="B17" s="468"/>
      <c r="C17" s="2495" t="s">
        <v>511</v>
      </c>
      <c r="D17" s="2495"/>
      <c r="E17" s="2495"/>
      <c r="F17" s="2495"/>
      <c r="G17" s="2495"/>
      <c r="H17" s="2495"/>
      <c r="I17" s="2495"/>
      <c r="J17" s="2495"/>
      <c r="K17" s="2495"/>
      <c r="L17" s="2495"/>
      <c r="M17" s="2495"/>
      <c r="N17" s="2495"/>
      <c r="O17" s="2495"/>
      <c r="P17" s="2495"/>
      <c r="Q17" s="2495"/>
      <c r="R17" s="2495"/>
      <c r="S17" s="2496"/>
      <c r="T17" s="2469"/>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 customHeight="1">
      <c r="A18"/>
      <c r="B18" s="1203"/>
      <c r="C18" s="1670" t="s">
        <v>1001</v>
      </c>
      <c r="D18" s="1670"/>
      <c r="E18" s="1670"/>
      <c r="F18" s="1670"/>
      <c r="G18" s="1670"/>
      <c r="H18" s="1670"/>
      <c r="I18" s="1670"/>
      <c r="J18" s="1670"/>
      <c r="K18" s="1670"/>
      <c r="L18" s="1670"/>
      <c r="M18" s="1670"/>
      <c r="N18" s="1670"/>
      <c r="O18" s="1670"/>
      <c r="P18" s="1670"/>
      <c r="Q18" s="1670"/>
      <c r="R18" s="1670"/>
      <c r="S18" s="1671"/>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 customHeight="1">
      <c r="B19" s="1203"/>
      <c r="C19" s="1670" t="s">
        <v>1001</v>
      </c>
      <c r="D19" s="1670"/>
      <c r="E19" s="1670"/>
      <c r="F19" s="1670"/>
      <c r="G19" s="1670"/>
      <c r="H19" s="1670"/>
      <c r="I19" s="1670"/>
      <c r="J19" s="1670"/>
      <c r="K19" s="1670"/>
      <c r="L19" s="1670"/>
      <c r="M19" s="1670"/>
      <c r="N19" s="1670"/>
      <c r="O19" s="1670"/>
      <c r="P19" s="1670"/>
      <c r="Q19" s="1670"/>
      <c r="R19" s="1670"/>
      <c r="S19" s="1671"/>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 customHeight="1">
      <c r="B20" s="2478" t="s">
        <v>512</v>
      </c>
      <c r="C20" s="2479"/>
      <c r="D20" s="2479"/>
      <c r="E20" s="2479"/>
      <c r="F20" s="2479"/>
      <c r="G20" s="2479"/>
      <c r="H20" s="2479"/>
      <c r="I20" s="2479"/>
      <c r="J20" s="2479"/>
      <c r="K20" s="2479"/>
      <c r="L20" s="2479"/>
      <c r="M20" s="2479"/>
      <c r="N20" s="2479"/>
      <c r="O20" s="2479"/>
      <c r="P20" s="2479"/>
      <c r="Q20" s="2479"/>
      <c r="R20" s="2479"/>
      <c r="S20" s="2480"/>
      <c r="T20" s="2471">
        <f>SUM(T13:X19)</f>
        <v>0</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 customHeight="1">
      <c r="B21" s="2478" t="s">
        <v>1422</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 customHeight="1">
      <c r="B22" s="2478" t="s">
        <v>513</v>
      </c>
      <c r="C22" s="2479"/>
      <c r="D22" s="2479"/>
      <c r="E22" s="2479"/>
      <c r="F22" s="2479"/>
      <c r="G22" s="2479"/>
      <c r="H22" s="2479"/>
      <c r="I22" s="2479"/>
      <c r="J22" s="2479"/>
      <c r="K22" s="2479"/>
      <c r="L22" s="2479"/>
      <c r="M22" s="2479"/>
      <c r="N22" s="2479"/>
      <c r="O22" s="2479"/>
      <c r="P22" s="2479"/>
      <c r="Q22" s="2479"/>
      <c r="R22" s="2479"/>
      <c r="S22" s="2480"/>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 customHeight="1">
      <c r="B23" s="2478" t="s">
        <v>514</v>
      </c>
      <c r="C23" s="2479"/>
      <c r="D23" s="2479"/>
      <c r="E23" s="2479"/>
      <c r="F23" s="2479"/>
      <c r="G23" s="2479"/>
      <c r="H23" s="2479"/>
      <c r="I23" s="2479"/>
      <c r="J23" s="2479"/>
      <c r="K23" s="2479"/>
      <c r="L23" s="2479"/>
      <c r="M23" s="2479"/>
      <c r="N23" s="2479"/>
      <c r="O23" s="2479"/>
      <c r="P23" s="2479"/>
      <c r="Q23" s="2479"/>
      <c r="R23" s="2479"/>
      <c r="S23" s="2480"/>
      <c r="T23" s="2471">
        <f>T11+T22</f>
        <v>109758820</v>
      </c>
      <c r="U23" s="2472"/>
      <c r="V23" s="2472"/>
      <c r="W23" s="2472"/>
      <c r="X23" s="2472"/>
      <c r="Y23" s="2471">
        <f>Y11+Y22</f>
        <v>0</v>
      </c>
      <c r="Z23" s="2472"/>
      <c r="AA23" s="2472"/>
      <c r="AB23" s="2472"/>
      <c r="AC23" s="2472"/>
      <c r="AD23" s="2471">
        <f>AD11+AD22</f>
        <v>0</v>
      </c>
      <c r="AE23" s="2472"/>
      <c r="AF23" s="2472"/>
      <c r="AG23" s="2472"/>
      <c r="AH23" s="2472"/>
      <c r="AI23" s="2471">
        <f>AI11+AI22</f>
        <v>0</v>
      </c>
      <c r="AJ23" s="2472"/>
      <c r="AK23" s="2472"/>
      <c r="AL23" s="2472"/>
      <c r="AM23" s="2472"/>
    </row>
    <row r="24" spans="1:40" ht="12.9" customHeight="1">
      <c r="B24" s="2478" t="s">
        <v>1002</v>
      </c>
      <c r="C24" s="2479"/>
      <c r="D24" s="2479"/>
      <c r="E24" s="2479"/>
      <c r="F24" s="2479"/>
      <c r="G24" s="2479"/>
      <c r="H24" s="2479"/>
      <c r="I24" s="2479"/>
      <c r="J24" s="2479"/>
      <c r="K24" s="2479"/>
      <c r="L24" s="2479"/>
      <c r="M24" s="2479"/>
      <c r="N24" s="2479"/>
      <c r="O24" s="2479"/>
      <c r="P24" s="2479"/>
      <c r="Q24" s="2479"/>
      <c r="R24" s="2479"/>
      <c r="S24" s="2480"/>
      <c r="T24" s="2473">
        <f>Application!AJ1018</f>
        <v>238386826.39999998</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 customHeight="1">
      <c r="B25" s="2482" t="s">
        <v>1423</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 customHeight="1">
      <c r="B26" s="2478" t="s">
        <v>515</v>
      </c>
      <c r="C26" s="2479"/>
      <c r="D26" s="2479"/>
      <c r="E26" s="2479"/>
      <c r="F26" s="2479"/>
      <c r="G26" s="2479"/>
      <c r="H26" s="2479"/>
      <c r="I26" s="2479"/>
      <c r="J26" s="2479"/>
      <c r="K26" s="2479"/>
      <c r="L26" s="2479"/>
      <c r="M26" s="2479"/>
      <c r="N26" s="2479"/>
      <c r="O26" s="2479"/>
      <c r="P26" s="2479"/>
      <c r="Q26" s="2479"/>
      <c r="R26" s="2479"/>
      <c r="S26" s="2480"/>
      <c r="T26" s="2471">
        <f>T23*T25</f>
        <v>142686466</v>
      </c>
      <c r="U26" s="2472"/>
      <c r="V26" s="2472"/>
      <c r="W26" s="2472"/>
      <c r="X26" s="2472"/>
      <c r="Y26" s="2471">
        <f>Y23*Y25</f>
        <v>0</v>
      </c>
      <c r="Z26" s="2472"/>
      <c r="AA26" s="2472"/>
      <c r="AB26" s="2472"/>
      <c r="AC26" s="2472"/>
      <c r="AD26" s="2471">
        <f>AD23*AD25</f>
        <v>0</v>
      </c>
      <c r="AE26" s="2472"/>
      <c r="AF26" s="2472"/>
      <c r="AG26" s="2472"/>
      <c r="AH26" s="2472"/>
      <c r="AI26" s="2471">
        <f>AI23*AI25</f>
        <v>0</v>
      </c>
      <c r="AJ26" s="2472"/>
      <c r="AK26" s="2472"/>
      <c r="AL26" s="2472"/>
      <c r="AM26" s="2472"/>
    </row>
    <row r="27" spans="1:40" ht="12.9" customHeight="1">
      <c r="A27" s="442"/>
      <c r="B27" s="2485" t="s">
        <v>428</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71">
        <f>IF(ISERROR((T26*T27)),0,(T26*T27))</f>
        <v>142686466</v>
      </c>
      <c r="U28" s="2472"/>
      <c r="V28" s="2472"/>
      <c r="W28" s="2472"/>
      <c r="X28" s="2472"/>
      <c r="Y28" s="2471">
        <f>IF(ISERROR((Y26*Y27)),0,(Y26*Y27))</f>
        <v>0</v>
      </c>
      <c r="Z28" s="2472"/>
      <c r="AA28" s="2472"/>
      <c r="AB28" s="2472"/>
      <c r="AC28" s="2472"/>
      <c r="AD28" s="2471">
        <f>IF(ISERROR((AD26*AD27)),0,(AD26*AD27))</f>
        <v>0</v>
      </c>
      <c r="AE28" s="2472"/>
      <c r="AF28" s="2472"/>
      <c r="AG28" s="2472"/>
      <c r="AH28" s="2472"/>
      <c r="AI28" s="2471">
        <f>IF(ISERROR((AI26*AI27)),0,(AI26*AI27))</f>
        <v>0</v>
      </c>
      <c r="AJ28" s="2472"/>
      <c r="AK28" s="2472"/>
      <c r="AL28" s="2472"/>
      <c r="AM28" s="2472"/>
    </row>
    <row r="29" spans="1:40" ht="12.9" customHeight="1">
      <c r="B29" s="2478" t="s">
        <v>533</v>
      </c>
      <c r="C29" s="2479"/>
      <c r="D29" s="2479"/>
      <c r="E29" s="2479"/>
      <c r="F29" s="2479"/>
      <c r="G29" s="2479"/>
      <c r="H29" s="2479"/>
      <c r="I29" s="2479"/>
      <c r="J29" s="2479"/>
      <c r="K29" s="2479"/>
      <c r="L29" s="2479"/>
      <c r="M29" s="2479"/>
      <c r="N29" s="2479"/>
      <c r="O29" s="2479"/>
      <c r="P29" s="2479"/>
      <c r="Q29" s="2479"/>
      <c r="R29" s="2479"/>
      <c r="S29" s="2480"/>
      <c r="T29" s="2473">
        <f>T28+Y28+AD28+AI28</f>
        <v>142686466</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 customHeight="1">
      <c r="B30" s="2481" t="s">
        <v>1425</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 customHeight="1">
      <c r="B31" s="2481" t="s">
        <v>1424</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1294</v>
      </c>
      <c r="Z35" s="2499"/>
      <c r="AA35" s="2499"/>
      <c r="AB35" s="2499"/>
      <c r="AC35" s="2499"/>
      <c r="AD35" s="2522" t="s">
        <v>371</v>
      </c>
      <c r="AE35" s="2522"/>
      <c r="AF35" s="2522"/>
      <c r="AG35" s="2522"/>
      <c r="AH35" s="2522"/>
    </row>
    <row r="36" spans="1:76" ht="12.9" customHeight="1">
      <c r="B36" s="439"/>
      <c r="X36" s="444"/>
      <c r="Y36" s="2499"/>
      <c r="Z36" s="2499"/>
      <c r="AA36" s="2499"/>
      <c r="AB36" s="2499"/>
      <c r="AC36" s="2499"/>
      <c r="AD36" s="2522"/>
      <c r="AE36" s="2522"/>
      <c r="AF36" s="2522"/>
      <c r="AG36" s="2522"/>
      <c r="AH36" s="2522"/>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142686466</v>
      </c>
      <c r="Z38" s="2472"/>
      <c r="AA38" s="2472"/>
      <c r="AB38" s="2472"/>
      <c r="AC38" s="2472"/>
      <c r="AD38" s="2472">
        <f>IF(T24&gt;=(T23+Y23+AD23+AI23),AD28+AI28,0)</f>
        <v>0</v>
      </c>
      <c r="AE38" s="2472"/>
      <c r="AF38" s="2472"/>
      <c r="AG38" s="2472"/>
      <c r="AH38" s="2472"/>
    </row>
    <row r="39" spans="1:76" ht="12.9" customHeight="1">
      <c r="B39" s="2478" t="s">
        <v>1953</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5707459</v>
      </c>
      <c r="Z40" s="2472"/>
      <c r="AA40" s="2472"/>
      <c r="AB40" s="2472"/>
      <c r="AC40" s="2472"/>
      <c r="AD40" s="2471">
        <f>ROUND(AD38*AD39,0)</f>
        <v>0</v>
      </c>
      <c r="AE40" s="2472"/>
      <c r="AF40" s="2472"/>
      <c r="AG40" s="2472"/>
      <c r="AH40" s="2472"/>
    </row>
    <row r="41" spans="1:76" ht="12.9"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5707459</v>
      </c>
      <c r="Z41" s="2474"/>
      <c r="AA41" s="2474"/>
      <c r="AB41" s="2474"/>
      <c r="AC41" s="2474"/>
      <c r="AD41" s="2474"/>
      <c r="AE41" s="2474"/>
      <c r="AF41" s="2474"/>
      <c r="AG41" s="2474"/>
      <c r="AH41" s="2471"/>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76" t="s">
        <v>1436</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 customHeight="1" thickTop="1"/>
    <row r="46" spans="1:76" ht="12.9" customHeight="1">
      <c r="A46" s="436" t="s">
        <v>596</v>
      </c>
      <c r="C46" s="436" t="s">
        <v>284</v>
      </c>
    </row>
    <row r="47" spans="1:76" ht="12.9" customHeight="1">
      <c r="D47" s="436" t="s">
        <v>285</v>
      </c>
      <c r="AB47" s="2488">
        <f>'Sources and Uses Budget'!B105-MAX(IF('Sources and Uses Budget'!B15="",0,'Sources and Uses Budget'!B15),IF(Application!AG393="",0,Application!AG393))</f>
        <v>130067043</v>
      </c>
      <c r="AC47" s="2489"/>
      <c r="AD47" s="2489"/>
      <c r="AE47" s="2489"/>
      <c r="AF47" s="2490"/>
    </row>
    <row r="48" spans="1:76" ht="12.9" customHeight="1">
      <c r="D48" s="436" t="s">
        <v>21</v>
      </c>
      <c r="AB48" s="2488">
        <f>Application!AO635-MAX(IF('Sources and Uses Budget'!B15="",0,'Sources and Uses Budget'!B15),IF(Application!AG393="",0,Application!AG393))</f>
        <v>54140693</v>
      </c>
      <c r="AC48" s="2489"/>
      <c r="AD48" s="2489"/>
      <c r="AE48" s="2489"/>
      <c r="AF48" s="2490"/>
    </row>
    <row r="49" spans="1:76" ht="12.9" customHeight="1">
      <c r="D49" s="436" t="s">
        <v>92</v>
      </c>
      <c r="AB49" s="2488">
        <f>AB47-AB48</f>
        <v>75926350</v>
      </c>
      <c r="AC49" s="2489"/>
      <c r="AD49" s="2489"/>
      <c r="AE49" s="2489"/>
      <c r="AF49" s="2490"/>
    </row>
    <row r="50" spans="1:76" ht="12.9" customHeight="1">
      <c r="D50" s="436" t="s">
        <v>691</v>
      </c>
      <c r="AA50" s="447"/>
      <c r="AB50" s="2515">
        <v>0.84</v>
      </c>
      <c r="AC50" s="2516"/>
      <c r="AD50" s="2516"/>
      <c r="AE50" s="2516"/>
      <c r="AF50" s="2517"/>
    </row>
    <row r="51" spans="1:76" s="449" customFormat="1" ht="12.9" customHeight="1">
      <c r="A51" s="434"/>
      <c r="B51" s="434"/>
      <c r="C51" s="434"/>
      <c r="D51" s="434"/>
      <c r="E51" s="2518" t="s">
        <v>2114</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88">
        <f>ROUND(IF(ISERROR((AB49/AB50)),0,(AB49/AB50)),0)</f>
        <v>90388512</v>
      </c>
      <c r="AC54" s="2489"/>
      <c r="AD54" s="2489"/>
      <c r="AE54" s="2489"/>
      <c r="AF54" s="2490"/>
    </row>
    <row r="55" spans="1:76" ht="12.9" customHeight="1">
      <c r="D55" s="436" t="s">
        <v>335</v>
      </c>
      <c r="AB55" s="2488">
        <f>(AB54/10)</f>
        <v>9038851.1999999993</v>
      </c>
      <c r="AC55" s="2489"/>
      <c r="AD55" s="2489"/>
      <c r="AE55" s="2489"/>
      <c r="AF55" s="2490"/>
    </row>
    <row r="56" spans="1:76" ht="12.9" customHeight="1">
      <c r="D56" s="436" t="s">
        <v>769</v>
      </c>
      <c r="AB56" s="2519">
        <f>(IF((Y41&lt;AB55),Y41,AB55))</f>
        <v>5707459</v>
      </c>
      <c r="AC56" s="2520"/>
      <c r="AD56" s="2520"/>
      <c r="AE56" s="2520"/>
      <c r="AF56" s="2521"/>
    </row>
    <row r="57" spans="1:76" ht="12.9" customHeight="1">
      <c r="D57" s="436" t="s">
        <v>768</v>
      </c>
      <c r="AB57" s="2488">
        <f>ROUND((10*AB56*AB50),0)</f>
        <v>47942656</v>
      </c>
      <c r="AC57" s="2489"/>
      <c r="AD57" s="2489"/>
      <c r="AE57" s="2489"/>
      <c r="AF57" s="2490"/>
    </row>
    <row r="58" spans="1:76" ht="12.9" customHeight="1">
      <c r="D58" s="436"/>
      <c r="AB58" s="455"/>
      <c r="AC58" s="455"/>
      <c r="AD58" s="455"/>
      <c r="AE58" s="455"/>
      <c r="AF58" s="455"/>
    </row>
    <row r="59" spans="1:76" ht="12.9" customHeight="1">
      <c r="D59" s="436" t="s">
        <v>767</v>
      </c>
      <c r="AB59" s="2511">
        <f>AB49-AB57</f>
        <v>27983694</v>
      </c>
      <c r="AC59" s="2511"/>
      <c r="AD59" s="2511"/>
      <c r="AE59" s="2511"/>
      <c r="AF59" s="2511"/>
    </row>
    <row r="60" spans="1:76" ht="12.9" customHeight="1">
      <c r="D60" s="436"/>
      <c r="AB60" s="455"/>
      <c r="AC60" s="455"/>
      <c r="AD60" s="455"/>
      <c r="AE60" s="455"/>
      <c r="AF60" s="455"/>
    </row>
    <row r="61" spans="1:76" s="218" customFormat="1" ht="12.9"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 customHeight="1" thickTop="1"/>
    <row r="63" spans="1:76" ht="12.9" customHeight="1">
      <c r="A63" s="436" t="s">
        <v>599</v>
      </c>
      <c r="C63" s="219" t="s">
        <v>1406</v>
      </c>
      <c r="Y63" s="2512" t="s">
        <v>1025</v>
      </c>
      <c r="Z63" s="2512"/>
      <c r="AA63" s="2512"/>
      <c r="AB63" s="2512"/>
      <c r="AC63" s="2512"/>
      <c r="AD63" s="2512" t="s">
        <v>371</v>
      </c>
      <c r="AE63" s="2512"/>
      <c r="AF63" s="2512"/>
      <c r="AG63" s="2512"/>
      <c r="AH63" s="2512"/>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109758820</v>
      </c>
      <c r="Z64" s="2513"/>
      <c r="AA64" s="2513"/>
      <c r="AB64" s="2513"/>
      <c r="AC64" s="2514"/>
      <c r="AD64" s="2473">
        <f>IF(AND(OR(Application!D210="At-Risk",Application!D210="At-Risk and Special Needs"),Application!M357="yes"),AD28+AI28,0)</f>
        <v>0</v>
      </c>
      <c r="AE64" s="2513"/>
      <c r="AF64" s="2513"/>
      <c r="AG64" s="2513"/>
      <c r="AH64" s="2514"/>
    </row>
    <row r="65" spans="1:36" ht="12.9"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0.3</v>
      </c>
      <c r="Z67" s="2529"/>
      <c r="AA67" s="2529"/>
      <c r="AB67" s="2529"/>
      <c r="AC67" s="2529"/>
      <c r="AD67" s="2529">
        <f>IF(Application!Z203="15% set-aside with qualifying low value rehab", 0.95,0.13)</f>
        <v>0.13</v>
      </c>
      <c r="AE67" s="2529"/>
      <c r="AF67" s="2529"/>
      <c r="AG67" s="2529"/>
      <c r="AH67" s="2529"/>
    </row>
    <row r="68" spans="1:36" ht="12.9" customHeight="1">
      <c r="C68" s="436"/>
      <c r="D68" s="219" t="s">
        <v>1408</v>
      </c>
      <c r="Y68" s="2472">
        <f>ROUND(Y64*Y67,0)</f>
        <v>32927646</v>
      </c>
      <c r="Z68" s="2530"/>
      <c r="AA68" s="2530"/>
      <c r="AB68" s="2530"/>
      <c r="AC68" s="2530"/>
      <c r="AD68" s="2472">
        <f>ROUND(AD64*AD67,0)</f>
        <v>0</v>
      </c>
      <c r="AE68" s="2530"/>
      <c r="AF68" s="2530"/>
      <c r="AG68" s="2530"/>
      <c r="AH68" s="2530"/>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515">
        <v>0.85</v>
      </c>
      <c r="AC71" s="2516"/>
      <c r="AD71" s="2516"/>
      <c r="AE71" s="2516"/>
      <c r="AF71" s="2517"/>
    </row>
    <row r="72" spans="1:36" ht="12.9" customHeight="1">
      <c r="A72" s="436"/>
      <c r="C72" s="436"/>
      <c r="D72" s="436"/>
      <c r="E72" s="2531" t="s">
        <v>1410</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524">
        <f>ROUND(IF(ISERROR((AB59/AB71)),0,(AB59/AB71)),0)</f>
        <v>32921993</v>
      </c>
      <c r="AC76" s="2524"/>
      <c r="AD76" s="2524"/>
      <c r="AE76" s="2524"/>
      <c r="AF76" s="2524"/>
    </row>
    <row r="77" spans="1:36" ht="12.9" customHeight="1">
      <c r="C77" s="436"/>
      <c r="D77" s="219" t="s">
        <v>1412</v>
      </c>
      <c r="AB77" s="2525">
        <f>IF((Y68+AD68&lt;AB76),Y68+AD68,AB76)</f>
        <v>32921993</v>
      </c>
      <c r="AC77" s="2526"/>
      <c r="AD77" s="2526"/>
      <c r="AE77" s="2526"/>
      <c r="AF77" s="2527"/>
    </row>
    <row r="78" spans="1:36" ht="12.9" customHeight="1">
      <c r="C78" s="436"/>
      <c r="D78" s="219" t="s">
        <v>1413</v>
      </c>
      <c r="AB78" s="2528">
        <f>AB77*AB71</f>
        <v>27983694.050000001</v>
      </c>
      <c r="AC78" s="2528"/>
      <c r="AD78" s="2528"/>
      <c r="AE78" s="2528"/>
      <c r="AF78" s="2528"/>
    </row>
    <row r="79" spans="1:36" ht="12.9" customHeight="1">
      <c r="C79" s="436"/>
      <c r="D79" s="436"/>
      <c r="AB79" s="457"/>
      <c r="AC79" s="457"/>
      <c r="AD79" s="457"/>
      <c r="AE79" s="457"/>
      <c r="AF79" s="457"/>
    </row>
    <row r="80" spans="1:36" ht="12.9" customHeight="1">
      <c r="D80" s="436" t="s">
        <v>767</v>
      </c>
      <c r="AB80" s="2511">
        <f>AB49-(AB57+AB78)</f>
        <v>-4.9999997019767761E-2</v>
      </c>
      <c r="AC80" s="2511"/>
      <c r="AD80" s="2511"/>
      <c r="AE80" s="2511"/>
      <c r="AF80" s="2511"/>
    </row>
    <row r="81" spans="1:78" ht="12.9" customHeight="1">
      <c r="F81" s="557"/>
      <c r="J81" s="557" t="str">
        <f>IF(AB80&gt;0,"FUNDING GAP MUST NOT EXCEED ZERO","")</f>
        <v/>
      </c>
    </row>
    <row r="82" spans="1:78" ht="12.9" customHeight="1">
      <c r="D82" s="558"/>
    </row>
    <row r="83" spans="1:78" ht="12.9"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 customHeight="1" thickTop="1"/>
    <row r="85" spans="1:78" ht="12.9" customHeight="1">
      <c r="A85" s="436"/>
      <c r="C85" s="219"/>
    </row>
    <row r="86" spans="1:78" ht="12.9" customHeight="1">
      <c r="D86" s="219"/>
      <c r="AB86" s="2477"/>
      <c r="AC86" s="2477"/>
      <c r="AD86" s="2477"/>
      <c r="AE86" s="2477"/>
      <c r="AF86" s="2477"/>
    </row>
    <row r="87" spans="1:78" ht="12.9"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0" sqref="F10"/>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2" t="s">
        <v>943</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82.8">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5</v>
      </c>
      <c r="C4" s="1131" t="s">
        <v>387</v>
      </c>
      <c r="D4" s="460">
        <f>Application!O714</f>
        <v>974</v>
      </c>
      <c r="E4" s="461"/>
      <c r="F4" s="1132">
        <v>2723</v>
      </c>
      <c r="G4" s="460">
        <f>F4*B4</f>
        <v>13615</v>
      </c>
      <c r="H4" s="461"/>
      <c r="I4" s="460">
        <f>IF(F4=0," ",(F4-D4))</f>
        <v>1749</v>
      </c>
      <c r="J4" s="460">
        <f>IF(F4=0," ",(I4*B4))</f>
        <v>8745</v>
      </c>
      <c r="K4" s="218"/>
      <c r="L4" s="328"/>
    </row>
    <row r="5" spans="1:12">
      <c r="A5" s="460" t="str">
        <f>Application!B715</f>
        <v>1 Bedroom</v>
      </c>
      <c r="B5" s="1130">
        <f>Application!G715</f>
        <v>14</v>
      </c>
      <c r="C5" s="1131" t="s">
        <v>387</v>
      </c>
      <c r="D5" s="460">
        <f>Application!O715</f>
        <v>1673</v>
      </c>
      <c r="E5" s="461"/>
      <c r="F5" s="1132">
        <v>2723</v>
      </c>
      <c r="G5" s="460">
        <f t="shared" ref="G5:G28" si="0">F5*B5</f>
        <v>38122</v>
      </c>
      <c r="H5" s="461"/>
      <c r="I5" s="460">
        <f t="shared" ref="I5:I28" si="1">IF(F5=0," ",(F5-D5))</f>
        <v>1050</v>
      </c>
      <c r="J5" s="460">
        <f t="shared" ref="J5:J28" si="2">IF(F5=0," ",(I5*B5))</f>
        <v>14700</v>
      </c>
      <c r="K5" s="218"/>
      <c r="L5" s="328"/>
    </row>
    <row r="6" spans="1:12">
      <c r="A6" s="460" t="str">
        <f>Application!B716</f>
        <v>1 Bedroom</v>
      </c>
      <c r="B6" s="1130">
        <f>Application!G716</f>
        <v>19</v>
      </c>
      <c r="C6" s="1131"/>
      <c r="D6" s="460">
        <f>Application!O716</f>
        <v>1673</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4</v>
      </c>
      <c r="C7" s="1131"/>
      <c r="D7" s="460">
        <f>Application!O717</f>
        <v>2023</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10</v>
      </c>
      <c r="C8" s="1131"/>
      <c r="D8" s="460">
        <f>Application!O718</f>
        <v>2372</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13</v>
      </c>
      <c r="C9" s="1131" t="s">
        <v>387</v>
      </c>
      <c r="D9" s="460">
        <f>Application!O719</f>
        <v>1156</v>
      </c>
      <c r="E9" s="461"/>
      <c r="F9" s="1132">
        <v>3245</v>
      </c>
      <c r="G9" s="460">
        <f t="shared" si="0"/>
        <v>42185</v>
      </c>
      <c r="H9" s="461"/>
      <c r="I9" s="460">
        <f t="shared" si="1"/>
        <v>2089</v>
      </c>
      <c r="J9" s="460">
        <f t="shared" si="2"/>
        <v>27157</v>
      </c>
      <c r="K9" s="218"/>
      <c r="L9" s="328"/>
    </row>
    <row r="10" spans="1:12">
      <c r="A10" s="460" t="str">
        <f>Application!B720</f>
        <v>2 Bedrooms</v>
      </c>
      <c r="B10" s="1130">
        <f>Application!G720</f>
        <v>1</v>
      </c>
      <c r="C10" s="1131" t="s">
        <v>387</v>
      </c>
      <c r="D10" s="460">
        <f>Application!O720</f>
        <v>1995</v>
      </c>
      <c r="E10" s="461"/>
      <c r="F10" s="1132">
        <v>3245</v>
      </c>
      <c r="G10" s="460">
        <f t="shared" si="0"/>
        <v>3245</v>
      </c>
      <c r="H10" s="461"/>
      <c r="I10" s="460">
        <f t="shared" si="1"/>
        <v>1250</v>
      </c>
      <c r="J10" s="460">
        <f t="shared" si="2"/>
        <v>1250</v>
      </c>
      <c r="K10" s="218"/>
      <c r="L10" s="328"/>
    </row>
    <row r="11" spans="1:12">
      <c r="A11" s="460" t="str">
        <f>Application!B721</f>
        <v>2 Bedrooms</v>
      </c>
      <c r="B11" s="1130">
        <f>Application!G721</f>
        <v>6</v>
      </c>
      <c r="C11" s="1131"/>
      <c r="D11" s="460">
        <f>Application!O721</f>
        <v>1995</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v>
      </c>
      <c r="C12" s="1131"/>
      <c r="D12" s="460">
        <f>Application!O722</f>
        <v>2414</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15</v>
      </c>
      <c r="C13" s="1131"/>
      <c r="D13" s="460">
        <f>Application!O723</f>
        <v>2834</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29</v>
      </c>
      <c r="C14" s="1131" t="s">
        <v>387</v>
      </c>
      <c r="D14" s="460">
        <f>Application!O724</f>
        <v>1318</v>
      </c>
      <c r="E14" s="461"/>
      <c r="F14" s="1132">
        <v>3972</v>
      </c>
      <c r="G14" s="460">
        <f t="shared" si="0"/>
        <v>115188</v>
      </c>
      <c r="H14" s="461"/>
      <c r="I14" s="460">
        <f t="shared" si="1"/>
        <v>2654</v>
      </c>
      <c r="J14" s="460">
        <f t="shared" si="2"/>
        <v>76966</v>
      </c>
      <c r="K14" s="218"/>
      <c r="L14" s="328"/>
    </row>
    <row r="15" spans="1:12">
      <c r="A15" s="460" t="str">
        <f>Application!B725</f>
        <v>3 Bedrooms</v>
      </c>
      <c r="B15" s="1130">
        <f>Application!G725</f>
        <v>1</v>
      </c>
      <c r="C15" s="1131"/>
      <c r="D15" s="460">
        <f>Application!O725</f>
        <v>2287</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v>
      </c>
      <c r="C16" s="1131"/>
      <c r="D16" s="460">
        <f>Application!O726</f>
        <v>2772</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3256</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222001</v>
      </c>
      <c r="E30" s="461"/>
      <c r="F30" s="461"/>
      <c r="G30" s="464">
        <f>SUM(G4:G28)*12</f>
        <v>2548260</v>
      </c>
      <c r="H30" s="465"/>
      <c r="I30" s="463"/>
      <c r="J30" s="464">
        <f>SUM(J4:J28)*12</f>
        <v>1545816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H67" sqref="H67"/>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2519</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2664012</v>
      </c>
      <c r="G4" s="235">
        <f>E4*$C$4</f>
        <v>2730612.3</v>
      </c>
      <c r="I4" s="235">
        <f>G4*$C$4</f>
        <v>2798877.6074999995</v>
      </c>
      <c r="K4" s="235">
        <f>I4*$C$4</f>
        <v>2868849.5476874993</v>
      </c>
      <c r="M4" s="235">
        <f>K4*$C$4</f>
        <v>2940570.7863796866</v>
      </c>
      <c r="O4" s="235">
        <f>M4*$C$4</f>
        <v>3014085.0560391783</v>
      </c>
      <c r="Q4" s="235">
        <f>O4*$C$4</f>
        <v>3089437.1824401575</v>
      </c>
      <c r="S4" s="235">
        <f>Q4*$C$4</f>
        <v>3166673.1120011611</v>
      </c>
      <c r="U4" s="235">
        <f>S4*$C$4</f>
        <v>3245839.93980119</v>
      </c>
      <c r="W4" s="235">
        <f>U4*$C$4</f>
        <v>3326985.9382962193</v>
      </c>
      <c r="Y4" s="235">
        <f>W4*$C$4</f>
        <v>3410160.5867536245</v>
      </c>
      <c r="AA4" s="235">
        <f>Y4*$C$4</f>
        <v>3495414.6014224649</v>
      </c>
      <c r="AC4" s="235">
        <f>AA4*$C$4</f>
        <v>3582799.9664580263</v>
      </c>
      <c r="AE4" s="235">
        <f>AC4*$C$4</f>
        <v>3672369.9656194765</v>
      </c>
      <c r="AG4" s="235">
        <f>AE4*$C$4</f>
        <v>3764179.2147599631</v>
      </c>
    </row>
    <row r="5" spans="1:34" s="225" customFormat="1" ht="13.8">
      <c r="B5" s="225" t="s">
        <v>867</v>
      </c>
      <c r="C5" s="254">
        <f>IF(Application!$D$210="Special Needs",0.1,0.05)</f>
        <v>0.05</v>
      </c>
      <c r="E5" s="237">
        <f>-E4*$C$5</f>
        <v>-133200.6</v>
      </c>
      <c r="F5" s="237"/>
      <c r="G5" s="237">
        <f>-G4*$C$5</f>
        <v>-136530.61499999999</v>
      </c>
      <c r="H5" s="237"/>
      <c r="I5" s="237">
        <f>-I4*$C$5</f>
        <v>-139943.88037499998</v>
      </c>
      <c r="J5" s="237"/>
      <c r="K5" s="237">
        <f>-K4*$C$5</f>
        <v>-143442.47738437497</v>
      </c>
      <c r="L5" s="237"/>
      <c r="M5" s="237">
        <f>-M4*$C$5</f>
        <v>-147028.53931898435</v>
      </c>
      <c r="N5" s="237"/>
      <c r="O5" s="237">
        <f>-O4*$C$5</f>
        <v>-150704.25280195891</v>
      </c>
      <c r="P5" s="237"/>
      <c r="Q5" s="237">
        <f>-Q4*$C$5</f>
        <v>-154471.85912200788</v>
      </c>
      <c r="R5" s="237"/>
      <c r="S5" s="237">
        <f>-S4*$C$5</f>
        <v>-158333.65560005806</v>
      </c>
      <c r="T5" s="237"/>
      <c r="U5" s="237">
        <f>-U4*$C$5</f>
        <v>-162291.9969900595</v>
      </c>
      <c r="V5" s="237"/>
      <c r="W5" s="237">
        <f>-W4*$C$5</f>
        <v>-166349.29691481098</v>
      </c>
      <c r="X5" s="237"/>
      <c r="Y5" s="237">
        <f>-Y4*$C$5</f>
        <v>-170508.02933768125</v>
      </c>
      <c r="Z5" s="237"/>
      <c r="AA5" s="237">
        <f>-AA4*$C$5</f>
        <v>-174770.73007112325</v>
      </c>
      <c r="AB5" s="237"/>
      <c r="AC5" s="237">
        <f>-AC4*$C$5</f>
        <v>-179139.99832290132</v>
      </c>
      <c r="AD5" s="237"/>
      <c r="AE5" s="237">
        <f>-AE4*$C$5</f>
        <v>-183618.49828097384</v>
      </c>
      <c r="AF5" s="237"/>
      <c r="AG5" s="237">
        <f>-AG4*$C$5</f>
        <v>-188208.96073799816</v>
      </c>
    </row>
    <row r="6" spans="1:34" s="225" customFormat="1" ht="13.8">
      <c r="A6" s="225" t="s">
        <v>865</v>
      </c>
      <c r="C6" s="253">
        <v>1.0249999999999999</v>
      </c>
      <c r="E6" s="238">
        <f>Application!Z793</f>
        <v>1545816</v>
      </c>
      <c r="F6" s="238"/>
      <c r="G6" s="238">
        <f>E6*$C$6</f>
        <v>1584461.4</v>
      </c>
      <c r="H6" s="238"/>
      <c r="I6" s="238">
        <f>G6*$C$6</f>
        <v>1624072.9349999998</v>
      </c>
      <c r="J6" s="238"/>
      <c r="K6" s="238">
        <f>I6*$C$6</f>
        <v>1664674.7583749997</v>
      </c>
      <c r="L6" s="238"/>
      <c r="M6" s="238">
        <f>K6*$C$6</f>
        <v>1706291.6273343747</v>
      </c>
      <c r="N6" s="238"/>
      <c r="O6" s="238">
        <f>M6*$C$6</f>
        <v>1748948.9180177338</v>
      </c>
      <c r="P6" s="238"/>
      <c r="Q6" s="238">
        <f>O6*$C$6</f>
        <v>1792672.640968177</v>
      </c>
      <c r="R6" s="238"/>
      <c r="S6" s="238">
        <f>Q6*$C$6</f>
        <v>1837489.4569923813</v>
      </c>
      <c r="T6" s="238"/>
      <c r="U6" s="238">
        <f>S6*$C$6</f>
        <v>1883426.6934171906</v>
      </c>
      <c r="V6" s="238"/>
      <c r="W6" s="238">
        <f>U6*$C$6</f>
        <v>1930512.3607526203</v>
      </c>
      <c r="X6" s="238"/>
      <c r="Y6" s="238">
        <f>W6*$C$6</f>
        <v>1978775.1697714357</v>
      </c>
      <c r="Z6" s="238"/>
      <c r="AA6" s="238">
        <f>Y6*$C$6</f>
        <v>2028244.5490157213</v>
      </c>
      <c r="AB6" s="238"/>
      <c r="AC6" s="238">
        <f>AA6*$C$6</f>
        <v>2078950.6627411142</v>
      </c>
      <c r="AD6" s="238"/>
      <c r="AE6" s="238">
        <f>AC6*$C$6</f>
        <v>2130924.4293096419</v>
      </c>
      <c r="AF6" s="238"/>
      <c r="AG6" s="238">
        <f>AE6*$C$6</f>
        <v>2184197.5400423827</v>
      </c>
    </row>
    <row r="7" spans="1:34" s="225" customFormat="1" ht="13.8">
      <c r="B7" s="225" t="s">
        <v>867</v>
      </c>
      <c r="C7" s="254">
        <f>IF(Application!$D$210="Special Needs",0.1,0.05)</f>
        <v>0.05</v>
      </c>
      <c r="E7" s="237">
        <f>-E6*$C$7</f>
        <v>-77290.8</v>
      </c>
      <c r="F7" s="237"/>
      <c r="G7" s="237">
        <f>-G6*$C$7</f>
        <v>-79223.070000000007</v>
      </c>
      <c r="H7" s="237"/>
      <c r="I7" s="237">
        <f>-I6*$C$7</f>
        <v>-81203.64675</v>
      </c>
      <c r="J7" s="237"/>
      <c r="K7" s="237">
        <f>-K6*$C$7</f>
        <v>-83233.73791874999</v>
      </c>
      <c r="L7" s="237"/>
      <c r="M7" s="237">
        <f>-M6*$C$7</f>
        <v>-85314.581366718747</v>
      </c>
      <c r="N7" s="237"/>
      <c r="O7" s="237">
        <f>-O6*$C$7</f>
        <v>-87447.445900886698</v>
      </c>
      <c r="P7" s="237"/>
      <c r="Q7" s="237">
        <f>-Q6*$C$7</f>
        <v>-89633.63204840885</v>
      </c>
      <c r="R7" s="237"/>
      <c r="S7" s="237">
        <f>-S6*$C$7</f>
        <v>-91874.472849619066</v>
      </c>
      <c r="T7" s="237"/>
      <c r="U7" s="237">
        <f>-U6*$C$7</f>
        <v>-94171.334670859535</v>
      </c>
      <c r="V7" s="237"/>
      <c r="W7" s="237">
        <f>-W6*$C$7</f>
        <v>-96525.618037631022</v>
      </c>
      <c r="X7" s="237"/>
      <c r="Y7" s="237">
        <f>-Y6*$C$7</f>
        <v>-98938.758488571795</v>
      </c>
      <c r="Z7" s="237"/>
      <c r="AA7" s="237">
        <f>-AA6*$C$7</f>
        <v>-101412.22745078607</v>
      </c>
      <c r="AB7" s="237"/>
      <c r="AC7" s="237">
        <f>-AC6*$C$7</f>
        <v>-103947.53313705571</v>
      </c>
      <c r="AD7" s="237"/>
      <c r="AE7" s="237">
        <f>-AE6*$C$7</f>
        <v>-106546.2214654821</v>
      </c>
      <c r="AF7" s="237"/>
      <c r="AG7" s="237">
        <f>-AG6*$C$7</f>
        <v>-109209.87700211914</v>
      </c>
    </row>
    <row r="8" spans="1:34" s="225" customFormat="1" ht="13.8">
      <c r="A8" s="225" t="s">
        <v>290</v>
      </c>
      <c r="C8" s="253">
        <v>1.0249999999999999</v>
      </c>
      <c r="E8" s="238">
        <f>Application!Z801</f>
        <v>20456</v>
      </c>
      <c r="F8" s="238"/>
      <c r="G8" s="238">
        <f>E8*$C$8</f>
        <v>20967.399999999998</v>
      </c>
      <c r="H8" s="238"/>
      <c r="I8" s="238">
        <f>G8*$C$8</f>
        <v>21491.584999999995</v>
      </c>
      <c r="J8" s="238"/>
      <c r="K8" s="238">
        <f>I8*$C$8</f>
        <v>22028.874624999993</v>
      </c>
      <c r="L8" s="238"/>
      <c r="M8" s="238">
        <f>K8*$C$8</f>
        <v>22579.59649062499</v>
      </c>
      <c r="N8" s="238"/>
      <c r="O8" s="238">
        <f>M8*$C$8</f>
        <v>23144.086402890614</v>
      </c>
      <c r="P8" s="238"/>
      <c r="Q8" s="238">
        <f>O8*$C$8</f>
        <v>23722.688562962878</v>
      </c>
      <c r="R8" s="238"/>
      <c r="S8" s="238">
        <f>Q8*$C$8</f>
        <v>24315.755777036946</v>
      </c>
      <c r="T8" s="238"/>
      <c r="U8" s="238">
        <f>S8*$C$8</f>
        <v>24923.649671462867</v>
      </c>
      <c r="V8" s="238"/>
      <c r="W8" s="238">
        <f>U8*$C$8</f>
        <v>25546.740913249436</v>
      </c>
      <c r="X8" s="238"/>
      <c r="Y8" s="238">
        <f>W8*$C$8</f>
        <v>26185.40943608067</v>
      </c>
      <c r="Z8" s="238"/>
      <c r="AA8" s="238">
        <f>Y8*$C$8</f>
        <v>26840.044671982683</v>
      </c>
      <c r="AB8" s="238"/>
      <c r="AC8" s="238">
        <f>AA8*$C$8</f>
        <v>27511.045788782249</v>
      </c>
      <c r="AD8" s="238"/>
      <c r="AE8" s="238">
        <f>AC8*$C$8</f>
        <v>28198.821933501804</v>
      </c>
      <c r="AF8" s="238"/>
      <c r="AG8" s="238">
        <f>AE8*$C$8</f>
        <v>28903.792481839348</v>
      </c>
    </row>
    <row r="9" spans="1:34" s="225" customFormat="1" ht="13.8">
      <c r="B9" s="225" t="s">
        <v>867</v>
      </c>
      <c r="C9" s="254">
        <f>IF(Application!$D$210="Special Needs",0.1,0.05)</f>
        <v>0.05</v>
      </c>
      <c r="E9" s="237">
        <f>-E8*$C$9</f>
        <v>-1022.8000000000001</v>
      </c>
      <c r="F9" s="237"/>
      <c r="G9" s="237">
        <f>-G8*$C$9</f>
        <v>-1048.3699999999999</v>
      </c>
      <c r="H9" s="237"/>
      <c r="I9" s="237">
        <f>-I8*$C$9</f>
        <v>-1074.5792499999998</v>
      </c>
      <c r="J9" s="237"/>
      <c r="K9" s="237">
        <f>-K8*$C$9</f>
        <v>-1101.4437312499997</v>
      </c>
      <c r="L9" s="237"/>
      <c r="M9" s="237">
        <f>-M8*$C$9</f>
        <v>-1128.9798245312495</v>
      </c>
      <c r="N9" s="237"/>
      <c r="O9" s="237">
        <f>-O8*$C$9</f>
        <v>-1157.2043201445308</v>
      </c>
      <c r="P9" s="237"/>
      <c r="Q9" s="237">
        <f>-Q8*$C$9</f>
        <v>-1186.134428148144</v>
      </c>
      <c r="R9" s="237"/>
      <c r="S9" s="237">
        <f>-S8*$C$9</f>
        <v>-1215.7877888518474</v>
      </c>
      <c r="T9" s="237"/>
      <c r="U9" s="237">
        <f>-U8*$C$9</f>
        <v>-1246.1824835731434</v>
      </c>
      <c r="V9" s="237"/>
      <c r="W9" s="237">
        <f>-W8*$C$9</f>
        <v>-1277.3370456624718</v>
      </c>
      <c r="X9" s="237"/>
      <c r="Y9" s="237">
        <f>-Y8*$C$9</f>
        <v>-1309.2704718040336</v>
      </c>
      <c r="Z9" s="237"/>
      <c r="AA9" s="237">
        <f>-AA8*$C$9</f>
        <v>-1342.0022335991343</v>
      </c>
      <c r="AB9" s="237"/>
      <c r="AC9" s="237">
        <f>-AC8*$C$9</f>
        <v>-1375.5522894391124</v>
      </c>
      <c r="AD9" s="237"/>
      <c r="AE9" s="237">
        <f>-AE8*$C$9</f>
        <v>-1409.9410966750902</v>
      </c>
      <c r="AF9" s="237"/>
      <c r="AG9" s="237">
        <f>-AG8*$C$9</f>
        <v>-1445.1896240919675</v>
      </c>
    </row>
    <row r="10" spans="1:34" s="225" customFormat="1" ht="13.8">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4018769.8000000003</v>
      </c>
      <c r="G11" s="239">
        <f>SUM(G4:G10)</f>
        <v>4119239.0449999995</v>
      </c>
      <c r="I11" s="239">
        <f>SUM(I4:I10)</f>
        <v>4222220.0211249981</v>
      </c>
      <c r="K11" s="239">
        <f>SUM(K4:K10)</f>
        <v>4327775.5216531232</v>
      </c>
      <c r="M11" s="239">
        <f>SUM(M4:M10)</f>
        <v>4435969.9096944528</v>
      </c>
      <c r="O11" s="239">
        <f>SUM(O4:O10)</f>
        <v>4546869.1574368123</v>
      </c>
      <c r="Q11" s="239">
        <f>SUM(Q4:Q10)</f>
        <v>4660540.8863727329</v>
      </c>
      <c r="S11" s="239">
        <f>SUM(S4:S10)</f>
        <v>4777054.4085320504</v>
      </c>
      <c r="U11" s="239">
        <f>SUM(U4:U10)</f>
        <v>4896480.7687453516</v>
      </c>
      <c r="W11" s="239">
        <f>SUM(W4:W10)</f>
        <v>5018892.7879639855</v>
      </c>
      <c r="Y11" s="239">
        <f>SUM(Y4:Y10)</f>
        <v>5144365.1076630829</v>
      </c>
      <c r="AA11" s="239">
        <f>SUM(AA4:AA10)</f>
        <v>5272974.2353546601</v>
      </c>
      <c r="AC11" s="239">
        <f>SUM(AC4:AC10)</f>
        <v>5404798.5912385266</v>
      </c>
      <c r="AE11" s="239">
        <f>SUM(AE4:AE10)</f>
        <v>5539918.5560194887</v>
      </c>
      <c r="AG11" s="239">
        <f>SUM(AG4:AG10)</f>
        <v>5678416.5199199766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91498</v>
      </c>
      <c r="G15" s="235">
        <f>E15*$C$14</f>
        <v>94700.43</v>
      </c>
      <c r="I15" s="235">
        <f>G15*$C$14</f>
        <v>98014.94504999998</v>
      </c>
      <c r="K15" s="235">
        <f>I15*$C$14</f>
        <v>101445.46812674997</v>
      </c>
      <c r="M15" s="235">
        <f>K15*$C$14</f>
        <v>104996.05951118621</v>
      </c>
      <c r="O15" s="235">
        <f>M15*$C$14</f>
        <v>108670.92159407772</v>
      </c>
      <c r="Q15" s="235">
        <f>O15*$C$14</f>
        <v>112474.40384987043</v>
      </c>
      <c r="S15" s="235">
        <f>Q15*$C$14</f>
        <v>116411.00798461589</v>
      </c>
      <c r="U15" s="235">
        <f>S15*$C$14</f>
        <v>120485.39326407744</v>
      </c>
      <c r="W15" s="235">
        <f>U15*$C$14</f>
        <v>124702.38202832015</v>
      </c>
      <c r="Y15" s="235">
        <f>W15*$C$14</f>
        <v>129066.96539931135</v>
      </c>
      <c r="AA15" s="235">
        <f>Y15*$C$14</f>
        <v>133584.30918828724</v>
      </c>
      <c r="AC15" s="235">
        <f>AA15*$C$14</f>
        <v>138259.7600098773</v>
      </c>
      <c r="AE15" s="235">
        <f>AC15*$C$14</f>
        <v>143098.85161022298</v>
      </c>
      <c r="AG15" s="235">
        <f>AE15*$C$14</f>
        <v>148107.31141658078</v>
      </c>
    </row>
    <row r="16" spans="1:34" s="225" customFormat="1" ht="13.8">
      <c r="A16" s="225" t="s">
        <v>346</v>
      </c>
      <c r="C16" s="249"/>
      <c r="E16" s="238">
        <f>Application!W833</f>
        <v>167027</v>
      </c>
      <c r="F16" s="238"/>
      <c r="G16" s="238">
        <f t="shared" ref="G16:AG21" si="0">E16*$C$14</f>
        <v>172872.94499999998</v>
      </c>
      <c r="H16" s="238"/>
      <c r="I16" s="238">
        <f t="shared" si="0"/>
        <v>178923.49807499995</v>
      </c>
      <c r="J16" s="238"/>
      <c r="K16" s="238">
        <f t="shared" si="0"/>
        <v>185185.82050762494</v>
      </c>
      <c r="L16" s="238"/>
      <c r="M16" s="238">
        <f t="shared" si="0"/>
        <v>191667.32422539181</v>
      </c>
      <c r="N16" s="238"/>
      <c r="O16" s="238">
        <f t="shared" si="0"/>
        <v>198375.68057328052</v>
      </c>
      <c r="P16" s="238"/>
      <c r="Q16" s="238">
        <f t="shared" si="0"/>
        <v>205318.82939334534</v>
      </c>
      <c r="R16" s="238"/>
      <c r="S16" s="238">
        <f t="shared" si="0"/>
        <v>212504.98842211242</v>
      </c>
      <c r="T16" s="238"/>
      <c r="U16" s="238">
        <f t="shared" si="0"/>
        <v>219942.66301688633</v>
      </c>
      <c r="V16" s="238"/>
      <c r="W16" s="238">
        <f t="shared" si="0"/>
        <v>227640.65622247735</v>
      </c>
      <c r="X16" s="238"/>
      <c r="Y16" s="238">
        <f t="shared" si="0"/>
        <v>235608.07919026405</v>
      </c>
      <c r="Z16" s="238"/>
      <c r="AA16" s="238">
        <f t="shared" si="0"/>
        <v>243854.36196192328</v>
      </c>
      <c r="AB16" s="238"/>
      <c r="AC16" s="238">
        <f t="shared" si="0"/>
        <v>252389.26463059057</v>
      </c>
      <c r="AD16" s="238"/>
      <c r="AE16" s="238">
        <f t="shared" si="0"/>
        <v>261222.88889266123</v>
      </c>
      <c r="AF16" s="238"/>
      <c r="AG16" s="238">
        <f t="shared" si="0"/>
        <v>270365.69000390434</v>
      </c>
    </row>
    <row r="17" spans="1:33" s="225" customFormat="1" ht="13.8">
      <c r="A17" s="225" t="s">
        <v>571</v>
      </c>
      <c r="C17" s="249"/>
      <c r="E17" s="238">
        <f>Application!W839</f>
        <v>295625</v>
      </c>
      <c r="F17" s="238"/>
      <c r="G17" s="238">
        <f t="shared" si="0"/>
        <v>305971.875</v>
      </c>
      <c r="H17" s="238"/>
      <c r="I17" s="238">
        <f t="shared" si="0"/>
        <v>316680.890625</v>
      </c>
      <c r="J17" s="238"/>
      <c r="K17" s="238">
        <f t="shared" si="0"/>
        <v>327764.72179687495</v>
      </c>
      <c r="L17" s="238"/>
      <c r="M17" s="238">
        <f t="shared" si="0"/>
        <v>339236.48705976555</v>
      </c>
      <c r="N17" s="238"/>
      <c r="O17" s="238">
        <f t="shared" si="0"/>
        <v>351109.7641068573</v>
      </c>
      <c r="P17" s="238"/>
      <c r="Q17" s="238">
        <f t="shared" si="0"/>
        <v>363398.60585059726</v>
      </c>
      <c r="R17" s="238"/>
      <c r="S17" s="238">
        <f t="shared" si="0"/>
        <v>376117.55705536815</v>
      </c>
      <c r="T17" s="238"/>
      <c r="U17" s="238">
        <f t="shared" si="0"/>
        <v>389281.67155230598</v>
      </c>
      <c r="V17" s="238"/>
      <c r="W17" s="238">
        <f t="shared" si="0"/>
        <v>402906.53005663666</v>
      </c>
      <c r="X17" s="238"/>
      <c r="Y17" s="238">
        <f t="shared" si="0"/>
        <v>417008.25860861893</v>
      </c>
      <c r="Z17" s="238"/>
      <c r="AA17" s="238">
        <f t="shared" si="0"/>
        <v>431603.54765992053</v>
      </c>
      <c r="AB17" s="238"/>
      <c r="AC17" s="238">
        <f t="shared" si="0"/>
        <v>446709.67182801769</v>
      </c>
      <c r="AD17" s="238"/>
      <c r="AE17" s="238">
        <f t="shared" si="0"/>
        <v>462344.51034199825</v>
      </c>
      <c r="AF17" s="238"/>
      <c r="AG17" s="238">
        <f t="shared" si="0"/>
        <v>478526.56820396817</v>
      </c>
    </row>
    <row r="18" spans="1:33" s="225" customFormat="1" ht="13.8">
      <c r="A18" s="225" t="s">
        <v>871</v>
      </c>
      <c r="C18" s="249"/>
      <c r="E18" s="238">
        <f>Application!W846</f>
        <v>226735</v>
      </c>
      <c r="F18" s="238"/>
      <c r="G18" s="238">
        <f t="shared" si="0"/>
        <v>234670.72499999998</v>
      </c>
      <c r="H18" s="238"/>
      <c r="I18" s="238">
        <f t="shared" si="0"/>
        <v>242884.20037499996</v>
      </c>
      <c r="J18" s="238"/>
      <c r="K18" s="238">
        <f t="shared" si="0"/>
        <v>251385.14738812493</v>
      </c>
      <c r="L18" s="238"/>
      <c r="M18" s="238">
        <f t="shared" si="0"/>
        <v>260183.62754670926</v>
      </c>
      <c r="N18" s="238"/>
      <c r="O18" s="238">
        <f t="shared" si="0"/>
        <v>269290.05451084406</v>
      </c>
      <c r="P18" s="238"/>
      <c r="Q18" s="238">
        <f t="shared" si="0"/>
        <v>278715.20641872357</v>
      </c>
      <c r="R18" s="238"/>
      <c r="S18" s="238">
        <f t="shared" si="0"/>
        <v>288470.23864337889</v>
      </c>
      <c r="T18" s="238"/>
      <c r="U18" s="238">
        <f t="shared" si="0"/>
        <v>298566.6969958971</v>
      </c>
      <c r="V18" s="238"/>
      <c r="W18" s="238">
        <f t="shared" si="0"/>
        <v>309016.53139075346</v>
      </c>
      <c r="X18" s="238"/>
      <c r="Y18" s="238">
        <f t="shared" si="0"/>
        <v>319832.10998942982</v>
      </c>
      <c r="Z18" s="238"/>
      <c r="AA18" s="238">
        <f t="shared" si="0"/>
        <v>331026.23383905983</v>
      </c>
      <c r="AB18" s="238"/>
      <c r="AC18" s="238">
        <f t="shared" si="0"/>
        <v>342612.1520234269</v>
      </c>
      <c r="AD18" s="238"/>
      <c r="AE18" s="238">
        <f t="shared" si="0"/>
        <v>354603.57734424679</v>
      </c>
      <c r="AF18" s="238"/>
      <c r="AG18" s="238">
        <f t="shared" si="0"/>
        <v>367014.7025512954</v>
      </c>
    </row>
    <row r="19" spans="1:33" s="225" customFormat="1" ht="13.8">
      <c r="A19" s="225" t="s">
        <v>156</v>
      </c>
      <c r="C19" s="249"/>
      <c r="E19" s="238">
        <f>Application!W847</f>
        <v>58877</v>
      </c>
      <c r="F19" s="238"/>
      <c r="G19" s="238">
        <f t="shared" si="0"/>
        <v>60937.694999999992</v>
      </c>
      <c r="H19" s="238"/>
      <c r="I19" s="238">
        <f t="shared" si="0"/>
        <v>63070.514324999989</v>
      </c>
      <c r="J19" s="238"/>
      <c r="K19" s="238">
        <f t="shared" si="0"/>
        <v>65277.982326374986</v>
      </c>
      <c r="L19" s="238"/>
      <c r="M19" s="238">
        <f t="shared" si="0"/>
        <v>67562.711707798109</v>
      </c>
      <c r="N19" s="238"/>
      <c r="O19" s="238">
        <f t="shared" si="0"/>
        <v>69927.406617571032</v>
      </c>
      <c r="P19" s="238"/>
      <c r="Q19" s="238">
        <f t="shared" si="0"/>
        <v>72374.865849186011</v>
      </c>
      <c r="R19" s="238"/>
      <c r="S19" s="238">
        <f t="shared" si="0"/>
        <v>74907.986153907521</v>
      </c>
      <c r="T19" s="238"/>
      <c r="U19" s="238">
        <f t="shared" si="0"/>
        <v>77529.765669294284</v>
      </c>
      <c r="V19" s="238"/>
      <c r="W19" s="238">
        <f t="shared" si="0"/>
        <v>80243.307467719584</v>
      </c>
      <c r="X19" s="238"/>
      <c r="Y19" s="238">
        <f t="shared" si="0"/>
        <v>83051.823229089758</v>
      </c>
      <c r="Z19" s="238"/>
      <c r="AA19" s="238">
        <f t="shared" si="0"/>
        <v>85958.63704210789</v>
      </c>
      <c r="AB19" s="238"/>
      <c r="AC19" s="238">
        <f t="shared" si="0"/>
        <v>88967.189338581666</v>
      </c>
      <c r="AD19" s="238"/>
      <c r="AE19" s="238">
        <f t="shared" si="0"/>
        <v>92081.04096543201</v>
      </c>
      <c r="AF19" s="238"/>
      <c r="AG19" s="238">
        <f t="shared" si="0"/>
        <v>95303.877399222125</v>
      </c>
    </row>
    <row r="20" spans="1:33" s="225" customFormat="1" ht="13.8">
      <c r="A20" s="225" t="s">
        <v>392</v>
      </c>
      <c r="C20" s="249"/>
      <c r="E20" s="238">
        <f>Application!W856</f>
        <v>238195</v>
      </c>
      <c r="F20" s="238"/>
      <c r="G20" s="238">
        <f t="shared" si="0"/>
        <v>246531.82499999998</v>
      </c>
      <c r="H20" s="238"/>
      <c r="I20" s="238">
        <f t="shared" si="0"/>
        <v>255160.43887499996</v>
      </c>
      <c r="J20" s="238"/>
      <c r="K20" s="238">
        <f t="shared" si="0"/>
        <v>264091.05423562496</v>
      </c>
      <c r="L20" s="238"/>
      <c r="M20" s="238">
        <f t="shared" si="0"/>
        <v>273334.24113387184</v>
      </c>
      <c r="N20" s="238"/>
      <c r="O20" s="238">
        <f t="shared" si="0"/>
        <v>282900.93957355735</v>
      </c>
      <c r="P20" s="238"/>
      <c r="Q20" s="238">
        <f t="shared" si="0"/>
        <v>292802.47245863185</v>
      </c>
      <c r="R20" s="238"/>
      <c r="S20" s="238">
        <f t="shared" si="0"/>
        <v>303050.55899468396</v>
      </c>
      <c r="T20" s="238"/>
      <c r="U20" s="238">
        <f t="shared" si="0"/>
        <v>313657.3285594979</v>
      </c>
      <c r="V20" s="238"/>
      <c r="W20" s="238">
        <f t="shared" si="0"/>
        <v>324635.33505908027</v>
      </c>
      <c r="X20" s="238"/>
      <c r="Y20" s="238">
        <f t="shared" si="0"/>
        <v>335997.57178614807</v>
      </c>
      <c r="Z20" s="238"/>
      <c r="AA20" s="238">
        <f t="shared" si="0"/>
        <v>347757.48679866322</v>
      </c>
      <c r="AB20" s="238"/>
      <c r="AC20" s="238">
        <f t="shared" si="0"/>
        <v>359928.9988366164</v>
      </c>
      <c r="AD20" s="238"/>
      <c r="AE20" s="238">
        <f t="shared" si="0"/>
        <v>372526.51379589795</v>
      </c>
      <c r="AF20" s="238"/>
      <c r="AG20" s="238">
        <f t="shared" si="0"/>
        <v>385564.94177875435</v>
      </c>
    </row>
    <row r="21" spans="1:33" s="225" customFormat="1" ht="13.8">
      <c r="A21" s="242" t="s">
        <v>1003</v>
      </c>
      <c r="B21" s="242"/>
      <c r="C21" s="249"/>
      <c r="E21" s="248">
        <f>Application!W863</f>
        <v>80195</v>
      </c>
      <c r="F21" s="238"/>
      <c r="G21" s="248">
        <f t="shared" si="0"/>
        <v>83001.824999999997</v>
      </c>
      <c r="H21" s="238"/>
      <c r="I21" s="248">
        <f t="shared" si="0"/>
        <v>85906.88887499999</v>
      </c>
      <c r="J21" s="238"/>
      <c r="K21" s="248">
        <f t="shared" si="0"/>
        <v>88913.629985624983</v>
      </c>
      <c r="L21" s="238"/>
      <c r="M21" s="248">
        <f t="shared" si="0"/>
        <v>92025.607035121851</v>
      </c>
      <c r="N21" s="238"/>
      <c r="O21" s="248">
        <f t="shared" si="0"/>
        <v>95246.503281351106</v>
      </c>
      <c r="P21" s="238"/>
      <c r="Q21" s="248">
        <f t="shared" si="0"/>
        <v>98580.130896198389</v>
      </c>
      <c r="R21" s="238"/>
      <c r="S21" s="248">
        <f t="shared" si="0"/>
        <v>102030.43547756532</v>
      </c>
      <c r="T21" s="238"/>
      <c r="U21" s="248">
        <f t="shared" si="0"/>
        <v>105601.5007192801</v>
      </c>
      <c r="V21" s="238"/>
      <c r="W21" s="248">
        <f t="shared" si="0"/>
        <v>109297.55324445489</v>
      </c>
      <c r="X21" s="238"/>
      <c r="Y21" s="248">
        <f t="shared" si="0"/>
        <v>113122.9676080108</v>
      </c>
      <c r="Z21" s="238"/>
      <c r="AA21" s="248">
        <f t="shared" si="0"/>
        <v>117082.27147429118</v>
      </c>
      <c r="AB21" s="238"/>
      <c r="AC21" s="248">
        <f t="shared" si="0"/>
        <v>121180.15097589136</v>
      </c>
      <c r="AD21" s="238"/>
      <c r="AE21" s="248">
        <f t="shared" si="0"/>
        <v>125421.45626004755</v>
      </c>
      <c r="AF21" s="238"/>
      <c r="AG21" s="248">
        <f t="shared" si="0"/>
        <v>129811.20722914921</v>
      </c>
    </row>
    <row r="22" spans="1:33" s="239" customFormat="1" ht="13.8">
      <c r="A22" s="239" t="s">
        <v>872</v>
      </c>
      <c r="C22" s="249"/>
      <c r="E22" s="239">
        <f>SUM(E15:E21)</f>
        <v>1158152</v>
      </c>
      <c r="G22" s="239">
        <f>SUM(G15:G21)</f>
        <v>1198687.3199999998</v>
      </c>
      <c r="I22" s="239">
        <f>SUM(I15:I21)</f>
        <v>1240641.3761999998</v>
      </c>
      <c r="K22" s="239">
        <f>SUM(K15:K21)</f>
        <v>1284063.8243669998</v>
      </c>
      <c r="M22" s="239">
        <f>SUM(M15:M21)</f>
        <v>1329006.0582198445</v>
      </c>
      <c r="O22" s="239">
        <f>SUM(O15:O21)</f>
        <v>1375521.2702575391</v>
      </c>
      <c r="Q22" s="239">
        <f>SUM(Q15:Q21)</f>
        <v>1423664.5147165528</v>
      </c>
      <c r="S22" s="239">
        <f>SUM(S15:S21)</f>
        <v>1473492.7727316322</v>
      </c>
      <c r="U22" s="239">
        <f>SUM(U15:U21)</f>
        <v>1525065.0197772388</v>
      </c>
      <c r="W22" s="239">
        <f>SUM(W15:W21)</f>
        <v>1578442.2954694424</v>
      </c>
      <c r="Y22" s="239">
        <f>SUM(Y15:Y21)</f>
        <v>1633687.7758108729</v>
      </c>
      <c r="AA22" s="239">
        <f>SUM(AA15:AA21)</f>
        <v>1690866.8479642533</v>
      </c>
      <c r="AC22" s="239">
        <f>SUM(AC15:AC21)</f>
        <v>1750047.1876430018</v>
      </c>
      <c r="AE22" s="239">
        <f>SUM(AE15:AE21)</f>
        <v>1811298.8392105068</v>
      </c>
      <c r="AG22" s="239">
        <f>SUM(AG15:AG21)</f>
        <v>1874694.2985828747</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125680</v>
      </c>
      <c r="F27" s="238"/>
      <c r="G27" s="238">
        <f>E27*$C$27</f>
        <v>130078.79999999999</v>
      </c>
      <c r="H27" s="238"/>
      <c r="I27" s="238">
        <f>G27*$C$27</f>
        <v>134631.55799999999</v>
      </c>
      <c r="J27" s="238"/>
      <c r="K27" s="238">
        <f>I27*$C$27</f>
        <v>139343.66252999997</v>
      </c>
      <c r="L27" s="238"/>
      <c r="M27" s="238">
        <f>K27*$C$27</f>
        <v>144220.69071854997</v>
      </c>
      <c r="N27" s="238"/>
      <c r="O27" s="238">
        <f>M27*$C$27</f>
        <v>149268.4148936992</v>
      </c>
      <c r="P27" s="238"/>
      <c r="Q27" s="238">
        <f>O27*$C$27</f>
        <v>154492.80941497866</v>
      </c>
      <c r="R27" s="238"/>
      <c r="S27" s="238">
        <f>Q27*$C$27</f>
        <v>159900.0577445029</v>
      </c>
      <c r="T27" s="238"/>
      <c r="U27" s="238">
        <f>S27*$C$27</f>
        <v>165496.55976556049</v>
      </c>
      <c r="V27" s="238"/>
      <c r="W27" s="238">
        <f>U27*$C$27</f>
        <v>171288.93935735509</v>
      </c>
      <c r="X27" s="238"/>
      <c r="Y27" s="238">
        <f>W27*$C$27</f>
        <v>177284.05223486249</v>
      </c>
      <c r="Z27" s="238"/>
      <c r="AA27" s="238">
        <f>Y27*$C$27</f>
        <v>183488.99406308267</v>
      </c>
      <c r="AB27" s="238"/>
      <c r="AC27" s="238">
        <f>AA27*$C$27</f>
        <v>189911.10885529054</v>
      </c>
      <c r="AD27" s="238"/>
      <c r="AE27" s="238">
        <f>AC27*$C$27</f>
        <v>196557.9976652257</v>
      </c>
      <c r="AF27" s="238"/>
      <c r="AG27" s="238">
        <f>AE27*$C$27</f>
        <v>203437.52758350858</v>
      </c>
    </row>
    <row r="28" spans="1:33" s="225" customFormat="1" ht="13.8">
      <c r="A28" s="225" t="s">
        <v>875</v>
      </c>
      <c r="C28" s="253"/>
      <c r="E28" s="238">
        <f>Application!AC873</f>
        <v>37500</v>
      </c>
      <c r="F28" s="238"/>
      <c r="G28" s="238">
        <f>$E$28</f>
        <v>37500</v>
      </c>
      <c r="H28" s="238"/>
      <c r="I28" s="238">
        <f>$E$28</f>
        <v>37500</v>
      </c>
      <c r="J28" s="238"/>
      <c r="K28" s="238">
        <f>$E$28</f>
        <v>37500</v>
      </c>
      <c r="L28" s="238"/>
      <c r="M28" s="238">
        <f>$E$28</f>
        <v>37500</v>
      </c>
      <c r="N28" s="238"/>
      <c r="O28" s="238">
        <f>$E$28</f>
        <v>37500</v>
      </c>
      <c r="P28" s="238"/>
      <c r="Q28" s="238">
        <f>$E$28</f>
        <v>37500</v>
      </c>
      <c r="R28" s="238"/>
      <c r="S28" s="238">
        <f>$E$28</f>
        <v>37500</v>
      </c>
      <c r="T28" s="238"/>
      <c r="U28" s="238">
        <f>$E$28</f>
        <v>37500</v>
      </c>
      <c r="V28" s="238"/>
      <c r="W28" s="238">
        <f>$E$28</f>
        <v>37500</v>
      </c>
      <c r="X28" s="238"/>
      <c r="Y28" s="238">
        <f>$E$28</f>
        <v>37500</v>
      </c>
      <c r="Z28" s="238"/>
      <c r="AA28" s="238">
        <f>$E$28</f>
        <v>37500</v>
      </c>
      <c r="AB28" s="238"/>
      <c r="AC28" s="238">
        <f>$E$28</f>
        <v>37500</v>
      </c>
      <c r="AD28" s="238"/>
      <c r="AE28" s="238">
        <f>$E$28</f>
        <v>37500</v>
      </c>
      <c r="AF28" s="238"/>
      <c r="AG28" s="238">
        <f>$E$28</f>
        <v>37500</v>
      </c>
    </row>
    <row r="29" spans="1:33" s="225" customFormat="1" ht="13.8">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1942</v>
      </c>
      <c r="C31" s="253">
        <v>1.02</v>
      </c>
      <c r="E31" s="238">
        <f>Application!AC876</f>
        <v>214000</v>
      </c>
      <c r="F31" s="238"/>
      <c r="G31" s="238">
        <f>E31*$C$31</f>
        <v>218280</v>
      </c>
      <c r="H31" s="238"/>
      <c r="I31" s="238">
        <f>G31*$C$31</f>
        <v>222645.6</v>
      </c>
      <c r="J31" s="238"/>
      <c r="K31" s="238">
        <f>I31*$C$31</f>
        <v>227098.51200000002</v>
      </c>
      <c r="L31" s="238"/>
      <c r="M31" s="238">
        <f>K31*$C$31</f>
        <v>231640.48224000001</v>
      </c>
      <c r="N31" s="238"/>
      <c r="O31" s="238">
        <f>M31*$C$31</f>
        <v>236273.29188480001</v>
      </c>
      <c r="P31" s="238"/>
      <c r="Q31" s="238">
        <f>O31*$C$31</f>
        <v>240998.75772249603</v>
      </c>
      <c r="R31" s="238"/>
      <c r="S31" s="238">
        <f>Q31*$C$31</f>
        <v>245818.73287694596</v>
      </c>
      <c r="T31" s="238"/>
      <c r="U31" s="238">
        <f>S31*$C$31</f>
        <v>250735.10753448488</v>
      </c>
      <c r="V31" s="238"/>
      <c r="W31" s="238">
        <f>U31*$C$31</f>
        <v>255749.80968517458</v>
      </c>
      <c r="X31" s="238"/>
      <c r="Y31" s="238">
        <f>W31*$C$31</f>
        <v>260864.80587887808</v>
      </c>
      <c r="Z31" s="238"/>
      <c r="AA31" s="238">
        <f>Y31*$C$31</f>
        <v>266082.10199645563</v>
      </c>
      <c r="AB31" s="238"/>
      <c r="AC31" s="238">
        <f>AA31*$C$31</f>
        <v>271403.74403638474</v>
      </c>
      <c r="AD31" s="238"/>
      <c r="AE31" s="238">
        <f>AC31*$C$31</f>
        <v>276831.81891711242</v>
      </c>
      <c r="AF31" s="238"/>
      <c r="AG31" s="238">
        <f>AE31*$C$31</f>
        <v>282368.45529545465</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1535332</v>
      </c>
      <c r="G35" s="239">
        <f>SUM(G22:G33)</f>
        <v>1584546.1199999999</v>
      </c>
      <c r="I35" s="239">
        <f>SUM(I22:I33)</f>
        <v>1635418.5341999999</v>
      </c>
      <c r="K35" s="239">
        <f>SUM(K22:K33)</f>
        <v>1688005.9988969998</v>
      </c>
      <c r="M35" s="239">
        <f>SUM(M22:M33)</f>
        <v>1742367.2311783945</v>
      </c>
      <c r="O35" s="239">
        <f>SUM(O22:O33)</f>
        <v>1798562.9770360382</v>
      </c>
      <c r="Q35" s="239">
        <f>SUM(Q22:Q33)</f>
        <v>1856656.0818540275</v>
      </c>
      <c r="S35" s="239">
        <f>SUM(S22:S33)</f>
        <v>1916711.563353081</v>
      </c>
      <c r="U35" s="239">
        <f>SUM(U22:U33)</f>
        <v>1978796.6870772843</v>
      </c>
      <c r="W35" s="239">
        <f>SUM(W22:W33)</f>
        <v>2042981.044511972</v>
      </c>
      <c r="Y35" s="239">
        <f>SUM(Y22:Y33)</f>
        <v>2109336.6339246132</v>
      </c>
      <c r="AA35" s="239">
        <f>SUM(AA22:AA33)</f>
        <v>2177937.9440237917</v>
      </c>
      <c r="AC35" s="239">
        <f>SUM(AC22:AC33)</f>
        <v>2248862.040534677</v>
      </c>
      <c r="AE35" s="239">
        <f>SUM(AE22:AE33)</f>
        <v>2322188.6557928449</v>
      </c>
      <c r="AG35" s="239">
        <f>SUM(AG22:AG33)</f>
        <v>2398000.2814618377</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2483437.8000000003</v>
      </c>
      <c r="G37" s="239">
        <f>G11-G35</f>
        <v>2534692.9249999998</v>
      </c>
      <c r="I37" s="239">
        <f>I11-I35</f>
        <v>2586801.4869249985</v>
      </c>
      <c r="K37" s="239">
        <f>K11-K35</f>
        <v>2639769.5227561234</v>
      </c>
      <c r="M37" s="239">
        <f>M11-M35</f>
        <v>2693602.6785160583</v>
      </c>
      <c r="O37" s="239">
        <f>O11-O35</f>
        <v>2748306.1804007739</v>
      </c>
      <c r="Q37" s="239">
        <f>Q11-Q35</f>
        <v>2803884.8045187052</v>
      </c>
      <c r="S37" s="239">
        <f>S11-S35</f>
        <v>2860342.8451789692</v>
      </c>
      <c r="U37" s="239">
        <f>U11-U35</f>
        <v>2917684.0816680673</v>
      </c>
      <c r="W37" s="239">
        <f>W11-W35</f>
        <v>2975911.7434520135</v>
      </c>
      <c r="Y37" s="239">
        <f>Y11-Y35</f>
        <v>3035028.4737384696</v>
      </c>
      <c r="AA37" s="239">
        <f>AA11-AA35</f>
        <v>3095036.2913308684</v>
      </c>
      <c r="AC37" s="239">
        <f>AC11-AC35</f>
        <v>3155936.5507038496</v>
      </c>
      <c r="AE37" s="239">
        <f>AE11-AE35</f>
        <v>3217729.9002266438</v>
      </c>
      <c r="AG37" s="239">
        <f>AG11-AG35</f>
        <v>3280416.2384581389</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Permanent Loan</v>
      </c>
      <c r="B40" s="242"/>
      <c r="C40" s="236"/>
      <c r="E40" s="238">
        <f>Application!AF623</f>
        <v>2159442</v>
      </c>
      <c r="F40" s="238"/>
      <c r="G40" s="238">
        <f>$E$40</f>
        <v>2159442</v>
      </c>
      <c r="H40" s="238"/>
      <c r="I40" s="238">
        <f>$E$40</f>
        <v>2159442</v>
      </c>
      <c r="J40" s="238"/>
      <c r="K40" s="238">
        <f>$E$40</f>
        <v>2159442</v>
      </c>
      <c r="L40" s="238"/>
      <c r="M40" s="238">
        <f>$E$40</f>
        <v>2159442</v>
      </c>
      <c r="N40" s="238"/>
      <c r="O40" s="238">
        <f>$E$40</f>
        <v>2159442</v>
      </c>
      <c r="P40" s="238"/>
      <c r="Q40" s="238">
        <f>$E$40</f>
        <v>2159442</v>
      </c>
      <c r="R40" s="238"/>
      <c r="S40" s="238">
        <f>$E$40</f>
        <v>2159442</v>
      </c>
      <c r="T40" s="238"/>
      <c r="U40" s="238">
        <f>$E$40</f>
        <v>2159442</v>
      </c>
      <c r="V40" s="238"/>
      <c r="W40" s="238">
        <f>$E$40</f>
        <v>2159442</v>
      </c>
      <c r="X40" s="238"/>
      <c r="Y40" s="238">
        <f>$E$40</f>
        <v>2159442</v>
      </c>
      <c r="Z40" s="238"/>
      <c r="AA40" s="238">
        <f>$E$40</f>
        <v>2159442</v>
      </c>
      <c r="AB40" s="238"/>
      <c r="AC40" s="238">
        <f>$E$40</f>
        <v>2159442</v>
      </c>
      <c r="AD40" s="238"/>
      <c r="AE40" s="238">
        <f>$E$40</f>
        <v>2159442</v>
      </c>
      <c r="AF40" s="238"/>
      <c r="AG40" s="238">
        <f>$E$40</f>
        <v>2159442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2159442</v>
      </c>
      <c r="G43" s="239">
        <f>SUM(G40:G42)</f>
        <v>2159442</v>
      </c>
      <c r="I43" s="239">
        <f>SUM(I40:I42)</f>
        <v>2159442</v>
      </c>
      <c r="K43" s="239">
        <f>SUM(K40:K42)</f>
        <v>2159442</v>
      </c>
      <c r="M43" s="239">
        <f>SUM(M40:M42)</f>
        <v>2159442</v>
      </c>
      <c r="O43" s="239">
        <f>SUM(O40:O42)</f>
        <v>2159442</v>
      </c>
      <c r="Q43" s="239">
        <f>SUM(Q40:Q42)</f>
        <v>2159442</v>
      </c>
      <c r="S43" s="239">
        <f>SUM(S40:S42)</f>
        <v>2159442</v>
      </c>
      <c r="U43" s="239">
        <f>SUM(U40:U42)</f>
        <v>2159442</v>
      </c>
      <c r="W43" s="239">
        <f>SUM(W40:W42)</f>
        <v>2159442</v>
      </c>
      <c r="Y43" s="239">
        <f>SUM(Y40:Y42)</f>
        <v>2159442</v>
      </c>
      <c r="AA43" s="239">
        <f>SUM(AA40:AA42)</f>
        <v>2159442</v>
      </c>
      <c r="AC43" s="239">
        <f>SUM(AC40:AC42)</f>
        <v>2159442</v>
      </c>
      <c r="AE43" s="239">
        <f>SUM(AE40:AE42)</f>
        <v>2159442</v>
      </c>
      <c r="AG43" s="239">
        <f>SUM(AG40:AG42)</f>
        <v>2159442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323995.80000000028</v>
      </c>
      <c r="G45" s="239">
        <f>G37-G43</f>
        <v>375250.92499999981</v>
      </c>
      <c r="I45" s="239">
        <f>I37-I43</f>
        <v>427359.48692499846</v>
      </c>
      <c r="K45" s="239">
        <f>K37-K43</f>
        <v>480327.52275612345</v>
      </c>
      <c r="M45" s="239">
        <f>M37-M43</f>
        <v>534160.67851605825</v>
      </c>
      <c r="O45" s="239">
        <f>O37-O43</f>
        <v>588864.18040077388</v>
      </c>
      <c r="Q45" s="239">
        <f>Q37-Q43</f>
        <v>644442.80451870523</v>
      </c>
      <c r="S45" s="239">
        <f>S37-S43</f>
        <v>700900.8451789692</v>
      </c>
      <c r="U45" s="239">
        <f>U37-U43</f>
        <v>758242.08166806726</v>
      </c>
      <c r="W45" s="239">
        <f>W37-W43</f>
        <v>816469.74345201347</v>
      </c>
      <c r="Y45" s="239">
        <f>Y37-Y43</f>
        <v>875586.47373846965</v>
      </c>
      <c r="AA45" s="239">
        <f>AA37-AA43</f>
        <v>935594.29133086838</v>
      </c>
      <c r="AC45" s="239">
        <f>AC37-AC43</f>
        <v>996494.55070384964</v>
      </c>
      <c r="AE45" s="239">
        <f>AE37-AE43</f>
        <v>1058287.9002266438</v>
      </c>
      <c r="AG45" s="239">
        <f>AG37-AG43</f>
        <v>1120974.2384581389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7.658960958649591E-2</v>
      </c>
      <c r="G47" s="243">
        <f>G45/(G4+G6+G8)</f>
        <v>8.6542289693702354E-2</v>
      </c>
      <c r="I47" s="243">
        <f>I45/(I4+I6+I8)</f>
        <v>9.6155934685415362E-2</v>
      </c>
      <c r="K47" s="243">
        <f>K45/(K4+K6+K8)</f>
        <v>0.10543780386373078</v>
      </c>
      <c r="M47" s="243">
        <f>M45/(M4+M6+M8)</f>
        <v>0.114394969966153</v>
      </c>
      <c r="O47" s="243">
        <f>O45/(O4+O6+O8)</f>
        <v>0.12303432362150821</v>
      </c>
      <c r="Q47" s="243">
        <f>Q45/(Q4+Q6+Q8)</f>
        <v>0.13136257769626761</v>
      </c>
      <c r="S47" s="243">
        <f>S45/(S4+S6+S8)</f>
        <v>0.13938627153393315</v>
      </c>
      <c r="U47" s="243">
        <f>U45/(U4+U6+U8)</f>
        <v>0.14711177509009954</v>
      </c>
      <c r="W47" s="243">
        <f>W45/(W4+W6+W8)</f>
        <v>0.15454529296571595</v>
      </c>
      <c r="Y47" s="243">
        <f>Y45/(Y4+Y6+Y8)</f>
        <v>0.16169286834102817</v>
      </c>
      <c r="AA47" s="243">
        <f>AA45/(AA4+AA6+AA8)</f>
        <v>0.16856038681261323</v>
      </c>
      <c r="AC47" s="243">
        <f>AC45/(AC4+AC6+AC8)</f>
        <v>0.17515358013585566</v>
      </c>
      <c r="AE47" s="243">
        <f>AE45/(AE4+AE6+AE8)</f>
        <v>0.18147802987516967</v>
      </c>
      <c r="AG47" s="243">
        <f>AG45/(AG4+AG6+AG8)</f>
        <v>0.18753917096420386</v>
      </c>
    </row>
    <row r="48" spans="1:33" s="243" customFormat="1" ht="13.8">
      <c r="A48" s="243" t="s">
        <v>881</v>
      </c>
      <c r="C48" s="236"/>
      <c r="E48" s="243">
        <f>E45/E43</f>
        <v>0.15003681506611444</v>
      </c>
      <c r="G48" s="243">
        <f>G45/G43</f>
        <v>0.1737721712368287</v>
      </c>
      <c r="I48" s="243">
        <f>I45/I43</f>
        <v>0.19790273919142004</v>
      </c>
      <c r="K48" s="243">
        <f>K45/K43</f>
        <v>0.22243131455076054</v>
      </c>
      <c r="M48" s="243">
        <f>M45/M43</f>
        <v>0.24736051188967254</v>
      </c>
      <c r="O48" s="243">
        <f>O45/O43</f>
        <v>0.27269275136853588</v>
      </c>
      <c r="Q48" s="243">
        <f>Q45/Q43</f>
        <v>0.29843024472002733</v>
      </c>
      <c r="S48" s="243">
        <f>S45/S43</f>
        <v>0.32457498056394624</v>
      </c>
      <c r="U48" s="243">
        <f>U45/U43</f>
        <v>0.35112870902208404</v>
      </c>
      <c r="W48" s="243">
        <f>W45/W43</f>
        <v>0.37809292560393543</v>
      </c>
      <c r="Y48" s="243">
        <f>Y45/Y43</f>
        <v>0.40546885433295715</v>
      </c>
      <c r="AA48" s="243">
        <f>AA45/AA43</f>
        <v>0.43325743008187689</v>
      </c>
      <c r="AC48" s="243">
        <f>AC45/AC43</f>
        <v>0.46145928008432252</v>
      </c>
      <c r="AE48" s="243">
        <f>AE45/AE43</f>
        <v>0.49007470458879832</v>
      </c>
      <c r="AG48" s="243">
        <f>AG45/AG43</f>
        <v>0.51910365661969105</v>
      </c>
    </row>
    <row r="49" spans="1:35" s="244" customFormat="1" ht="13.8">
      <c r="A49" s="244" t="s">
        <v>879</v>
      </c>
      <c r="C49" s="245"/>
      <c r="E49" s="244">
        <f>E37/E43</f>
        <v>1.1500368150661144</v>
      </c>
      <c r="G49" s="244">
        <f>G37/G43</f>
        <v>1.1737721712368288</v>
      </c>
      <c r="I49" s="244">
        <f>I37/I43</f>
        <v>1.1979027391914201</v>
      </c>
      <c r="K49" s="244">
        <f>K37/K43</f>
        <v>1.2224313145507606</v>
      </c>
      <c r="M49" s="244">
        <f>M37/M43</f>
        <v>1.2473605118896725</v>
      </c>
      <c r="O49" s="244">
        <f>O37/O43</f>
        <v>1.272692751368536</v>
      </c>
      <c r="Q49" s="244">
        <f>Q37/Q43</f>
        <v>1.2984302447200273</v>
      </c>
      <c r="S49" s="244">
        <f>S37/S43</f>
        <v>1.3245749805639462</v>
      </c>
      <c r="U49" s="244">
        <f>U37/U43</f>
        <v>1.351128709022084</v>
      </c>
      <c r="W49" s="244">
        <f>W37/W43</f>
        <v>1.3780929256039354</v>
      </c>
      <c r="Y49" s="244">
        <f>Y37/Y43</f>
        <v>1.4054688543329572</v>
      </c>
      <c r="AA49" s="244">
        <f>AA37/AA43</f>
        <v>1.4332574300818768</v>
      </c>
      <c r="AC49" s="244">
        <f>AC37/AC43</f>
        <v>1.4614592800843225</v>
      </c>
      <c r="AE49" s="244">
        <f>AE37/AE43</f>
        <v>1.4900747045887983</v>
      </c>
      <c r="AG49" s="244">
        <f>AG37/AG43</f>
        <v>1.5191036566196912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2763</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15000</v>
      </c>
      <c r="G53" s="997">
        <f>E53*$C$53</f>
        <v>15450</v>
      </c>
      <c r="I53" s="997">
        <f>G53*$C$53</f>
        <v>15913.5</v>
      </c>
      <c r="K53" s="997">
        <f>I53*$C$53</f>
        <v>16390.904999999999</v>
      </c>
      <c r="M53" s="997">
        <f>K53*$C$53</f>
        <v>16882.632149999998</v>
      </c>
      <c r="O53" s="997">
        <f>M53*$C$53</f>
        <v>17389.1111145</v>
      </c>
      <c r="Q53" s="997">
        <f>O53*$C$53</f>
        <v>17910.784447934999</v>
      </c>
      <c r="S53" s="997">
        <f>Q53*$C$53</f>
        <v>18448.10798137305</v>
      </c>
      <c r="U53" s="997">
        <f>S53*$C$53</f>
        <v>19001.551220814243</v>
      </c>
      <c r="W53" s="997">
        <f>U53*$C$53</f>
        <v>19571.597757438671</v>
      </c>
      <c r="Y53" s="997">
        <f>W53*$C$53</f>
        <v>20158.745690161832</v>
      </c>
      <c r="AA53" s="997">
        <f>Y53*$C$53</f>
        <v>20763.508060866687</v>
      </c>
      <c r="AC53" s="997">
        <f>AA53*$C$53</f>
        <v>21386.413302692687</v>
      </c>
      <c r="AE53" s="997">
        <f>AC53*$C$53</f>
        <v>22028.005701773469</v>
      </c>
      <c r="AG53" s="997">
        <f>AE53*$C$53</f>
        <v>22688.845872826674</v>
      </c>
    </row>
    <row r="54" spans="1:35" s="3" customFormat="1">
      <c r="A54" s="3" t="s">
        <v>884</v>
      </c>
      <c r="C54" s="995"/>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20000</v>
      </c>
      <c r="F58" s="997"/>
      <c r="G58" s="997">
        <f>SUM(G53:G57)</f>
        <v>20600</v>
      </c>
      <c r="H58" s="997"/>
      <c r="I58" s="997">
        <f>SUM(I53:I57)</f>
        <v>21218</v>
      </c>
      <c r="J58" s="997"/>
      <c r="K58" s="997">
        <f>SUM(K53:K57)</f>
        <v>21854.54</v>
      </c>
      <c r="L58" s="997"/>
      <c r="M58" s="997">
        <f>SUM(M53:M57)</f>
        <v>22510.176199999998</v>
      </c>
      <c r="N58" s="997"/>
      <c r="O58" s="997">
        <f>SUM(O53:O57)</f>
        <v>23185.481486000001</v>
      </c>
      <c r="P58" s="997"/>
      <c r="Q58" s="997">
        <f>SUM(Q53:Q57)</f>
        <v>23881.04593058</v>
      </c>
      <c r="R58" s="997"/>
      <c r="S58" s="997">
        <f>SUM(S53:S57)</f>
        <v>24597.4773084974</v>
      </c>
      <c r="T58" s="997"/>
      <c r="U58" s="997">
        <f>SUM(U53:U57)</f>
        <v>25335.401627752322</v>
      </c>
      <c r="V58" s="997"/>
      <c r="W58" s="997">
        <f>SUM(W53:W57)</f>
        <v>26095.463676584892</v>
      </c>
      <c r="X58" s="997"/>
      <c r="Y58" s="997">
        <f>SUM(Y53:Y57)</f>
        <v>26878.327586882442</v>
      </c>
      <c r="Z58" s="997"/>
      <c r="AA58" s="997">
        <f>SUM(AA53:AA57)</f>
        <v>27684.677414488913</v>
      </c>
      <c r="AB58" s="997"/>
      <c r="AC58" s="997">
        <f>SUM(AC53:AC57)</f>
        <v>28515.21773692358</v>
      </c>
      <c r="AD58" s="997"/>
      <c r="AE58" s="997">
        <f>SUM(AE53:AE57)</f>
        <v>29370.674269031289</v>
      </c>
      <c r="AF58" s="997"/>
      <c r="AG58" s="997">
        <f>SUM(AG53:AG57)</f>
        <v>30251.79449710223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303995.80000000028</v>
      </c>
      <c r="G60" s="999">
        <f>G45-G58</f>
        <v>354650.92499999981</v>
      </c>
      <c r="I60" s="999">
        <f>I45-I58</f>
        <v>406141.48692499846</v>
      </c>
      <c r="K60" s="999">
        <f>K45-K58</f>
        <v>458472.98275612347</v>
      </c>
      <c r="M60" s="999">
        <f>M45-M58</f>
        <v>511650.50231605826</v>
      </c>
      <c r="O60" s="999">
        <f>O45-O58</f>
        <v>565678.69891477388</v>
      </c>
      <c r="Q60" s="999">
        <f>Q45-Q58</f>
        <v>620561.75858812523</v>
      </c>
      <c r="S60" s="999">
        <f>S45-S58</f>
        <v>676303.36787047179</v>
      </c>
      <c r="U60" s="999">
        <f>U45-U58</f>
        <v>732906.68004031491</v>
      </c>
      <c r="W60" s="999">
        <f>W45-W58</f>
        <v>790374.27977542859</v>
      </c>
      <c r="Y60" s="999">
        <f>Y45-Y58</f>
        <v>848708.14615158725</v>
      </c>
      <c r="AA60" s="999">
        <f>AA45-AA58</f>
        <v>907909.61391637952</v>
      </c>
      <c r="AC60" s="999">
        <f>AC45-AC58</f>
        <v>967979.33296692604</v>
      </c>
      <c r="AE60" s="999">
        <f>AE45-AE58</f>
        <v>1028917.2259576125</v>
      </c>
      <c r="AG60" s="999">
        <f>AG45-AG58</f>
        <v>1090722.4439610366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151997.90000000014</v>
      </c>
      <c r="G62" s="999">
        <f>G60*$C$62</f>
        <v>177325.46249999991</v>
      </c>
      <c r="I62" s="999">
        <f>I60*$C$62</f>
        <v>203070.74346249923</v>
      </c>
      <c r="K62" s="999">
        <f>K60*$C$62</f>
        <v>229236.49137806174</v>
      </c>
      <c r="M62" s="999">
        <f>M60*$C$62</f>
        <v>255825.25115802913</v>
      </c>
      <c r="O62" s="999">
        <f>O60*$C$62</f>
        <v>282839.34945738694</v>
      </c>
      <c r="Q62" s="999">
        <f>Q60*$C$62</f>
        <v>310280.87929406262</v>
      </c>
      <c r="S62" s="999">
        <f>S60*$C$62</f>
        <v>338151.68393523589</v>
      </c>
      <c r="U62" s="999">
        <f>U60*$C$62</f>
        <v>366453.34002015746</v>
      </c>
      <c r="W62" s="999">
        <f>W60*$C$62</f>
        <v>395187.13988771429</v>
      </c>
      <c r="Y62" s="999">
        <f>Y60*$C$62</f>
        <v>424354.07307579363</v>
      </c>
      <c r="AA62" s="999">
        <f>AA60*$C$62</f>
        <v>453954.80695818976</v>
      </c>
      <c r="AC62" s="999">
        <f>AC60*$C$62</f>
        <v>483989.66648346302</v>
      </c>
      <c r="AE62" s="999">
        <f>AE60*$C$62</f>
        <v>514458.61297880625</v>
      </c>
      <c r="AG62" s="999">
        <v>289286</v>
      </c>
    </row>
    <row r="63" spans="1:35" s="999" customFormat="1">
      <c r="A63" s="2535" t="s">
        <v>2765</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t="s">
        <v>2764</v>
      </c>
      <c r="C66" s="1000"/>
      <c r="E66" s="1001">
        <f>$E60*$C$65</f>
        <v>75998.95000000007</v>
      </c>
      <c r="G66" s="997">
        <f>G60*$C$65</f>
        <v>88662.731249999953</v>
      </c>
      <c r="I66" s="997">
        <f>I60*$C$65</f>
        <v>101535.37173124962</v>
      </c>
      <c r="K66" s="997">
        <f>K60*$C$65</f>
        <v>114618.24568903087</v>
      </c>
      <c r="M66" s="997">
        <f>M60*$C$65</f>
        <v>127912.62557901457</v>
      </c>
      <c r="O66" s="997">
        <f>O60*$C$65</f>
        <v>141419.67472869347</v>
      </c>
      <c r="Q66" s="997">
        <f>Q60*$C$65</f>
        <v>155140.43964703131</v>
      </c>
      <c r="S66" s="997">
        <f>S60*$C$65</f>
        <v>169075.84196761795</v>
      </c>
      <c r="U66" s="997">
        <f>U60*$C$65</f>
        <v>183226.67001007873</v>
      </c>
      <c r="W66" s="997">
        <f>W60*$C$65</f>
        <v>197593.56994385715</v>
      </c>
      <c r="Y66" s="997">
        <f>Y60*$C$65</f>
        <v>212177.03653789681</v>
      </c>
      <c r="AA66" s="997">
        <f>AA60*$C$65</f>
        <v>226977.40347909488</v>
      </c>
      <c r="AC66" s="997">
        <f>AC60*$C$65</f>
        <v>241994.83324173151</v>
      </c>
      <c r="AE66" s="997">
        <f>AE60*$C$65</f>
        <v>257229.30648940313</v>
      </c>
      <c r="AG66" s="997">
        <v>400718</v>
      </c>
    </row>
    <row r="67" spans="1:35" s="997" customFormat="1">
      <c r="A67" s="1002"/>
      <c r="B67" s="1002" t="s">
        <v>2728</v>
      </c>
      <c r="C67" s="1007"/>
      <c r="E67" s="1001">
        <f>$E60*$C$65</f>
        <v>75998.95000000007</v>
      </c>
      <c r="G67" s="997">
        <f>G60*$C$65</f>
        <v>88662.731249999953</v>
      </c>
      <c r="I67" s="997">
        <f>I60*$C$65</f>
        <v>101535.37173124962</v>
      </c>
      <c r="K67" s="997">
        <f>K60*$C$65</f>
        <v>114618.24568903087</v>
      </c>
      <c r="M67" s="997">
        <f>M60*$C$65</f>
        <v>127912.62557901457</v>
      </c>
      <c r="O67" s="997">
        <f>O60*$C$65</f>
        <v>141419.67472869347</v>
      </c>
      <c r="Q67" s="997">
        <f>Q60*$C$65</f>
        <v>155140.43964703131</v>
      </c>
      <c r="S67" s="997">
        <f>S60*$C$65</f>
        <v>169075.84196761795</v>
      </c>
      <c r="U67" s="997">
        <f>U60*$C$65</f>
        <v>183226.67001007873</v>
      </c>
      <c r="W67" s="997">
        <f>W60*$C$65</f>
        <v>197593.56994385715</v>
      </c>
      <c r="Y67" s="997">
        <f>Y60*$C$65</f>
        <v>212177.03653789681</v>
      </c>
      <c r="AA67" s="997">
        <f>AA60*$C$65</f>
        <v>226977.40347909488</v>
      </c>
      <c r="AC67" s="997">
        <f>AC60*$C$65</f>
        <v>241994.83324173151</v>
      </c>
      <c r="AE67" s="997">
        <f>AE60*$C$65</f>
        <v>257229.30648940313</v>
      </c>
      <c r="AG67" s="997">
        <v>400718</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151997.90000000014</v>
      </c>
      <c r="G70" s="997">
        <f>SUM(G66:G69)</f>
        <v>177325.46249999991</v>
      </c>
      <c r="I70" s="997">
        <f>SUM(I66:I69)</f>
        <v>203070.74346249923</v>
      </c>
      <c r="K70" s="997">
        <f>SUM(K66:K69)</f>
        <v>229236.49137806174</v>
      </c>
      <c r="M70" s="997">
        <f>SUM(M66:M69)</f>
        <v>255825.25115802913</v>
      </c>
      <c r="O70" s="997">
        <f>SUM(O66:O69)</f>
        <v>282839.34945738694</v>
      </c>
      <c r="Q70" s="997">
        <f>SUM(Q66:Q69)</f>
        <v>310280.87929406262</v>
      </c>
      <c r="S70" s="997">
        <f>SUM(S66:S69)</f>
        <v>338151.68393523589</v>
      </c>
      <c r="U70" s="997">
        <f>SUM(U66:U69)</f>
        <v>366453.34002015746</v>
      </c>
      <c r="W70" s="997">
        <f>SUM(W66:W69)</f>
        <v>395187.13988771429</v>
      </c>
      <c r="Y70" s="997">
        <f>SUM(Y66:Y69)</f>
        <v>424354.07307579363</v>
      </c>
      <c r="AA70" s="997">
        <f>SUM(AA66:AA69)</f>
        <v>453954.80695818976</v>
      </c>
      <c r="AC70" s="997">
        <f>SUM(AC66:AC69)</f>
        <v>483989.66648346302</v>
      </c>
      <c r="AE70" s="997">
        <f>SUM(AE66:AE69)</f>
        <v>514458.61297880625</v>
      </c>
      <c r="AG70" s="997">
        <f>SUM(AG66:AG69)</f>
        <v>801436</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0.44396103662438691</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3" t="s">
        <v>1983</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 zoomScaleNormal="100" zoomScaleSheetLayoutView="100" workbookViewId="0">
      <selection activeCell="B46" sqref="B46"/>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14210000</v>
      </c>
      <c r="C5" s="286">
        <f>'Sources and Uses Budget'!$C4</f>
        <v>14210000</v>
      </c>
      <c r="D5" s="290">
        <f>C5-B5</f>
        <v>0</v>
      </c>
      <c r="E5" s="288"/>
      <c r="F5" s="287"/>
      <c r="G5" s="384"/>
    </row>
    <row r="6" spans="1:7" s="381" customFormat="1">
      <c r="A6" s="396" t="s">
        <v>28</v>
      </c>
      <c r="B6" s="286">
        <f>'Sources and Uses Budget'!$C5</f>
        <v>149424</v>
      </c>
      <c r="C6" s="286">
        <f>'Sources and Uses Budget'!$C5</f>
        <v>149424</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14359424</v>
      </c>
      <c r="C9" s="290">
        <f>SUM(C5:C8)</f>
        <v>14359424</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14359424</v>
      </c>
      <c r="C13" s="290">
        <f>SUM(C9+C12)</f>
        <v>14359424</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9448667</v>
      </c>
      <c r="C30" s="286">
        <f>'Sources and Uses Budget'!$C29</f>
        <v>9448667</v>
      </c>
      <c r="D30" s="290">
        <f t="shared" si="0"/>
        <v>0</v>
      </c>
      <c r="E30" s="288"/>
      <c r="F30" s="287"/>
      <c r="G30" s="384"/>
    </row>
    <row r="31" spans="1:7" s="381" customFormat="1">
      <c r="A31" s="145" t="s">
        <v>609</v>
      </c>
      <c r="B31" s="286">
        <f>'Sources and Uses Budget'!$C30</f>
        <v>60537192</v>
      </c>
      <c r="C31" s="286">
        <f>'Sources and Uses Budget'!$C30</f>
        <v>60537192</v>
      </c>
      <c r="D31" s="290">
        <f t="shared" si="0"/>
        <v>0</v>
      </c>
      <c r="E31" s="288"/>
      <c r="F31" s="287"/>
      <c r="G31" s="384"/>
    </row>
    <row r="32" spans="1:7" s="381" customFormat="1">
      <c r="A32" s="145" t="s">
        <v>610</v>
      </c>
      <c r="B32" s="286">
        <f>'Sources and Uses Budget'!$C31</f>
        <v>4827339</v>
      </c>
      <c r="C32" s="286">
        <f>'Sources and Uses Budget'!$C31</f>
        <v>4827339</v>
      </c>
      <c r="D32" s="290">
        <f t="shared" si="0"/>
        <v>0</v>
      </c>
      <c r="E32" s="288"/>
      <c r="F32" s="287"/>
      <c r="G32" s="384"/>
    </row>
    <row r="33" spans="1:7" s="381" customFormat="1">
      <c r="A33" s="145" t="s">
        <v>138</v>
      </c>
      <c r="B33" s="286">
        <f>'Sources and Uses Budget'!$C32</f>
        <v>3159274</v>
      </c>
      <c r="C33" s="286">
        <f>'Sources and Uses Budget'!$C32</f>
        <v>3159274</v>
      </c>
      <c r="D33" s="290">
        <f t="shared" si="0"/>
        <v>0</v>
      </c>
      <c r="E33" s="288"/>
      <c r="F33" s="287"/>
      <c r="G33" s="384"/>
    </row>
    <row r="34" spans="1:7" s="381" customFormat="1">
      <c r="A34" s="145" t="s">
        <v>139</v>
      </c>
      <c r="B34" s="286">
        <f>'Sources and Uses Budget'!$C33</f>
        <v>3159274</v>
      </c>
      <c r="C34" s="286">
        <f>'Sources and Uses Budget'!$C33</f>
        <v>3159274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299832</v>
      </c>
      <c r="C36" s="286">
        <f>'Sources and Uses Budget'!$C35</f>
        <v>299832</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81431578</v>
      </c>
      <c r="C39" s="290">
        <f>SUM(C30:C38)</f>
        <v>81431578</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864000</v>
      </c>
      <c r="C41" s="286">
        <f>'Sources and Uses Budget'!$C40</f>
        <v>864000</v>
      </c>
      <c r="D41" s="290">
        <f t="shared" si="0"/>
        <v>0</v>
      </c>
      <c r="E41" s="288"/>
      <c r="F41" s="287"/>
      <c r="G41" s="384"/>
    </row>
    <row r="42" spans="1:7" s="381" customFormat="1">
      <c r="A42" s="289" t="s">
        <v>147</v>
      </c>
      <c r="B42" s="286">
        <f>'Sources and Uses Budget'!$C41</f>
        <v>96000</v>
      </c>
      <c r="C42" s="286">
        <f>'Sources and Uses Budget'!$C41</f>
        <v>96000</v>
      </c>
      <c r="D42" s="290">
        <f t="shared" si="0"/>
        <v>0</v>
      </c>
      <c r="E42" s="288"/>
      <c r="F42" s="287"/>
      <c r="G42" s="384"/>
    </row>
    <row r="43" spans="1:7" s="381" customFormat="1">
      <c r="A43" s="291" t="s">
        <v>148</v>
      </c>
      <c r="B43" s="290">
        <f>SUM(B41:B42)</f>
        <v>960000</v>
      </c>
      <c r="C43" s="290">
        <f>SUM(C41:C42)</f>
        <v>960000</v>
      </c>
      <c r="D43" s="290">
        <f t="shared" si="0"/>
        <v>0</v>
      </c>
      <c r="E43" s="288"/>
      <c r="F43" s="287"/>
      <c r="G43" s="384"/>
    </row>
    <row r="44" spans="1:7" s="381" customFormat="1">
      <c r="A44" s="291" t="s">
        <v>149</v>
      </c>
      <c r="B44" s="286">
        <f>'Sources and Uses Budget'!$C43</f>
        <v>1007892</v>
      </c>
      <c r="C44" s="286">
        <f>'Sources and Uses Budget'!$C43</f>
        <v>1007892</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9641694</v>
      </c>
      <c r="C46" s="286">
        <f>'Sources and Uses Budget'!$C45</f>
        <v>9641694</v>
      </c>
      <c r="D46" s="290">
        <f t="shared" si="0"/>
        <v>0</v>
      </c>
      <c r="E46" s="288"/>
      <c r="F46" s="287"/>
      <c r="G46" s="384"/>
    </row>
    <row r="47" spans="1:7" s="381" customFormat="1">
      <c r="A47" s="145" t="s">
        <v>152</v>
      </c>
      <c r="B47" s="286">
        <f>'Sources and Uses Budget'!$C46</f>
        <v>940031</v>
      </c>
      <c r="C47" s="286">
        <f>'Sources and Uses Budget'!$C46</f>
        <v>940031</v>
      </c>
      <c r="D47" s="290">
        <f t="shared" si="0"/>
        <v>0</v>
      </c>
      <c r="E47" s="288"/>
      <c r="F47" s="287"/>
      <c r="G47" s="384"/>
    </row>
    <row r="48" spans="1:7" s="381" customFormat="1" ht="12" customHeight="1">
      <c r="A48" s="198" t="s">
        <v>153</v>
      </c>
      <c r="B48" s="286">
        <f>'Sources and Uses Budget'!$C47</f>
        <v>2500</v>
      </c>
      <c r="C48" s="286">
        <f>'Sources and Uses Budget'!$C47</f>
        <v>2500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200331</v>
      </c>
      <c r="C50" s="286">
        <f>'Sources and Uses Budget'!$C49</f>
        <v>200331</v>
      </c>
      <c r="D50" s="290">
        <f t="shared" si="0"/>
        <v>0</v>
      </c>
      <c r="E50" s="288"/>
      <c r="F50" s="287"/>
      <c r="G50" s="384"/>
    </row>
    <row r="51" spans="1:7" s="381" customFormat="1">
      <c r="A51" s="145" t="s">
        <v>157</v>
      </c>
      <c r="B51" s="286">
        <f>'Sources and Uses Budget'!$C50</f>
        <v>75000</v>
      </c>
      <c r="C51" s="286">
        <f>'Sources and Uses Budget'!$C50</f>
        <v>75000</v>
      </c>
      <c r="D51" s="290">
        <f t="shared" si="0"/>
        <v>0</v>
      </c>
      <c r="E51" s="288"/>
      <c r="F51" s="287"/>
      <c r="G51" s="384"/>
    </row>
    <row r="52" spans="1:7" s="381" customFormat="1">
      <c r="A52" s="304" t="s">
        <v>155</v>
      </c>
      <c r="B52" s="286">
        <f>'Sources and Uses Budget'!$C51</f>
        <v>606333</v>
      </c>
      <c r="C52" s="286">
        <f>'Sources and Uses Budget'!$C51</f>
        <v>606333</v>
      </c>
      <c r="D52" s="290">
        <f t="shared" si="0"/>
        <v>0</v>
      </c>
      <c r="E52" s="288"/>
      <c r="F52" s="287"/>
      <c r="G52" s="384"/>
    </row>
    <row r="53" spans="1:7" s="381" customFormat="1">
      <c r="A53" s="145" t="s">
        <v>156</v>
      </c>
      <c r="B53" s="286">
        <f>'Sources and Uses Budget'!$C52</f>
        <v>1512205</v>
      </c>
      <c r="C53" s="286">
        <f>'Sources and Uses Budget'!$C52</f>
        <v>1512205</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12978094</v>
      </c>
      <c r="C55" s="293">
        <f>SUM(C46:C54)</f>
        <v>12978094</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15000</v>
      </c>
      <c r="C58" s="286">
        <f>'Sources and Uses Budget'!$C57</f>
        <v>15000</v>
      </c>
      <c r="D58" s="290">
        <f t="shared" si="0"/>
        <v>0</v>
      </c>
      <c r="E58" s="288"/>
      <c r="F58" s="287"/>
      <c r="G58" s="384"/>
    </row>
    <row r="59" spans="1:7" s="381" customFormat="1">
      <c r="A59" s="289" t="s">
        <v>157</v>
      </c>
      <c r="B59" s="286">
        <f>'Sources and Uses Budget'!$C58</f>
        <v>25000</v>
      </c>
      <c r="C59" s="286">
        <f>'Sources and Uses Budget'!$C58</f>
        <v>25000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65" customHeight="1">
      <c r="A63" s="291" t="s">
        <v>303</v>
      </c>
      <c r="B63" s="290">
        <f>SUM(B57:B62)</f>
        <v>40000</v>
      </c>
      <c r="C63" s="290">
        <f>SUM(C57:C62)</f>
        <v>40000</v>
      </c>
      <c r="D63" s="290">
        <f t="shared" si="0"/>
        <v>0</v>
      </c>
      <c r="E63" s="288"/>
      <c r="F63" s="287"/>
      <c r="G63" s="384"/>
    </row>
    <row r="64" spans="1:7" s="381" customFormat="1">
      <c r="A64" s="294" t="s">
        <v>304</v>
      </c>
      <c r="B64" s="290">
        <f>SUM(B9+B12+B14+B15+B17+B26+B28+B39+B43+B44+B55+B63)</f>
        <v>110776988</v>
      </c>
      <c r="C64" s="290">
        <f>SUM(C9+C12+C14+C15+C17+C26+C28+C39+C43+C44+C55+C63)</f>
        <v>110776988</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290500</v>
      </c>
      <c r="C66" s="286">
        <f>'Sources and Uses Budget'!$C65</f>
        <v>290500</v>
      </c>
      <c r="D66" s="290">
        <f t="shared" si="0"/>
        <v>0</v>
      </c>
      <c r="E66" s="288"/>
      <c r="F66" s="287"/>
      <c r="G66" s="384"/>
    </row>
    <row r="67" spans="1:7" s="381" customFormat="1" ht="22.8">
      <c r="A67" s="304" t="s">
        <v>1823</v>
      </c>
      <c r="B67" s="286">
        <f>'Sources and Uses Budget'!$C66</f>
        <v>0</v>
      </c>
      <c r="C67" s="286">
        <f>'Sources and Uses Budget'!$C66</f>
        <v>0</v>
      </c>
      <c r="D67" s="290"/>
      <c r="E67" s="288"/>
      <c r="F67" s="287"/>
      <c r="G67" s="384"/>
    </row>
    <row r="68" spans="1:7" s="381" customFormat="1" ht="22.8">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1827</v>
      </c>
      <c r="B71" s="290">
        <f>SUM(B66:B70)</f>
        <v>290500</v>
      </c>
      <c r="C71" s="290">
        <f>SUM(C66:C70)</f>
        <v>290500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923694</v>
      </c>
      <c r="C76" s="286">
        <f>'Sources and Uses Budget'!$C75</f>
        <v>923694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923694</v>
      </c>
      <c r="C78" s="290">
        <f>SUM(C73:C77)</f>
        <v>923694</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6904828</v>
      </c>
      <c r="C80" s="286">
        <f>'Sources and Uses Budget'!$C79</f>
        <v>6904828</v>
      </c>
      <c r="D80" s="290">
        <f t="shared" si="1"/>
        <v>0</v>
      </c>
      <c r="E80" s="288"/>
      <c r="F80" s="287"/>
      <c r="G80" s="384"/>
    </row>
    <row r="81" spans="1:7" s="381" customFormat="1">
      <c r="A81" s="545" t="s">
        <v>58</v>
      </c>
      <c r="B81" s="286">
        <f>'Sources and Uses Budget'!$C80</f>
        <v>531059</v>
      </c>
      <c r="C81" s="286">
        <f>'Sources and Uses Budget'!$C80</f>
        <v>531059</v>
      </c>
      <c r="D81" s="290">
        <f>C81-B81</f>
        <v>0</v>
      </c>
      <c r="E81" s="288"/>
      <c r="F81" s="287"/>
      <c r="G81" s="384"/>
    </row>
    <row r="82" spans="1:7" s="381" customFormat="1">
      <c r="A82" s="291" t="s">
        <v>1353</v>
      </c>
      <c r="B82" s="290">
        <f>SUM(B80:B81)</f>
        <v>7435887</v>
      </c>
      <c r="C82" s="290">
        <f>SUM(C80:C81)</f>
        <v>7435887</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109915</v>
      </c>
      <c r="C84" s="286">
        <f>'Sources and Uses Budget'!$C83</f>
        <v>109915</v>
      </c>
      <c r="D84" s="290">
        <f t="shared" si="1"/>
        <v>0</v>
      </c>
      <c r="E84" s="288"/>
      <c r="F84" s="287"/>
      <c r="G84" s="384"/>
    </row>
    <row r="85" spans="1:7" s="381" customFormat="1">
      <c r="A85" s="289" t="s">
        <v>792</v>
      </c>
      <c r="B85" s="286">
        <f>'Sources and Uses Budget'!$C84</f>
        <v>214000</v>
      </c>
      <c r="C85" s="286">
        <f>'Sources and Uses Budget'!$C84</f>
        <v>214000</v>
      </c>
      <c r="D85" s="290">
        <f t="shared" si="1"/>
        <v>0</v>
      </c>
      <c r="E85" s="288"/>
      <c r="F85" s="287"/>
      <c r="G85" s="384"/>
    </row>
    <row r="86" spans="1:7" s="381" customFormat="1">
      <c r="A86" s="289" t="s">
        <v>793</v>
      </c>
      <c r="B86" s="286">
        <f>'Sources and Uses Budget'!$C85</f>
        <v>2126910</v>
      </c>
      <c r="C86" s="286">
        <f>'Sources and Uses Budget'!$C85</f>
        <v>2126910</v>
      </c>
      <c r="D86" s="290">
        <f t="shared" si="1"/>
        <v>0</v>
      </c>
      <c r="E86" s="288"/>
      <c r="F86" s="287"/>
      <c r="G86" s="384"/>
    </row>
    <row r="87" spans="1:7" s="381" customFormat="1">
      <c r="A87" s="289" t="s">
        <v>794</v>
      </c>
      <c r="B87" s="286">
        <f>'Sources and Uses Budget'!$C86</f>
        <v>1740199</v>
      </c>
      <c r="C87" s="286">
        <f>'Sources and Uses Budget'!$C86</f>
        <v>1740199</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100000</v>
      </c>
      <c r="C89" s="286">
        <f>'Sources and Uses Budget'!$C88</f>
        <v>100000</v>
      </c>
      <c r="D89" s="290">
        <f t="shared" si="1"/>
        <v>0</v>
      </c>
      <c r="E89" s="288"/>
      <c r="F89" s="287"/>
      <c r="G89" s="384"/>
    </row>
    <row r="90" spans="1:7" s="381" customFormat="1">
      <c r="A90" s="289" t="s">
        <v>797</v>
      </c>
      <c r="B90" s="286">
        <f>'Sources and Uses Budget'!$C89</f>
        <v>378000</v>
      </c>
      <c r="C90" s="286">
        <f>'Sources and Uses Budget'!$C89</f>
        <v>378000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75000</v>
      </c>
      <c r="C92" s="286">
        <f>'Sources and Uses Budget'!$C91</f>
        <v>75000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67200</v>
      </c>
      <c r="C94" s="286">
        <f>'Sources and Uses Budget'!$C93</f>
        <v>67200</v>
      </c>
      <c r="D94" s="290">
        <f t="shared" si="1"/>
        <v>0</v>
      </c>
      <c r="E94" s="288"/>
      <c r="F94" s="287"/>
      <c r="G94" s="384"/>
    </row>
    <row r="95" spans="1:7" s="381" customFormat="1">
      <c r="A95" s="292" t="s">
        <v>34</v>
      </c>
      <c r="B95" s="286">
        <f>'Sources and Uses Budget'!$C94</f>
        <v>100000</v>
      </c>
      <c r="C95" s="286">
        <f>'Sources and Uses Budget'!$C94</f>
        <v>100000</v>
      </c>
      <c r="D95" s="290">
        <f t="shared" si="1"/>
        <v>0</v>
      </c>
      <c r="E95" s="288"/>
      <c r="F95" s="287"/>
      <c r="G95" s="384"/>
    </row>
    <row r="96" spans="1:7" s="381" customFormat="1">
      <c r="A96" s="292" t="s">
        <v>34</v>
      </c>
      <c r="B96" s="286">
        <f>'Sources and Uses Budget'!$C95</f>
        <v>103750</v>
      </c>
      <c r="C96" s="286">
        <f>'Sources and Uses Budget'!$C95</f>
        <v>103750</v>
      </c>
      <c r="D96" s="290">
        <f t="shared" si="1"/>
        <v>0</v>
      </c>
      <c r="E96" s="288"/>
      <c r="F96" s="287"/>
      <c r="G96" s="384"/>
    </row>
    <row r="97" spans="1:7" s="381" customFormat="1">
      <c r="A97" s="291" t="s">
        <v>799</v>
      </c>
      <c r="B97" s="290">
        <f>SUM(B84:B96)</f>
        <v>5039974</v>
      </c>
      <c r="C97" s="290">
        <f>SUM(C84:C96)</f>
        <v>5039974</v>
      </c>
      <c r="D97" s="290">
        <f t="shared" si="1"/>
        <v>0</v>
      </c>
      <c r="E97" s="288"/>
      <c r="F97" s="287"/>
      <c r="G97" s="384"/>
    </row>
    <row r="98" spans="1:7" s="381" customFormat="1">
      <c r="A98" s="291" t="s">
        <v>800</v>
      </c>
      <c r="B98" s="290">
        <f>SUM(B64+B71+B78+B82+B97)</f>
        <v>124467043</v>
      </c>
      <c r="C98" s="290">
        <f>SUM(C64+C71+C78+C82+C97)</f>
        <v>124467043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5600000</v>
      </c>
      <c r="C100" s="286">
        <f>'Sources and Uses Budget'!$C99</f>
        <v>5600000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5600000</v>
      </c>
      <c r="C105" s="290">
        <f>SUM(C100:C104)</f>
        <v>5600000</v>
      </c>
      <c r="D105" s="290">
        <f t="shared" si="1"/>
        <v>0</v>
      </c>
      <c r="E105" s="288"/>
      <c r="F105" s="287"/>
      <c r="G105" s="384"/>
    </row>
    <row r="106" spans="1:7" s="381" customFormat="1">
      <c r="A106" s="291" t="s">
        <v>805</v>
      </c>
      <c r="B106" s="293">
        <f>SUM(B98+B105)</f>
        <v>130067043</v>
      </c>
      <c r="C106" s="293">
        <f>SUM(C98+C105)</f>
        <v>130067043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Kenneth Ballato, Jr</cp:lastModifiedBy>
  <cp:lastPrinted>2023-02-07T00:50:36Z</cp:lastPrinted>
  <dcterms:created xsi:type="dcterms:W3CDTF">2007-12-27T18:26:28Z</dcterms:created>
  <dcterms:modified xsi:type="dcterms:W3CDTF">2023-02-07T21:08:54Z</dcterms:modified>
</cp:coreProperties>
</file>