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Y:\Frogs\South Gate- 3125 Firestone\7. Financing\TCAC final 4.25.23\Application\"/>
    </mc:Choice>
  </mc:AlternateContent>
  <xr:revisionPtr revIDLastSave="0" documentId="13_ncr:1_{35D61598-DD1D-41D1-8267-DBCF6B0122E5}" xr6:coauthVersionLast="47" xr6:coauthVersionMax="47" xr10:uidLastSave="{00000000-0000-0000-0000-000000000000}"/>
  <bookViews>
    <workbookView xWindow="28680" yWindow="-120" windowWidth="29040" windowHeight="15840" tabRatio="821" firstSheet="6"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4" l="1"/>
  <c r="E13" i="4"/>
  <c r="R13" i="4" s="1"/>
  <c r="R5" i="4"/>
  <c r="R4" i="4"/>
  <c r="E33" i="4"/>
  <c r="R33" i="4"/>
  <c r="S10" i="4" l="1"/>
  <c r="E5" i="4"/>
  <c r="E10" i="4" l="1"/>
  <c r="G55" i="9" l="1"/>
  <c r="I55" i="9" s="1"/>
  <c r="K55" i="9" s="1"/>
  <c r="M55" i="9" s="1"/>
  <c r="O55" i="9" s="1"/>
  <c r="Q55" i="9" s="1"/>
  <c r="S55" i="9" s="1"/>
  <c r="U55" i="9" s="1"/>
  <c r="W55" i="9" s="1"/>
  <c r="Y55" i="9" s="1"/>
  <c r="AA55" i="9" s="1"/>
  <c r="AC55" i="9" s="1"/>
  <c r="AE55" i="9" s="1"/>
  <c r="AG55" i="9" s="1"/>
  <c r="G53" i="9"/>
  <c r="G54" i="9"/>
  <c r="I54" i="9" s="1"/>
  <c r="K54" i="9" s="1"/>
  <c r="M54" i="9" s="1"/>
  <c r="O54" i="9" s="1"/>
  <c r="Q54" i="9" s="1"/>
  <c r="S54" i="9" s="1"/>
  <c r="U54" i="9" s="1"/>
  <c r="W54" i="9" s="1"/>
  <c r="Y54" i="9" s="1"/>
  <c r="AA54" i="9" s="1"/>
  <c r="AC54" i="9" s="1"/>
  <c r="AE54" i="9" s="1"/>
  <c r="AC793" i="3" l="1"/>
  <c r="Y793" i="3"/>
  <c r="U793" i="3"/>
  <c r="Q793"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E30" i="9"/>
  <c r="E32" i="9"/>
  <c r="E33" i="9"/>
  <c r="AJ124" i="6"/>
  <c r="AD66" i="5"/>
  <c r="Y66" i="5"/>
  <c r="T25" i="5"/>
  <c r="AI7" i="5" s="1"/>
  <c r="AI11"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84" i="3"/>
  <c r="AG437" i="3"/>
  <c r="W811" i="3"/>
  <c r="E15" i="9" s="1"/>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K595" i="3" s="1"/>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G591" i="3" s="1"/>
  <c r="BE592" i="3"/>
  <c r="BG592" i="3" s="1"/>
  <c r="BE593" i="3"/>
  <c r="BG593" i="3" s="1"/>
  <c r="BE594" i="3"/>
  <c r="BG594" i="3" s="1"/>
  <c r="BE595" i="3"/>
  <c r="BG595" i="3" s="1"/>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B100" i="15"/>
  <c r="E100" i="15" s="1"/>
  <c r="C100" i="15"/>
  <c r="D100" i="15"/>
  <c r="B101" i="15"/>
  <c r="E101" i="15" s="1"/>
  <c r="C101" i="15"/>
  <c r="D101" i="15"/>
  <c r="B102" i="15"/>
  <c r="E102" i="15" s="1"/>
  <c r="C102" i="15"/>
  <c r="D102" i="15"/>
  <c r="B103" i="15"/>
  <c r="C103" i="15"/>
  <c r="E103" i="15" s="1"/>
  <c r="D103" i="15"/>
  <c r="B85" i="15"/>
  <c r="C85" i="15"/>
  <c r="E85" i="15" s="1"/>
  <c r="D85" i="15"/>
  <c r="B87" i="15"/>
  <c r="C87" i="15"/>
  <c r="E87" i="15" s="1"/>
  <c r="D87" i="15"/>
  <c r="B92" i="15"/>
  <c r="C92" i="15"/>
  <c r="E92" i="15" s="1"/>
  <c r="D92" i="15"/>
  <c r="B73" i="15"/>
  <c r="C73" i="15"/>
  <c r="D73" i="15"/>
  <c r="B74" i="15"/>
  <c r="C74" i="15"/>
  <c r="E74" i="15" s="1"/>
  <c r="D74" i="15"/>
  <c r="B76" i="15"/>
  <c r="C76" i="15"/>
  <c r="D76" i="15"/>
  <c r="D72" i="15"/>
  <c r="C72" i="15"/>
  <c r="B72" i="15"/>
  <c r="B66" i="15"/>
  <c r="C66" i="15"/>
  <c r="E66" i="15"/>
  <c r="D66" i="15"/>
  <c r="B67" i="15"/>
  <c r="C67" i="15"/>
  <c r="D67" i="15"/>
  <c r="B68" i="15"/>
  <c r="C68" i="15"/>
  <c r="E68" i="15"/>
  <c r="D68" i="15"/>
  <c r="B59" i="15"/>
  <c r="C59" i="15"/>
  <c r="E59" i="15" s="1"/>
  <c r="D59" i="15"/>
  <c r="B60" i="15"/>
  <c r="E60" i="15" s="1"/>
  <c r="C60" i="15"/>
  <c r="D60" i="15"/>
  <c r="D56" i="15"/>
  <c r="C56" i="15"/>
  <c r="B56" i="15"/>
  <c r="B49" i="15"/>
  <c r="C49" i="15"/>
  <c r="E49" i="15"/>
  <c r="D49" i="15"/>
  <c r="B53" i="15"/>
  <c r="C53" i="15"/>
  <c r="E53" i="15" s="1"/>
  <c r="D53" i="15"/>
  <c r="B34" i="15"/>
  <c r="C34" i="15"/>
  <c r="E34" i="15" s="1"/>
  <c r="D34" i="15"/>
  <c r="B35" i="15"/>
  <c r="E35" i="15" s="1"/>
  <c r="C35" i="15"/>
  <c r="D35" i="15"/>
  <c r="B37" i="15"/>
  <c r="C37" i="15"/>
  <c r="D37" i="15"/>
  <c r="D30" i="15"/>
  <c r="C30" i="15"/>
  <c r="B30" i="15"/>
  <c r="B19" i="15"/>
  <c r="E19" i="15" s="1"/>
  <c r="C19" i="15"/>
  <c r="D19" i="15"/>
  <c r="B20" i="15"/>
  <c r="C20" i="15"/>
  <c r="D20" i="15"/>
  <c r="B21" i="15"/>
  <c r="C21" i="15"/>
  <c r="D21" i="15"/>
  <c r="B22" i="15"/>
  <c r="C22" i="15"/>
  <c r="E22" i="15" s="1"/>
  <c r="D22" i="15"/>
  <c r="B23" i="15"/>
  <c r="C23" i="15"/>
  <c r="D23" i="15"/>
  <c r="B24" i="15"/>
  <c r="C24" i="15"/>
  <c r="E24" i="15" s="1"/>
  <c r="D24" i="15"/>
  <c r="B25" i="15"/>
  <c r="C25" i="15"/>
  <c r="D25" i="15"/>
  <c r="B26" i="15"/>
  <c r="C26" i="15"/>
  <c r="E26" i="15" s="1"/>
  <c r="D26" i="15"/>
  <c r="B28" i="15"/>
  <c r="C28" i="15"/>
  <c r="D28" i="15"/>
  <c r="B6" i="15"/>
  <c r="C6" i="15"/>
  <c r="B7" i="15"/>
  <c r="C7" i="15"/>
  <c r="B8" i="15"/>
  <c r="C8" i="15"/>
  <c r="B10" i="15"/>
  <c r="C10" i="15"/>
  <c r="E10" i="15" s="1"/>
  <c r="B11" i="15"/>
  <c r="B12" i="15" s="1"/>
  <c r="C11" i="15"/>
  <c r="B15" i="15"/>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56" i="15"/>
  <c r="E73" i="15"/>
  <c r="E67" i="15"/>
  <c r="E7" i="15"/>
  <c r="E21" i="15"/>
  <c r="E28" i="15"/>
  <c r="E8" i="15"/>
  <c r="E72" i="15"/>
  <c r="E23"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B67" i="4"/>
  <c r="B66" i="4"/>
  <c r="B65" i="4"/>
  <c r="B36" i="4"/>
  <c r="R24" i="4"/>
  <c r="B24" i="4"/>
  <c r="I53" i="9"/>
  <c r="K53" i="9" s="1"/>
  <c r="M53" i="9" s="1"/>
  <c r="G56" i="9"/>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11" i="4"/>
  <c r="B11" i="18" s="1"/>
  <c r="C26" i="4"/>
  <c r="B25" i="18" s="1"/>
  <c r="C65" i="25"/>
  <c r="C66" i="25"/>
  <c r="Y20" i="5"/>
  <c r="Y22" i="5" s="1"/>
  <c r="AI20" i="5"/>
  <c r="AI22" i="5" s="1"/>
  <c r="S26" i="4"/>
  <c r="F25" i="18"/>
  <c r="F37" i="18"/>
  <c r="F41" i="18"/>
  <c r="F52" i="18"/>
  <c r="F68" i="18"/>
  <c r="F79" i="18"/>
  <c r="F94" i="18"/>
  <c r="F102" i="18"/>
  <c r="T20" i="5"/>
  <c r="T22" i="5" s="1"/>
  <c r="T26" i="4"/>
  <c r="T38" i="4"/>
  <c r="T42" i="4"/>
  <c r="T53" i="4"/>
  <c r="T11" i="4"/>
  <c r="T69" i="4"/>
  <c r="H68" i="18" s="1"/>
  <c r="T80" i="4"/>
  <c r="H79" i="18"/>
  <c r="T95" i="4"/>
  <c r="T103" i="4"/>
  <c r="I11" i="18"/>
  <c r="I25" i="18"/>
  <c r="I37" i="18"/>
  <c r="I41" i="18"/>
  <c r="I52" i="18"/>
  <c r="I61" i="18" s="1"/>
  <c r="I95" i="18" s="1"/>
  <c r="I103" i="18" s="1"/>
  <c r="I105" i="18" s="1"/>
  <c r="I68" i="18"/>
  <c r="I79" i="18"/>
  <c r="I94" i="18"/>
  <c r="I102" i="18"/>
  <c r="U61" i="25"/>
  <c r="U69" i="25" s="1"/>
  <c r="U63" i="25"/>
  <c r="U65" i="25"/>
  <c r="U67" i="25"/>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1" i="4"/>
  <c r="K69" i="4"/>
  <c r="K76" i="4"/>
  <c r="K80" i="4"/>
  <c r="K95" i="4"/>
  <c r="L8" i="4"/>
  <c r="L11" i="4"/>
  <c r="L26" i="4"/>
  <c r="L62" i="4" s="1"/>
  <c r="L96" i="4" s="1"/>
  <c r="L104" i="4" s="1"/>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62" i="4" s="1"/>
  <c r="O96" i="4" s="1"/>
  <c r="O104" i="4" s="1"/>
  <c r="O11" i="4"/>
  <c r="O26" i="4"/>
  <c r="O38" i="4"/>
  <c r="O42" i="4"/>
  <c r="O53" i="4"/>
  <c r="O61" i="4"/>
  <c r="O69" i="4"/>
  <c r="O76" i="4"/>
  <c r="O80" i="4"/>
  <c r="O95" i="4"/>
  <c r="P8" i="4"/>
  <c r="P12" i="4" s="1"/>
  <c r="P11" i="4"/>
  <c r="P62" i="4" s="1"/>
  <c r="P96" i="4" s="1"/>
  <c r="P104" i="4" s="1"/>
  <c r="P26" i="4"/>
  <c r="P38" i="4"/>
  <c r="P42" i="4"/>
  <c r="P53" i="4"/>
  <c r="P61" i="4"/>
  <c r="P69" i="4"/>
  <c r="P76" i="4"/>
  <c r="P80" i="4"/>
  <c r="P95" i="4"/>
  <c r="Q8" i="4"/>
  <c r="Q12" i="4" s="1"/>
  <c r="Q11" i="4"/>
  <c r="Q62" i="4" s="1"/>
  <c r="Q96" i="4" s="1"/>
  <c r="Q104" i="4" s="1"/>
  <c r="Q26" i="4"/>
  <c r="Q38" i="4"/>
  <c r="Q42" i="4"/>
  <c r="Q53" i="4"/>
  <c r="Q61" i="4"/>
  <c r="Q69" i="4"/>
  <c r="Q76" i="4"/>
  <c r="Q80" i="4"/>
  <c r="Q95" i="4"/>
  <c r="C79" i="18"/>
  <c r="R71" i="4"/>
  <c r="R72" i="4"/>
  <c r="R73" i="4"/>
  <c r="R75" i="4"/>
  <c r="F80" i="4"/>
  <c r="G80" i="4"/>
  <c r="H80" i="4"/>
  <c r="G76" i="4"/>
  <c r="F76" i="4"/>
  <c r="H78" i="18"/>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D5" i="18" s="1"/>
  <c r="B6" i="18"/>
  <c r="B7" i="18"/>
  <c r="B9" i="18"/>
  <c r="B10" i="18"/>
  <c r="D10" i="18" s="1"/>
  <c r="G10"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1" i="18"/>
  <c r="E90" i="18"/>
  <c r="E85" i="18"/>
  <c r="E83" i="18"/>
  <c r="E51" i="18"/>
  <c r="E47" i="18"/>
  <c r="E33" i="18"/>
  <c r="E32" i="18"/>
  <c r="E28" i="18"/>
  <c r="E26" i="18"/>
  <c r="E24" i="18"/>
  <c r="E23" i="18"/>
  <c r="E22" i="18"/>
  <c r="E21" i="18"/>
  <c r="E20" i="18"/>
  <c r="E19" i="18"/>
  <c r="E18" i="18"/>
  <c r="E17" i="18"/>
  <c r="E14" i="18"/>
  <c r="E15" i="18"/>
  <c r="E10" i="18"/>
  <c r="B101" i="18"/>
  <c r="B100" i="18"/>
  <c r="B99" i="18"/>
  <c r="B98" i="18"/>
  <c r="B90" i="18"/>
  <c r="B85" i="18"/>
  <c r="B83" i="18"/>
  <c r="B74" i="18"/>
  <c r="B72" i="18"/>
  <c r="B71" i="18"/>
  <c r="B70" i="18"/>
  <c r="B58" i="18"/>
  <c r="B57" i="18"/>
  <c r="B54" i="18"/>
  <c r="B51" i="18"/>
  <c r="B47" i="18"/>
  <c r="B33" i="18"/>
  <c r="B32" i="18"/>
  <c r="B28" i="18"/>
  <c r="B26" i="18"/>
  <c r="B24" i="18"/>
  <c r="B23" i="18"/>
  <c r="B22" i="18"/>
  <c r="B21" i="18"/>
  <c r="B20" i="18"/>
  <c r="B19" i="18"/>
  <c r="B18" i="18"/>
  <c r="B17" i="18"/>
  <c r="C102" i="18"/>
  <c r="C94" i="18"/>
  <c r="C75" i="18"/>
  <c r="C68" i="18"/>
  <c r="C60" i="18"/>
  <c r="C52" i="18"/>
  <c r="C41" i="18"/>
  <c r="C37" i="18"/>
  <c r="D25"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27" i="4"/>
  <c r="R25" i="4"/>
  <c r="R23" i="4"/>
  <c r="R22" i="4"/>
  <c r="R21" i="4"/>
  <c r="R20" i="4"/>
  <c r="R26" i="4" s="1"/>
  <c r="R19" i="4"/>
  <c r="R18" i="4"/>
  <c r="R17" i="4"/>
  <c r="R15" i="4"/>
  <c r="R14" i="4"/>
  <c r="R7" i="4"/>
  <c r="R6" i="4"/>
  <c r="D6" i="15"/>
  <c r="D7" i="15"/>
  <c r="D8" i="15"/>
  <c r="D10" i="15"/>
  <c r="D11" i="15"/>
  <c r="D12" i="15" s="1"/>
  <c r="D15" i="15"/>
  <c r="D16" i="15"/>
  <c r="D18" i="15"/>
  <c r="H25" i="18"/>
  <c r="H37" i="18"/>
  <c r="H52" i="18"/>
  <c r="H94" i="18"/>
  <c r="H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5" i="4"/>
  <c r="B6" i="4"/>
  <c r="B7" i="4"/>
  <c r="E11" i="4"/>
  <c r="F8" i="4"/>
  <c r="F12" i="4" s="1"/>
  <c r="G8" i="4"/>
  <c r="G12" i="4" s="1"/>
  <c r="H8" i="4"/>
  <c r="H12" i="4" s="1"/>
  <c r="H11" i="4"/>
  <c r="L12" i="4"/>
  <c r="B9" i="4"/>
  <c r="B10" i="4"/>
  <c r="F11" i="4"/>
  <c r="G11" i="4"/>
  <c r="I12" i="4"/>
  <c r="B14" i="4"/>
  <c r="B17" i="4"/>
  <c r="B18" i="4"/>
  <c r="B19" i="4"/>
  <c r="B20" i="4"/>
  <c r="B21" i="4"/>
  <c r="B22" i="4"/>
  <c r="B23" i="4"/>
  <c r="B25" i="4"/>
  <c r="E26" i="4"/>
  <c r="F26" i="4"/>
  <c r="G26" i="4"/>
  <c r="H26" i="4"/>
  <c r="M103" i="4"/>
  <c r="Q103" i="4"/>
  <c r="B27" i="4"/>
  <c r="B29" i="4"/>
  <c r="B33" i="4"/>
  <c r="B34" i="4"/>
  <c r="G38" i="4"/>
  <c r="H38" i="4"/>
  <c r="O103" i="4"/>
  <c r="F42" i="4"/>
  <c r="G42" i="4"/>
  <c r="H42" i="4"/>
  <c r="B48" i="4"/>
  <c r="B52" i="4"/>
  <c r="F53" i="4"/>
  <c r="F61" i="4"/>
  <c r="F95" i="4"/>
  <c r="F69" i="4"/>
  <c r="F103" i="4"/>
  <c r="G53" i="4"/>
  <c r="H53" i="4"/>
  <c r="B55" i="4"/>
  <c r="B58" i="4"/>
  <c r="B59" i="4"/>
  <c r="G61" i="4"/>
  <c r="H61" i="4"/>
  <c r="G69" i="4"/>
  <c r="H69" i="4"/>
  <c r="B71" i="4"/>
  <c r="B72" i="4"/>
  <c r="B73" i="4"/>
  <c r="B75" i="4"/>
  <c r="H76" i="4"/>
  <c r="B84" i="4"/>
  <c r="B86" i="4"/>
  <c r="B91" i="4"/>
  <c r="G95" i="4"/>
  <c r="H95" i="4"/>
  <c r="B99" i="4"/>
  <c r="R99" i="4"/>
  <c r="B100" i="4"/>
  <c r="R100" i="4"/>
  <c r="R102" i="4"/>
  <c r="H103" i="4"/>
  <c r="I103" i="4"/>
  <c r="J103" i="4"/>
  <c r="K103" i="4"/>
  <c r="L103" i="4"/>
  <c r="N103" i="4"/>
  <c r="P103" i="4"/>
  <c r="B131" i="4"/>
  <c r="I184" i="3"/>
  <c r="W411" i="3"/>
  <c r="AF411" i="3" s="1"/>
  <c r="G560" i="3"/>
  <c r="Z560" i="3"/>
  <c r="G568" i="3"/>
  <c r="Z568" i="3"/>
  <c r="G576" i="3"/>
  <c r="Z576" i="3"/>
  <c r="G584" i="3"/>
  <c r="Z584" i="3"/>
  <c r="G592" i="3"/>
  <c r="Z592"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H41" i="18"/>
  <c r="N12" i="4"/>
  <c r="E25" i="18"/>
  <c r="D12" i="4"/>
  <c r="B11" i="4"/>
  <c r="T62" i="4"/>
  <c r="G52" i="25"/>
  <c r="AM704" i="3"/>
  <c r="AM703" i="3"/>
  <c r="AM702" i="3"/>
  <c r="AM701" i="3"/>
  <c r="AM700" i="3"/>
  <c r="AB47" i="26"/>
  <c r="J61" i="18"/>
  <c r="J95" i="18" s="1"/>
  <c r="J103" i="18" s="1"/>
  <c r="J105" i="18" s="1"/>
  <c r="K12" i="4"/>
  <c r="J12" i="4"/>
  <c r="R11" i="4"/>
  <c r="G62" i="4"/>
  <c r="G96" i="4" s="1"/>
  <c r="C12" i="18"/>
  <c r="M62" i="4"/>
  <c r="M96" i="4" s="1"/>
  <c r="M104" i="4" s="1"/>
  <c r="N62" i="4"/>
  <c r="N96" i="4"/>
  <c r="N104" i="4" s="1"/>
  <c r="D62" i="4"/>
  <c r="D96" i="4"/>
  <c r="D104" i="4" s="1"/>
  <c r="H11" i="18"/>
  <c r="K62" i="4"/>
  <c r="K96" i="4" s="1"/>
  <c r="K104" i="4" s="1"/>
  <c r="T96" i="4"/>
  <c r="H61" i="18"/>
  <c r="H62" i="4"/>
  <c r="H96" i="4"/>
  <c r="H104" i="4"/>
  <c r="M12" i="4"/>
  <c r="F61" i="18"/>
  <c r="F95" i="18" s="1"/>
  <c r="F103" i="18" s="1"/>
  <c r="F105" i="18" s="1"/>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T24" i="27"/>
  <c r="T24" i="26"/>
  <c r="O29" i="9"/>
  <c r="Q580" i="6"/>
  <c r="W580" i="6" s="1"/>
  <c r="D32" i="18" l="1"/>
  <c r="G32" i="18"/>
  <c r="D11" i="18"/>
  <c r="E6" i="15"/>
  <c r="E11" i="15"/>
  <c r="CM620" i="3"/>
  <c r="AM697" i="3"/>
  <c r="AM699" i="3"/>
  <c r="AM698" i="3"/>
  <c r="AM694" i="3"/>
  <c r="AM696" i="3"/>
  <c r="AM695" i="3"/>
  <c r="AM693" i="3"/>
  <c r="G58" i="9"/>
  <c r="I56" i="9"/>
  <c r="K56" i="9" s="1"/>
  <c r="M56" i="9" s="1"/>
  <c r="O56" i="9" s="1"/>
  <c r="Q56" i="9" s="1"/>
  <c r="S56" i="9" s="1"/>
  <c r="U56" i="9" s="1"/>
  <c r="W56" i="9" s="1"/>
  <c r="Y56" i="9" s="1"/>
  <c r="AA56" i="9" s="1"/>
  <c r="AC56" i="9" s="1"/>
  <c r="AE56" i="9" s="1"/>
  <c r="AG56" i="9" s="1"/>
  <c r="AP378" i="6"/>
  <c r="AQ378" i="6" s="1"/>
  <c r="C61" i="18"/>
  <c r="C95" i="18" s="1"/>
  <c r="C103" i="18" s="1"/>
  <c r="BN620" i="3"/>
  <c r="E20" i="15"/>
  <c r="C27" i="15"/>
  <c r="D27" i="15"/>
  <c r="B27" i="15"/>
  <c r="B26" i="4"/>
  <c r="E18" i="15"/>
  <c r="AI11" i="27"/>
  <c r="AI11" i="26"/>
  <c r="AD11" i="27"/>
  <c r="AD11" i="5"/>
  <c r="AD23" i="5" s="1"/>
  <c r="AD26" i="5" s="1"/>
  <c r="AD11" i="26"/>
  <c r="O53" i="9"/>
  <c r="O12" i="4"/>
  <c r="AI20" i="26"/>
  <c r="AI22" i="26" s="1"/>
  <c r="AY916" i="3"/>
  <c r="C12" i="15"/>
  <c r="E12" i="15" s="1"/>
  <c r="G98" i="25"/>
  <c r="D100" i="25" s="1"/>
  <c r="D102" i="25" s="1"/>
  <c r="D104" i="25" s="1"/>
  <c r="D110" i="25" s="1"/>
  <c r="G38" i="25" s="1"/>
  <c r="G53" i="25" s="1"/>
  <c r="AO651" i="6"/>
  <c r="AK684" i="6" s="1"/>
  <c r="T706" i="6" s="1"/>
  <c r="AM692" i="3"/>
  <c r="R935"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G15" i="9"/>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2" i="27" s="1"/>
  <c r="T20" i="26"/>
  <c r="T22" i="26" s="1"/>
  <c r="Y20" i="26"/>
  <c r="Y22" i="26" s="1"/>
  <c r="AD20" i="26"/>
  <c r="AD22" i="26" s="1"/>
  <c r="AD7" i="5"/>
  <c r="AI20" i="27"/>
  <c r="AI22" i="27" s="1"/>
  <c r="AI23" i="27" s="1"/>
  <c r="AI26" i="27" s="1"/>
  <c r="AD63" i="5"/>
  <c r="E27" i="15"/>
  <c r="U29" i="9"/>
  <c r="AE29" i="9"/>
  <c r="AK61" i="6"/>
  <c r="G29" i="9"/>
  <c r="W29" i="9"/>
  <c r="AA29" i="9"/>
  <c r="I29" i="9"/>
  <c r="S29" i="9"/>
  <c r="Y29" i="9"/>
  <c r="K29" i="9"/>
  <c r="M29" i="9"/>
  <c r="Q29" i="9"/>
  <c r="AC29" i="9"/>
  <c r="F30" i="10"/>
  <c r="I30" i="10"/>
  <c r="Z773" i="3" s="1"/>
  <c r="C67" i="25"/>
  <c r="I16" i="9"/>
  <c r="T695" i="6"/>
  <c r="Y7" i="5"/>
  <c r="Y11" i="5" s="1"/>
  <c r="G8" i="9"/>
  <c r="E9" i="9"/>
  <c r="I58" i="9" l="1"/>
  <c r="BH700" i="3"/>
  <c r="BI700" i="3" s="1"/>
  <c r="BN638" i="3"/>
  <c r="AB933" i="3" s="1"/>
  <c r="AJ933" i="3" s="1"/>
  <c r="AS354" i="6"/>
  <c r="AK471" i="6" s="1"/>
  <c r="T700" i="6" s="1"/>
  <c r="AD23" i="26"/>
  <c r="AD26" i="26" s="1"/>
  <c r="AI23" i="26"/>
  <c r="AI26" i="26" s="1"/>
  <c r="Q53" i="9"/>
  <c r="AD23" i="27"/>
  <c r="AD26" i="27" s="1"/>
  <c r="K58" i="9"/>
  <c r="CS620" i="3"/>
  <c r="BH712" i="3"/>
  <c r="BI712" i="3" s="1"/>
  <c r="BH687" i="3"/>
  <c r="BI687" i="3" s="1"/>
  <c r="BH692" i="3"/>
  <c r="BI692" i="3" s="1"/>
  <c r="BH684" i="3"/>
  <c r="BI684" i="3" s="1"/>
  <c r="BH682" i="3"/>
  <c r="BI682" i="3" s="1"/>
  <c r="BH683" i="3"/>
  <c r="BI683" i="3" s="1"/>
  <c r="BH685" i="3"/>
  <c r="BI685" i="3" s="1"/>
  <c r="BH693" i="3"/>
  <c r="BI693" i="3" s="1"/>
  <c r="BH695" i="3"/>
  <c r="BI695" i="3" s="1"/>
  <c r="BH726" i="3"/>
  <c r="BI726" i="3" s="1"/>
  <c r="BH707" i="3"/>
  <c r="BI707" i="3" s="1"/>
  <c r="BH730" i="3"/>
  <c r="BI730" i="3" s="1"/>
  <c r="BH710" i="3"/>
  <c r="BI710" i="3" s="1"/>
  <c r="BH696" i="3"/>
  <c r="BI696" i="3" s="1"/>
  <c r="BH680" i="3"/>
  <c r="BI680" i="3" s="1"/>
  <c r="BH678" i="3"/>
  <c r="BI678" i="3" s="1"/>
  <c r="BH676" i="3"/>
  <c r="BI676" i="3" s="1"/>
  <c r="BH690" i="3"/>
  <c r="BI690" i="3" s="1"/>
  <c r="BH715" i="3"/>
  <c r="BI715" i="3" s="1"/>
  <c r="BH691" i="3"/>
  <c r="BI691" i="3" s="1"/>
  <c r="BH688" i="3"/>
  <c r="BI688" i="3" s="1"/>
  <c r="BH697" i="3"/>
  <c r="BI697" i="3" s="1"/>
  <c r="Y765" i="3"/>
  <c r="E4" i="9" s="1"/>
  <c r="G4" i="9" s="1"/>
  <c r="I4" i="9" s="1"/>
  <c r="I5" i="9" s="1"/>
  <c r="BH709" i="3"/>
  <c r="BI709" i="3" s="1"/>
  <c r="BH699" i="3"/>
  <c r="BI699" i="3" s="1"/>
  <c r="Y764" i="3"/>
  <c r="BH681" i="3"/>
  <c r="BI681" i="3" s="1"/>
  <c r="CB614" i="3"/>
  <c r="O606" i="6"/>
  <c r="AU570" i="6" s="1"/>
  <c r="O605" i="6"/>
  <c r="AU569" i="6" s="1"/>
  <c r="L29" i="28"/>
  <c r="V29" i="28" s="1"/>
  <c r="CH638" i="3"/>
  <c r="L30" i="28"/>
  <c r="V30" i="28" s="1"/>
  <c r="CM638" i="3"/>
  <c r="L28" i="28"/>
  <c r="V28" i="28" s="1"/>
  <c r="AC849" i="3"/>
  <c r="CQ634" i="3"/>
  <c r="AD27" i="26"/>
  <c r="AD28" i="26" s="1"/>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E6" i="9"/>
  <c r="S15" i="9"/>
  <c r="U15" i="9" s="1"/>
  <c r="M32" i="9"/>
  <c r="I8" i="9"/>
  <c r="G9" i="9"/>
  <c r="AD28" i="27" l="1"/>
  <c r="S53" i="9"/>
  <c r="M58" i="9"/>
  <c r="BI732" i="3"/>
  <c r="AM717" i="3" s="1"/>
  <c r="Y606" i="6"/>
  <c r="AU532" i="6" s="1"/>
  <c r="E5" i="9"/>
  <c r="Z782" i="3"/>
  <c r="BI701" i="3"/>
  <c r="AH717" i="3" s="1"/>
  <c r="AB937" i="3"/>
  <c r="AJ937" i="3" s="1"/>
  <c r="AJ939" i="3" s="1"/>
  <c r="AJ979" i="3" s="1"/>
  <c r="BH732" i="3"/>
  <c r="BH701" i="3"/>
  <c r="Y26" i="5"/>
  <c r="Y28" i="5" s="1"/>
  <c r="AO691" i="6"/>
  <c r="G5" i="9"/>
  <c r="K4" i="9"/>
  <c r="M4" i="9" s="1"/>
  <c r="O4" i="9" s="1"/>
  <c r="AC589" i="6"/>
  <c r="CE527" i="6"/>
  <c r="CE528" i="6" s="1"/>
  <c r="CC529" i="6" s="1"/>
  <c r="CQ615" i="3"/>
  <c r="P414" i="3"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O32" i="9"/>
  <c r="I9" i="9"/>
  <c r="K8" i="9"/>
  <c r="AU530" i="6" l="1"/>
  <c r="AU533" i="6"/>
  <c r="O720" i="3"/>
  <c r="AJ972" i="3"/>
  <c r="AJ988" i="3" s="1"/>
  <c r="AB938" i="3"/>
  <c r="AU531" i="6"/>
  <c r="AU534" i="6"/>
  <c r="AO689" i="6"/>
  <c r="T698" i="6" s="1"/>
  <c r="AF698" i="6" s="1"/>
  <c r="U53" i="9"/>
  <c r="CQ636" i="3"/>
  <c r="U367" i="6" s="1"/>
  <c r="O58" i="9"/>
  <c r="E11" i="9"/>
  <c r="E37" i="9" s="1"/>
  <c r="CH544" i="6"/>
  <c r="BI543" i="6" s="1"/>
  <c r="BS524" i="6"/>
  <c r="BS528" i="6" s="1"/>
  <c r="BQ529" i="6" s="1"/>
  <c r="BY531" i="6" s="1"/>
  <c r="BE570" i="6"/>
  <c r="AP580" i="6" s="1"/>
  <c r="BT570" i="6" s="1"/>
  <c r="BT574" i="6" s="1"/>
  <c r="K5" i="9"/>
  <c r="CC530" i="6"/>
  <c r="T703" i="6"/>
  <c r="AK615" i="6"/>
  <c r="M5" i="9"/>
  <c r="AS539" i="6"/>
  <c r="BY530" i="6"/>
  <c r="BY532" i="6"/>
  <c r="BP585" i="6"/>
  <c r="BN586" i="6" s="1"/>
  <c r="BB586" i="6"/>
  <c r="BU531" i="6"/>
  <c r="CC533" i="6"/>
  <c r="BE547" i="6"/>
  <c r="AU546" i="6"/>
  <c r="BL585" i="6"/>
  <c r="BJ586" i="6" s="1"/>
  <c r="BF586" i="6"/>
  <c r="O16" i="9"/>
  <c r="M22" i="9"/>
  <c r="M35" i="9" s="1"/>
  <c r="O5" i="9"/>
  <c r="Q4" i="9"/>
  <c r="I6" i="9"/>
  <c r="G7" i="9"/>
  <c r="G11" i="9" s="1"/>
  <c r="G37" i="9" s="1"/>
  <c r="W15" i="9"/>
  <c r="Q32" i="9"/>
  <c r="M8" i="9"/>
  <c r="K9" i="9"/>
  <c r="T24" i="5" l="1"/>
  <c r="CC532" i="6"/>
  <c r="BQ530" i="6"/>
  <c r="BQ534" i="6" s="1"/>
  <c r="BU530" i="6"/>
  <c r="BU534" i="6" s="1"/>
  <c r="Q58" i="9"/>
  <c r="W53" i="9"/>
  <c r="BI547" i="6"/>
  <c r="BM544" i="6"/>
  <c r="BM547" i="6" s="1"/>
  <c r="T702" i="6"/>
  <c r="AO694" i="6"/>
  <c r="AF702" i="6" s="1"/>
  <c r="AF708" i="6" s="1"/>
  <c r="CC531" i="6"/>
  <c r="BY534" i="6"/>
  <c r="BJ587" i="6"/>
  <c r="AV551" i="6" s="1"/>
  <c r="BY571" i="6"/>
  <c r="K6" i="9"/>
  <c r="I7" i="9"/>
  <c r="I11" i="9" s="1"/>
  <c r="I37" i="9" s="1"/>
  <c r="Q16" i="9"/>
  <c r="O22" i="9"/>
  <c r="O35" i="9" s="1"/>
  <c r="Q5" i="9"/>
  <c r="S4" i="9"/>
  <c r="Y15" i="9"/>
  <c r="S32" i="9"/>
  <c r="M9" i="9"/>
  <c r="O8" i="9"/>
  <c r="CC534" i="6" l="1"/>
  <c r="CG534" i="6" s="1"/>
  <c r="Y53" i="9"/>
  <c r="S58" i="9"/>
  <c r="BQ545" i="6"/>
  <c r="BU546" i="6" s="1"/>
  <c r="BU547" i="6" s="1"/>
  <c r="CD572" i="6"/>
  <c r="BY574" i="6"/>
  <c r="S16" i="9"/>
  <c r="Q22" i="9"/>
  <c r="Q35" i="9" s="1"/>
  <c r="AA15" i="9"/>
  <c r="U4" i="9"/>
  <c r="S5" i="9"/>
  <c r="K7" i="9"/>
  <c r="K11" i="9" s="1"/>
  <c r="M6" i="9"/>
  <c r="U32" i="9"/>
  <c r="Q8" i="9"/>
  <c r="O9" i="9"/>
  <c r="BQ547" i="6" l="1"/>
  <c r="CC547" i="6" s="1"/>
  <c r="U58" i="9"/>
  <c r="AA53" i="9"/>
  <c r="CD574" i="6"/>
  <c r="CI573" i="6"/>
  <c r="CI574" i="6" s="1"/>
  <c r="K37" i="9"/>
  <c r="U16" i="9"/>
  <c r="S22" i="9"/>
  <c r="S35" i="9" s="1"/>
  <c r="W4" i="9"/>
  <c r="U5" i="9"/>
  <c r="AC15" i="9"/>
  <c r="O6" i="9"/>
  <c r="M7" i="9"/>
  <c r="M11" i="9" s="1"/>
  <c r="M37" i="9" s="1"/>
  <c r="W32" i="9"/>
  <c r="S8" i="9"/>
  <c r="Q9" i="9"/>
  <c r="AC53" i="9" l="1"/>
  <c r="W58" i="9"/>
  <c r="CN574" i="6"/>
  <c r="BD555" i="6" s="1"/>
  <c r="AT557" i="6" s="1"/>
  <c r="Q6" i="9"/>
  <c r="O7" i="9"/>
  <c r="O11" i="9" s="1"/>
  <c r="O37" i="9" s="1"/>
  <c r="Y4" i="9"/>
  <c r="W5" i="9"/>
  <c r="AE15" i="9"/>
  <c r="W16" i="9"/>
  <c r="U22" i="9"/>
  <c r="U35" i="9" s="1"/>
  <c r="Y32" i="9"/>
  <c r="U8" i="9"/>
  <c r="S9" i="9"/>
  <c r="Y58" i="9" l="1"/>
  <c r="AE53" i="9"/>
  <c r="AW559" i="6"/>
  <c r="AA4" i="9"/>
  <c r="Y5" i="9"/>
  <c r="AG15" i="9"/>
  <c r="Y16" i="9"/>
  <c r="W22" i="9"/>
  <c r="W35" i="9" s="1"/>
  <c r="S6" i="9"/>
  <c r="Q7" i="9"/>
  <c r="Q11" i="9" s="1"/>
  <c r="Q37" i="9" s="1"/>
  <c r="AA32" i="9"/>
  <c r="W8" i="9"/>
  <c r="U9" i="9"/>
  <c r="AG53" i="9" l="1"/>
  <c r="AA58" i="9"/>
  <c r="AC4" i="9"/>
  <c r="AA5" i="9"/>
  <c r="U6" i="9"/>
  <c r="S7" i="9"/>
  <c r="S11" i="9" s="1"/>
  <c r="S37" i="9" s="1"/>
  <c r="AA16" i="9"/>
  <c r="Y22" i="9"/>
  <c r="Y35" i="9" s="1"/>
  <c r="AC32" i="9"/>
  <c r="W9" i="9"/>
  <c r="Y8" i="9"/>
  <c r="AC58" i="9" l="1"/>
  <c r="W6" i="9"/>
  <c r="U7" i="9"/>
  <c r="U11" i="9" s="1"/>
  <c r="U37" i="9" s="1"/>
  <c r="AC16" i="9"/>
  <c r="AA22" i="9"/>
  <c r="AA35" i="9" s="1"/>
  <c r="AC5" i="9"/>
  <c r="AE4" i="9"/>
  <c r="AE32" i="9"/>
  <c r="Y9" i="9"/>
  <c r="AA8" i="9"/>
  <c r="AG54" i="9" l="1"/>
  <c r="AG58" i="9" s="1"/>
  <c r="AE58" i="9"/>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E67" i="18" l="1"/>
  <c r="G67" i="18" s="1"/>
  <c r="E89" i="18"/>
  <c r="G89" i="18" s="1"/>
  <c r="E48" i="18"/>
  <c r="G48" i="18" s="1"/>
  <c r="E49" i="18"/>
  <c r="G49" i="18" s="1"/>
  <c r="S69" i="4" l="1"/>
  <c r="E68" i="18" s="1"/>
  <c r="E63" i="18"/>
  <c r="G63" i="18" s="1"/>
  <c r="G68" i="18" s="1"/>
  <c r="E92" i="18"/>
  <c r="G92" i="18" s="1"/>
  <c r="E78" i="18"/>
  <c r="G78" i="18" s="1"/>
  <c r="E46" i="18"/>
  <c r="G46" i="18" s="1"/>
  <c r="E50" i="18" l="1"/>
  <c r="G50" i="18" s="1"/>
  <c r="E87" i="18"/>
  <c r="G87" i="18" s="1"/>
  <c r="E40" i="18"/>
  <c r="G40" i="18" s="1"/>
  <c r="E88" i="18"/>
  <c r="G88" i="18" s="1"/>
  <c r="E82" i="18" l="1"/>
  <c r="G82" i="18" s="1"/>
  <c r="E39" i="18"/>
  <c r="G39" i="18" s="1"/>
  <c r="G41" i="18" s="1"/>
  <c r="S42" i="4"/>
  <c r="E41" i="18" s="1"/>
  <c r="E13" i="18" l="1"/>
  <c r="G13" i="18" s="1"/>
  <c r="E93" i="18"/>
  <c r="G93" i="18" s="1"/>
  <c r="E42" i="18"/>
  <c r="G42" i="18" s="1"/>
  <c r="E84" i="18" l="1"/>
  <c r="G84" i="18" s="1"/>
  <c r="G94" i="18" s="1"/>
  <c r="S95" i="4"/>
  <c r="E94" i="18" s="1"/>
  <c r="E29" i="18" l="1"/>
  <c r="G29" i="18" s="1"/>
  <c r="E30" i="18" l="1"/>
  <c r="G30" i="18" s="1"/>
  <c r="E34" i="18" l="1"/>
  <c r="G34" i="18" s="1"/>
  <c r="E36" i="18" l="1"/>
  <c r="G36" i="18" s="1"/>
  <c r="S80" i="4" l="1"/>
  <c r="E79" i="18" s="1"/>
  <c r="E77" i="18"/>
  <c r="G77" i="18" s="1"/>
  <c r="G79" i="18" s="1"/>
  <c r="E45" i="18" l="1"/>
  <c r="G45" i="18" s="1"/>
  <c r="E44" i="18" l="1"/>
  <c r="G44" i="18" s="1"/>
  <c r="G52" i="18" s="1"/>
  <c r="S53" i="4"/>
  <c r="E52" i="18" l="1"/>
  <c r="E97" i="18" l="1"/>
  <c r="G97" i="18" s="1"/>
  <c r="G102" i="18" s="1"/>
  <c r="S103" i="4"/>
  <c r="E102" i="18" s="1"/>
  <c r="B63" i="18" l="1"/>
  <c r="D63" i="18" s="1"/>
  <c r="B64" i="4"/>
  <c r="E64" i="4" s="1"/>
  <c r="C65" i="15"/>
  <c r="B65" i="15"/>
  <c r="D65" i="15"/>
  <c r="B56" i="18" l="1"/>
  <c r="D56" i="18" s="1"/>
  <c r="B57" i="4"/>
  <c r="E57" i="4" s="1"/>
  <c r="R57" i="4" s="1"/>
  <c r="C58" i="15"/>
  <c r="B58" i="15"/>
  <c r="D58" i="15"/>
  <c r="B50" i="15"/>
  <c r="B48" i="18"/>
  <c r="D48" i="18" s="1"/>
  <c r="D50" i="15"/>
  <c r="B49" i="4"/>
  <c r="E49" i="4" s="1"/>
  <c r="R49" i="4" s="1"/>
  <c r="C50" i="15"/>
  <c r="E50" i="15" s="1"/>
  <c r="C88" i="15"/>
  <c r="D88" i="15"/>
  <c r="B86" i="18"/>
  <c r="D86" i="18" s="1"/>
  <c r="B87" i="4"/>
  <c r="E87" i="4" s="1"/>
  <c r="R87" i="4" s="1"/>
  <c r="B88" i="15"/>
  <c r="E65" i="15"/>
  <c r="D69" i="15"/>
  <c r="C69" i="15"/>
  <c r="B69" i="15"/>
  <c r="B68" i="4"/>
  <c r="E68" i="4" s="1"/>
  <c r="R68" i="4" s="1"/>
  <c r="B67" i="18"/>
  <c r="D67" i="18" s="1"/>
  <c r="D68" i="18" s="1"/>
  <c r="C8" i="4"/>
  <c r="B5" i="15"/>
  <c r="B9" i="15" s="1"/>
  <c r="B13" i="15" s="1"/>
  <c r="R8" i="4"/>
  <c r="R12" i="4" s="1"/>
  <c r="D5" i="15"/>
  <c r="D9" i="15" s="1"/>
  <c r="D13" i="15" s="1"/>
  <c r="C5" i="15"/>
  <c r="B4" i="4"/>
  <c r="E4" i="4" s="1"/>
  <c r="E8" i="4" s="1"/>
  <c r="E12" i="4" s="1"/>
  <c r="B4" i="18"/>
  <c r="D4" i="18" s="1"/>
  <c r="D8" i="18" s="1"/>
  <c r="D12" i="18" s="1"/>
  <c r="D94" i="15"/>
  <c r="B94" i="15"/>
  <c r="B92" i="18"/>
  <c r="D92" i="18" s="1"/>
  <c r="C94" i="15"/>
  <c r="E94" i="15" s="1"/>
  <c r="B93" i="4"/>
  <c r="E93" i="4" s="1"/>
  <c r="R93" i="4" s="1"/>
  <c r="C69" i="4"/>
  <c r="R64" i="4"/>
  <c r="B46" i="18"/>
  <c r="D46" i="18" s="1"/>
  <c r="D48" i="15"/>
  <c r="C48" i="15"/>
  <c r="B47" i="4"/>
  <c r="E47" i="4" s="1"/>
  <c r="R47" i="4" s="1"/>
  <c r="B48" i="15"/>
  <c r="B49" i="18"/>
  <c r="D49" i="18" s="1"/>
  <c r="B51" i="15"/>
  <c r="C51" i="15"/>
  <c r="E51" i="15" s="1"/>
  <c r="D51" i="15"/>
  <c r="B50" i="4"/>
  <c r="E50" i="4" s="1"/>
  <c r="R50" i="4" s="1"/>
  <c r="C80" i="15"/>
  <c r="D80" i="15"/>
  <c r="B78" i="18"/>
  <c r="D78" i="18" s="1"/>
  <c r="B79" i="4"/>
  <c r="E79" i="4" s="1"/>
  <c r="R79" i="4" s="1"/>
  <c r="B80" i="15"/>
  <c r="B51" i="4"/>
  <c r="E51" i="4" s="1"/>
  <c r="R51" i="4" s="1"/>
  <c r="B50" i="18"/>
  <c r="D50" i="18" s="1"/>
  <c r="B52" i="15"/>
  <c r="C52" i="15"/>
  <c r="D52" i="15"/>
  <c r="D91" i="15"/>
  <c r="B90" i="4"/>
  <c r="E90" i="4" s="1"/>
  <c r="R90" i="4" s="1"/>
  <c r="B89" i="18"/>
  <c r="D89" i="18" s="1"/>
  <c r="B91" i="15"/>
  <c r="C91" i="15"/>
  <c r="E69" i="4" l="1"/>
  <c r="E69" i="15"/>
  <c r="B40" i="18"/>
  <c r="D40" i="18" s="1"/>
  <c r="D42" i="15"/>
  <c r="B42" i="15"/>
  <c r="C42" i="15"/>
  <c r="B41" i="4"/>
  <c r="E41" i="4" s="1"/>
  <c r="R41" i="4" s="1"/>
  <c r="E52" i="15"/>
  <c r="E80" i="15"/>
  <c r="E48" i="15"/>
  <c r="R69" i="4"/>
  <c r="E88" i="15"/>
  <c r="E58" i="15"/>
  <c r="B87" i="18"/>
  <c r="D87" i="18" s="1"/>
  <c r="D89" i="15"/>
  <c r="B88" i="4"/>
  <c r="E88" i="4" s="1"/>
  <c r="R88" i="4" s="1"/>
  <c r="C89" i="15"/>
  <c r="B89" i="15"/>
  <c r="B83" i="4"/>
  <c r="E83" i="4" s="1"/>
  <c r="R83" i="4" s="1"/>
  <c r="B82" i="18"/>
  <c r="D82" i="18" s="1"/>
  <c r="D84" i="15"/>
  <c r="B84" i="15"/>
  <c r="C84" i="15"/>
  <c r="B70" i="15"/>
  <c r="C70" i="15"/>
  <c r="B68" i="18"/>
  <c r="B69" i="4"/>
  <c r="D70" i="15"/>
  <c r="C9" i="15"/>
  <c r="E5" i="15"/>
  <c r="B8" i="18"/>
  <c r="B8" i="4"/>
  <c r="B12" i="4" s="1"/>
  <c r="C12" i="4"/>
  <c r="B12" i="18" s="1"/>
  <c r="B89" i="4"/>
  <c r="E89" i="4" s="1"/>
  <c r="R89" i="4" s="1"/>
  <c r="D90" i="15"/>
  <c r="B88" i="18"/>
  <c r="D88" i="18" s="1"/>
  <c r="C90" i="15"/>
  <c r="B90" i="15"/>
  <c r="E91" i="15"/>
  <c r="E90" i="15" l="1"/>
  <c r="E42" i="15"/>
  <c r="C95" i="15"/>
  <c r="D95" i="15"/>
  <c r="B93" i="18"/>
  <c r="D93" i="18" s="1"/>
  <c r="B94" i="4"/>
  <c r="E94" i="4" s="1"/>
  <c r="R94" i="4" s="1"/>
  <c r="B95" i="15"/>
  <c r="E43" i="4"/>
  <c r="R43" i="4" s="1"/>
  <c r="B43" i="4"/>
  <c r="D44" i="15"/>
  <c r="B42" i="18"/>
  <c r="D42" i="18" s="1"/>
  <c r="C44" i="15"/>
  <c r="B44" i="15"/>
  <c r="E84" i="15"/>
  <c r="E89" i="15"/>
  <c r="B41" i="15"/>
  <c r="D41" i="15"/>
  <c r="C42" i="4"/>
  <c r="C41" i="15"/>
  <c r="B39" i="18"/>
  <c r="D39" i="18" s="1"/>
  <c r="D41" i="18" s="1"/>
  <c r="B40" i="4"/>
  <c r="E40" i="4" s="1"/>
  <c r="B13" i="18"/>
  <c r="D13" i="18" s="1"/>
  <c r="C14" i="15"/>
  <c r="B14" i="15"/>
  <c r="D14" i="15"/>
  <c r="B13" i="4"/>
  <c r="E9" i="15"/>
  <c r="C13" i="15"/>
  <c r="E13" i="15" s="1"/>
  <c r="E70" i="15"/>
  <c r="E14" i="15" l="1"/>
  <c r="E44" i="15"/>
  <c r="E42" i="4"/>
  <c r="R40" i="4"/>
  <c r="R42" i="4" s="1"/>
  <c r="D43" i="15"/>
  <c r="B42" i="4"/>
  <c r="B43" i="15"/>
  <c r="C43" i="15"/>
  <c r="B41" i="18"/>
  <c r="E41" i="15"/>
  <c r="E95" i="15"/>
  <c r="E43" i="15" l="1"/>
  <c r="B84" i="18" l="1"/>
  <c r="D84" i="18" s="1"/>
  <c r="B85" i="4"/>
  <c r="E85" i="4" s="1"/>
  <c r="R85" i="4" s="1"/>
  <c r="B86" i="15"/>
  <c r="C86" i="15"/>
  <c r="D86" i="15"/>
  <c r="E86" i="15" l="1"/>
  <c r="D31" i="15"/>
  <c r="B31" i="15"/>
  <c r="B29" i="18"/>
  <c r="D29" i="18" s="1"/>
  <c r="B30" i="4"/>
  <c r="C31" i="15"/>
  <c r="E31" i="15" l="1"/>
  <c r="B30" i="18" l="1"/>
  <c r="D30" i="18" s="1"/>
  <c r="D32" i="15"/>
  <c r="B31" i="4"/>
  <c r="E31" i="4" s="1"/>
  <c r="R31" i="4" s="1"/>
  <c r="B32" i="15"/>
  <c r="C32" i="15"/>
  <c r="B33" i="15"/>
  <c r="D33" i="15"/>
  <c r="B31" i="18"/>
  <c r="D31" i="18" s="1"/>
  <c r="C33" i="15"/>
  <c r="B32" i="4"/>
  <c r="E32" i="4" s="1"/>
  <c r="R32" i="4" s="1"/>
  <c r="E33" i="15" l="1"/>
  <c r="E31" i="18"/>
  <c r="G31" i="18" s="1"/>
  <c r="G37" i="18" s="1"/>
  <c r="G61" i="18" s="1"/>
  <c r="G95" i="18" s="1"/>
  <c r="G103" i="18" s="1"/>
  <c r="G105" i="18" s="1"/>
  <c r="S38" i="4"/>
  <c r="E32" i="15"/>
  <c r="B34" i="18" l="1"/>
  <c r="D34" i="18" s="1"/>
  <c r="D36" i="15"/>
  <c r="B35" i="4"/>
  <c r="E35" i="4" s="1"/>
  <c r="R35" i="4" s="1"/>
  <c r="B36" i="15"/>
  <c r="C36" i="15"/>
  <c r="E37" i="18"/>
  <c r="S62" i="4"/>
  <c r="C38" i="4"/>
  <c r="B37" i="18" l="1"/>
  <c r="D39" i="15"/>
  <c r="B39" i="15"/>
  <c r="B38" i="4"/>
  <c r="C39" i="15"/>
  <c r="E61" i="18"/>
  <c r="S96" i="4"/>
  <c r="C38" i="15"/>
  <c r="D38" i="15"/>
  <c r="B37" i="4"/>
  <c r="E37" i="4" s="1"/>
  <c r="R37" i="4" s="1"/>
  <c r="B36" i="18"/>
  <c r="D36" i="18" s="1"/>
  <c r="D37" i="18" s="1"/>
  <c r="B38" i="15"/>
  <c r="E36" i="15"/>
  <c r="E95" i="18" l="1"/>
  <c r="S104" i="4"/>
  <c r="E38" i="15"/>
  <c r="E39" i="15"/>
  <c r="E40" i="9"/>
  <c r="E103" i="18" l="1"/>
  <c r="S106" i="4"/>
  <c r="AE40" i="9"/>
  <c r="AE43" i="9" s="1"/>
  <c r="S40" i="9"/>
  <c r="S43" i="9" s="1"/>
  <c r="G40" i="9"/>
  <c r="G43" i="9" s="1"/>
  <c r="Q40" i="9"/>
  <c r="Q43" i="9" s="1"/>
  <c r="E43" i="9"/>
  <c r="W40" i="9"/>
  <c r="W43" i="9" s="1"/>
  <c r="O40" i="9"/>
  <c r="O43" i="9" s="1"/>
  <c r="AC40" i="9"/>
  <c r="AC43" i="9" s="1"/>
  <c r="U40" i="9"/>
  <c r="U43" i="9" s="1"/>
  <c r="Y40" i="9"/>
  <c r="Y43" i="9" s="1"/>
  <c r="K40" i="9"/>
  <c r="K43" i="9" s="1"/>
  <c r="AA40" i="9"/>
  <c r="AA43" i="9" s="1"/>
  <c r="I40" i="9"/>
  <c r="I43" i="9" s="1"/>
  <c r="M40" i="9"/>
  <c r="M43" i="9" s="1"/>
  <c r="AG40" i="9"/>
  <c r="AG43" i="9" s="1"/>
  <c r="M45" i="9" l="1"/>
  <c r="M49" i="9"/>
  <c r="Y45" i="9"/>
  <c r="Y49" i="9"/>
  <c r="S45" i="9"/>
  <c r="S49" i="9"/>
  <c r="I45" i="9"/>
  <c r="I49" i="9"/>
  <c r="U45" i="9"/>
  <c r="U49" i="9"/>
  <c r="E45" i="9"/>
  <c r="E49" i="9"/>
  <c r="AE45" i="9"/>
  <c r="AE49" i="9"/>
  <c r="W45" i="9"/>
  <c r="W49" i="9"/>
  <c r="AA49" i="9"/>
  <c r="AA45" i="9"/>
  <c r="AC49" i="9"/>
  <c r="AC45" i="9"/>
  <c r="Q49" i="9"/>
  <c r="Q45" i="9"/>
  <c r="X992" i="3"/>
  <c r="X993" i="3" s="1"/>
  <c r="D994" i="3" s="1"/>
  <c r="E105" i="18"/>
  <c r="AC449" i="3"/>
  <c r="B73" i="18"/>
  <c r="D73" i="18" s="1"/>
  <c r="D75" i="18" s="1"/>
  <c r="C76" i="4"/>
  <c r="C75" i="15"/>
  <c r="B75" i="15"/>
  <c r="B74" i="4"/>
  <c r="E74" i="4" s="1"/>
  <c r="D75" i="15"/>
  <c r="AG45" i="9"/>
  <c r="AG49" i="9"/>
  <c r="K49" i="9"/>
  <c r="K45" i="9"/>
  <c r="O45" i="9"/>
  <c r="O49" i="9"/>
  <c r="G49" i="9"/>
  <c r="G45" i="9"/>
  <c r="O48" i="9" l="1"/>
  <c r="O47" i="9"/>
  <c r="O60" i="9"/>
  <c r="AG48" i="9"/>
  <c r="AG47" i="9"/>
  <c r="AG60" i="9"/>
  <c r="R74" i="4"/>
  <c r="R76" i="4" s="1"/>
  <c r="E76" i="4"/>
  <c r="W60" i="9"/>
  <c r="W48" i="9"/>
  <c r="W47" i="9"/>
  <c r="E47" i="9"/>
  <c r="E60" i="9"/>
  <c r="E48" i="9"/>
  <c r="I48" i="9"/>
  <c r="I47" i="9"/>
  <c r="I60" i="9"/>
  <c r="Y47" i="9"/>
  <c r="Y60" i="9"/>
  <c r="Y48" i="9"/>
  <c r="B77" i="15"/>
  <c r="D77" i="15"/>
  <c r="C77" i="15"/>
  <c r="B75" i="18"/>
  <c r="B76" i="4"/>
  <c r="T11" i="26"/>
  <c r="T23" i="26" s="1"/>
  <c r="T11" i="27"/>
  <c r="T23" i="27" s="1"/>
  <c r="T11" i="5"/>
  <c r="Y11" i="26"/>
  <c r="Y23" i="26" s="1"/>
  <c r="Y26" i="26" s="1"/>
  <c r="Y28" i="26" s="1"/>
  <c r="Y63" i="26" s="1"/>
  <c r="Y67" i="26" s="1"/>
  <c r="Y11" i="27"/>
  <c r="Y23" i="27" s="1"/>
  <c r="Y26" i="27" s="1"/>
  <c r="Y28" i="27" s="1"/>
  <c r="Y63" i="27" s="1"/>
  <c r="Y67" i="27" s="1"/>
  <c r="AC47" i="9"/>
  <c r="AC48" i="9"/>
  <c r="AC60" i="9"/>
  <c r="G60" i="9"/>
  <c r="G47" i="9"/>
  <c r="G48" i="9"/>
  <c r="K60" i="9"/>
  <c r="K47" i="9"/>
  <c r="K48" i="9"/>
  <c r="Q48" i="9"/>
  <c r="Q60" i="9"/>
  <c r="Q47" i="9"/>
  <c r="AA47" i="9"/>
  <c r="AA48" i="9"/>
  <c r="AA60" i="9"/>
  <c r="B55" i="18"/>
  <c r="D55" i="18" s="1"/>
  <c r="C57" i="15"/>
  <c r="B57" i="15"/>
  <c r="B56" i="4"/>
  <c r="E56" i="4" s="1"/>
  <c r="D57" i="15"/>
  <c r="E75" i="15"/>
  <c r="AE47" i="9"/>
  <c r="AE60" i="9"/>
  <c r="AE48" i="9"/>
  <c r="U60" i="9"/>
  <c r="U47" i="9"/>
  <c r="U48" i="9"/>
  <c r="S47" i="9"/>
  <c r="S60" i="9"/>
  <c r="S48" i="9"/>
  <c r="M60" i="9"/>
  <c r="M48" i="9"/>
  <c r="M47" i="9"/>
  <c r="E77" i="15" l="1"/>
  <c r="E57" i="15"/>
  <c r="T26" i="27"/>
  <c r="T28" i="27" s="1"/>
  <c r="T29" i="27" s="1"/>
  <c r="Y38" i="27"/>
  <c r="Y40" i="27" s="1"/>
  <c r="AD38" i="27"/>
  <c r="AD40" i="27" s="1"/>
  <c r="Y66" i="9"/>
  <c r="Y68" i="9"/>
  <c r="Y69" i="9"/>
  <c r="Y67" i="9"/>
  <c r="O69" i="9"/>
  <c r="O67" i="9"/>
  <c r="O62" i="9"/>
  <c r="O68" i="9"/>
  <c r="O66" i="9"/>
  <c r="M67" i="9"/>
  <c r="M69" i="9"/>
  <c r="M62" i="9"/>
  <c r="M68" i="9"/>
  <c r="M66" i="9"/>
  <c r="AE68" i="9"/>
  <c r="AE66" i="9"/>
  <c r="AE69" i="9"/>
  <c r="AE67" i="9"/>
  <c r="AE62" i="9"/>
  <c r="F38" i="4"/>
  <c r="F62" i="4" s="1"/>
  <c r="F96" i="4" s="1"/>
  <c r="F104" i="4" s="1"/>
  <c r="E30" i="4"/>
  <c r="R30" i="4" s="1"/>
  <c r="T23" i="5"/>
  <c r="BE16" i="28"/>
  <c r="S67" i="9"/>
  <c r="S69" i="9"/>
  <c r="S66" i="9"/>
  <c r="S62" i="9"/>
  <c r="S68" i="9"/>
  <c r="U62" i="9"/>
  <c r="U68" i="9"/>
  <c r="U66" i="9"/>
  <c r="U69" i="9"/>
  <c r="U67" i="9"/>
  <c r="G67" i="9"/>
  <c r="G66" i="9"/>
  <c r="G69" i="9"/>
  <c r="G62" i="9"/>
  <c r="G68" i="9"/>
  <c r="Y38" i="26"/>
  <c r="Y40" i="26" s="1"/>
  <c r="AD38" i="26"/>
  <c r="AD40" i="26" s="1"/>
  <c r="T26" i="26"/>
  <c r="T28" i="26" s="1"/>
  <c r="T29" i="26" s="1"/>
  <c r="AG66" i="9"/>
  <c r="AG62" i="9"/>
  <c r="AG68" i="9"/>
  <c r="AG67" i="9"/>
  <c r="AG69" i="9"/>
  <c r="F107" i="4"/>
  <c r="R56" i="4"/>
  <c r="AA69" i="9"/>
  <c r="AA67" i="9"/>
  <c r="AA66" i="9"/>
  <c r="AA68" i="9"/>
  <c r="AA62" i="9"/>
  <c r="Q62" i="9"/>
  <c r="Q69" i="9"/>
  <c r="Q67" i="9"/>
  <c r="Q68" i="9"/>
  <c r="Q66" i="9"/>
  <c r="K67" i="9"/>
  <c r="K68" i="9"/>
  <c r="K66" i="9"/>
  <c r="K62" i="9"/>
  <c r="K69" i="9"/>
  <c r="AC66" i="9"/>
  <c r="AC68" i="9"/>
  <c r="AC62" i="9"/>
  <c r="AC67" i="9"/>
  <c r="AC69" i="9"/>
  <c r="I62" i="9"/>
  <c r="I68" i="9"/>
  <c r="I67" i="9"/>
  <c r="I66" i="9"/>
  <c r="I69" i="9"/>
  <c r="E62" i="9"/>
  <c r="E66" i="9"/>
  <c r="E67" i="9"/>
  <c r="W67" i="9"/>
  <c r="W69" i="9"/>
  <c r="W66" i="9"/>
  <c r="W68" i="9"/>
  <c r="AE70" i="9" l="1"/>
  <c r="AE72" i="9" s="1"/>
  <c r="E70" i="9"/>
  <c r="E72" i="9" s="1"/>
  <c r="Q70" i="9"/>
  <c r="Q72" i="9" s="1"/>
  <c r="K70" i="9"/>
  <c r="K72" i="9" s="1"/>
  <c r="Y41" i="26"/>
  <c r="G70" i="9"/>
  <c r="G72" i="9" s="1"/>
  <c r="U70" i="9"/>
  <c r="U72" i="9" s="1"/>
  <c r="Y41" i="27"/>
  <c r="I70" i="9"/>
  <c r="I72" i="9" s="1"/>
  <c r="AC70" i="9"/>
  <c r="AC72" i="9" s="1"/>
  <c r="AG70" i="9"/>
  <c r="AG72" i="9" s="1"/>
  <c r="S70" i="9"/>
  <c r="S72" i="9" s="1"/>
  <c r="T26" i="5"/>
  <c r="T28" i="5" s="1"/>
  <c r="Q71" i="25"/>
  <c r="O75" i="25" s="1"/>
  <c r="AD38" i="5"/>
  <c r="AD40" i="5" s="1"/>
  <c r="M70" i="9"/>
  <c r="M72" i="9" s="1"/>
  <c r="W70" i="9"/>
  <c r="AA70" i="9"/>
  <c r="AA72" i="9" s="1"/>
  <c r="R38" i="4"/>
  <c r="E38" i="4"/>
  <c r="O70" i="9"/>
  <c r="O72" i="9" s="1"/>
  <c r="Y70" i="9"/>
  <c r="Y72" i="9" s="1"/>
  <c r="T29" i="5" l="1"/>
  <c r="Y63" i="5"/>
  <c r="Y67" i="5" s="1"/>
  <c r="Y38" i="5"/>
  <c r="Y40" i="5" s="1"/>
  <c r="AR42" i="5" l="1"/>
  <c r="Y41" i="5" s="1"/>
  <c r="AR43" i="5"/>
  <c r="D79" i="15" l="1"/>
  <c r="B78" i="4"/>
  <c r="E78" i="4" s="1"/>
  <c r="B77" i="18"/>
  <c r="D77" i="18" s="1"/>
  <c r="D79" i="18" s="1"/>
  <c r="C80" i="4"/>
  <c r="B79" i="15"/>
  <c r="C79" i="15"/>
  <c r="E79" i="15" l="1"/>
  <c r="D81" i="15"/>
  <c r="C81" i="15"/>
  <c r="B81" i="15"/>
  <c r="B80" i="4"/>
  <c r="B79" i="18"/>
  <c r="R78" i="4"/>
  <c r="R80" i="4" s="1"/>
  <c r="E80" i="4"/>
  <c r="E81" i="15" l="1"/>
  <c r="B47" i="15" l="1"/>
  <c r="C47" i="15"/>
  <c r="D47" i="15"/>
  <c r="B45" i="18"/>
  <c r="D45" i="18" s="1"/>
  <c r="B46" i="4"/>
  <c r="E46" i="4" s="1"/>
  <c r="R46" i="4" s="1"/>
  <c r="E47" i="15" l="1"/>
  <c r="C46" i="15" l="1"/>
  <c r="C53" i="4"/>
  <c r="B45" i="4"/>
  <c r="E45" i="4" s="1"/>
  <c r="B44" i="18"/>
  <c r="D44" i="18" s="1"/>
  <c r="D52" i="18" s="1"/>
  <c r="D46" i="15"/>
  <c r="B46" i="15"/>
  <c r="E53" i="4" l="1"/>
  <c r="R45" i="4"/>
  <c r="R53" i="4" s="1"/>
  <c r="D54" i="15"/>
  <c r="C54" i="15"/>
  <c r="B52" i="18"/>
  <c r="B54" i="15"/>
  <c r="B53" i="4"/>
  <c r="E46" i="15"/>
  <c r="E54" i="15" l="1"/>
  <c r="B98" i="4" l="1"/>
  <c r="C103" i="4"/>
  <c r="B99" i="15" l="1"/>
  <c r="D99" i="15"/>
  <c r="C99" i="15"/>
  <c r="E99" i="15" s="1"/>
  <c r="B97" i="18"/>
  <c r="D97" i="18" s="1"/>
  <c r="D102" i="18" s="1"/>
  <c r="D104" i="15"/>
  <c r="B103" i="4"/>
  <c r="C104" i="15"/>
  <c r="B104" i="15"/>
  <c r="B102" i="18"/>
  <c r="E104" i="15" l="1"/>
  <c r="E107" i="4" l="1"/>
  <c r="B82" i="4" l="1"/>
  <c r="E82" i="4" s="1"/>
  <c r="B83" i="15"/>
  <c r="C83" i="15"/>
  <c r="D83" i="15"/>
  <c r="B81" i="18"/>
  <c r="D81" i="18" s="1"/>
  <c r="E83" i="15" l="1"/>
  <c r="D93" i="15"/>
  <c r="C93" i="15"/>
  <c r="B93" i="15"/>
  <c r="B91" i="18"/>
  <c r="D91" i="18" s="1"/>
  <c r="D94" i="18" s="1"/>
  <c r="B92" i="4"/>
  <c r="E92" i="4" s="1"/>
  <c r="R92" i="4" s="1"/>
  <c r="C95" i="4"/>
  <c r="R82" i="4"/>
  <c r="R95" i="4" l="1"/>
  <c r="E95" i="4"/>
  <c r="C96" i="15"/>
  <c r="B96" i="15"/>
  <c r="B94" i="18"/>
  <c r="D96" i="15"/>
  <c r="B95" i="4"/>
  <c r="E93" i="15"/>
  <c r="E96" i="15" l="1"/>
  <c r="B60" i="4" l="1"/>
  <c r="E60" i="4" s="1"/>
  <c r="C61" i="15"/>
  <c r="D61" i="15"/>
  <c r="B61" i="15"/>
  <c r="B59" i="18"/>
  <c r="D59" i="18" s="1"/>
  <c r="D60" i="18" s="1"/>
  <c r="D61" i="18" s="1"/>
  <c r="D95" i="18" s="1"/>
  <c r="D103" i="18" s="1"/>
  <c r="C61" i="4"/>
  <c r="AM558" i="3"/>
  <c r="C62" i="15" l="1"/>
  <c r="D62" i="15"/>
  <c r="B62" i="15"/>
  <c r="B61" i="4"/>
  <c r="B60" i="18"/>
  <c r="C62" i="4"/>
  <c r="E61" i="15"/>
  <c r="R60" i="4"/>
  <c r="R61" i="4" s="1"/>
  <c r="R62" i="4" s="1"/>
  <c r="R96" i="4" s="1"/>
  <c r="E61" i="4"/>
  <c r="E62" i="4" s="1"/>
  <c r="E96" i="4" s="1"/>
  <c r="E62" i="15" l="1"/>
  <c r="B63" i="15"/>
  <c r="B61" i="18"/>
  <c r="D63" i="15"/>
  <c r="B62" i="4"/>
  <c r="C63" i="15"/>
  <c r="E63" i="15" s="1"/>
  <c r="C96" i="4"/>
  <c r="G103" i="4"/>
  <c r="G104" i="4" s="1"/>
  <c r="E98" i="4"/>
  <c r="G107" i="4"/>
  <c r="W62" i="9"/>
  <c r="W72" i="9" s="1"/>
  <c r="AO630" i="3"/>
  <c r="E103" i="4" l="1"/>
  <c r="E104" i="4" s="1"/>
  <c r="R98" i="4"/>
  <c r="R103" i="4" s="1"/>
  <c r="R104" i="4" s="1"/>
  <c r="AO632" i="3"/>
  <c r="AB47" i="5"/>
  <c r="C104" i="4"/>
  <c r="C97" i="15"/>
  <c r="B96" i="4"/>
  <c r="D97" i="15"/>
  <c r="B95" i="18"/>
  <c r="B97" i="15"/>
  <c r="E97" i="15" l="1"/>
  <c r="AC448" i="3"/>
  <c r="C105" i="15"/>
  <c r="B104" i="4"/>
  <c r="D105" i="15"/>
  <c r="B103" i="18"/>
  <c r="B105" i="15"/>
  <c r="AB46" i="5" l="1"/>
  <c r="AB48" i="5" s="1"/>
  <c r="AB53" i="5" s="1"/>
  <c r="AB54" i="5" s="1"/>
  <c r="AB55" i="5" s="1"/>
  <c r="AC447" i="3"/>
  <c r="AB46" i="26"/>
  <c r="AB48" i="26" s="1"/>
  <c r="AB53" i="26" s="1"/>
  <c r="AB54" i="26" s="1"/>
  <c r="AB55" i="26" s="1"/>
  <c r="AB56" i="26" s="1"/>
  <c r="AB58" i="26" s="1"/>
  <c r="J58" i="25"/>
  <c r="AB46" i="27"/>
  <c r="AB48" i="27" s="1"/>
  <c r="AB53" i="27" s="1"/>
  <c r="AB54" i="27" s="1"/>
  <c r="AB55" i="27" s="1"/>
  <c r="AB56" i="27" s="1"/>
  <c r="AB58" i="27" s="1"/>
  <c r="E105" i="15"/>
  <c r="G71" i="25" l="1"/>
  <c r="G72" i="25" s="1"/>
  <c r="B75" i="25" s="1"/>
  <c r="B76" i="25"/>
  <c r="O76" i="25" s="1"/>
  <c r="AB75" i="26"/>
  <c r="AB76" i="26" s="1"/>
  <c r="AB77" i="26" s="1"/>
  <c r="AB79" i="26" s="1"/>
  <c r="J80" i="26" s="1"/>
  <c r="F59" i="26"/>
  <c r="F59" i="27"/>
  <c r="AB75" i="27"/>
  <c r="AB76" i="27" s="1"/>
  <c r="AB77" i="27" s="1"/>
  <c r="AB79" i="27" s="1"/>
  <c r="J80" i="27" s="1"/>
  <c r="Q22" i="28"/>
  <c r="V33" i="28" s="1"/>
  <c r="V35" i="28" s="1"/>
  <c r="BE15" i="28"/>
  <c r="AB56" i="5"/>
  <c r="AB58" i="5" s="1"/>
  <c r="M25" i="3"/>
  <c r="P203" i="3" l="1"/>
  <c r="F59" i="5"/>
  <c r="AB75" i="5"/>
  <c r="AB76" i="5" s="1"/>
  <c r="R75" i="2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<sst xmlns="http://schemas.openxmlformats.org/spreadsheetml/2006/main" count="4716" uniqueCount="2521">
  <si>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</si>
  <si>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</si>
  <si>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</si>
  <si>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</si>
  <si>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</si>
  <si>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</si>
  <si>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</si>
  <si>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</si>
  <si>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</si>
  <si>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</si>
  <si>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</si>
  <si>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</si>
  <si>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</si>
  <si>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</si>
  <si>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</si>
  <si>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</si>
  <si>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</si>
  <si>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</si>
  <si>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</si>
  <si>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</si>
  <si>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</si>
  <si>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</si>
  <si>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</si>
  <si>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</si>
  <si>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</si>
  <si>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</si>
  <si>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</si>
  <si>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</si>
  <si>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</si>
  <si>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</si>
  <si>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</si>
  <si>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</si>
  <si>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</si>
  <si>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</si>
  <si>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</si>
  <si>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</si>
  <si>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</si>
  <si>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</si>
  <si>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</si>
  <si>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</si>
  <si>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</si>
  <si>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</si>
  <si>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</si>
  <si>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</si>
  <si>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</si>
  <si>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</si>
  <si>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</si>
  <si>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</si>
  <si>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</si>
  <si>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</si>
  <si>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</si>
  <si>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</si>
  <si>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</si>
  <si>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</si>
  <si>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</si>
  <si>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</si>
  <si>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</si>
  <si>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</si>
  <si>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</si>
  <si>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</si>
  <si>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</si>
  <si>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</si>
  <si>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</si>
  <si>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</si>
  <si>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</si>
  <si>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</si>
  <si>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</si>
  <si>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</si>
  <si>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</si>
  <si>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</si>
  <si>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</si>
  <si>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</si>
  <si>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</si>
  <si>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</si>
  <si>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</si>
  <si>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</si>
  <si>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</si>
  <si>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</si>
  <si>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</si>
  <si>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</si>
  <si>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</si>
  <si>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</si>
  <si>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</si>
  <si>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</si>
  <si>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</si>
  <si>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</si>
  <si>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</si>
  <si>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</si>
  <si>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</si>
  <si>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</si>
  <si>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</si>
  <si>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</si>
  <si>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</si>
  <si>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</si>
  <si>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</si>
  <si>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</si>
  <si>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</si>
  <si>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</si>
  <si>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</si>
  <si>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</si>
  <si>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</si>
  <si>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</si>
  <si>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</si>
  <si>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</si>
  <si>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</si>
  <si>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</si>
  <si>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</si>
  <si>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</si>
  <si>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</si>
  <si>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</si>
  <si>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</si>
  <si>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</si>
  <si>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</si>
  <si>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</si>
  <si>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</si>
  <si>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</si>
  <si>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</si>
  <si>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</si>
  <si>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</si>
  <si>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</si>
  <si>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</si>
  <si>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</si>
  <si>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</si>
  <si>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</si>
  <si>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</si>
  <si>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</si>
  <si>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</si>
  <si>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</si>
  <si>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</si>
  <si>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</si>
  <si>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</si>
  <si>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</si>
  <si>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</si>
  <si>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</si>
  <si>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</si>
  <si>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</si>
  <si>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</si>
  <si>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</si>
  <si>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</si>
  <si>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</si>
  <si>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</si>
  <si>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</si>
  <si>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</si>
  <si>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</si>
  <si>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</si>
  <si>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</si>
  <si>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</si>
  <si>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</si>
  <si>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</si>
  <si>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</si>
  <si>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</si>
  <si>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</si>
  <si>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</si>
  <si>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</si>
  <si>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</si>
  <si>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</si>
  <si>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</si>
  <si>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</si>
  <si>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</si>
  <si>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</si>
  <si>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</si>
  <si>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</si>
  <si>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</si>
  <si>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</si>
  <si>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</si>
  <si>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</si>
  <si>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</si>
  <si>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</si>
  <si>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</si>
  <si>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</si>
  <si>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</si>
  <si>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</si>
  <si>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</si>
  <si>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</si>
  <si>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</si>
  <si>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</si>
  <si>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</si>
  <si>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</si>
  <si>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</si>
  <si>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</si>
  <si>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</si>
  <si>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</si>
  <si>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</si>
  <si>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</si>
  <si>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</si>
  <si>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</si>
  <si>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</si>
  <si>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</si>
  <si>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</si>
  <si>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</si>
  <si>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</si>
  <si>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</si>
  <si>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</si>
  <si>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</si>
  <si>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</si>
  <si>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</si>
  <si>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</si>
  <si>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</si>
  <si>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</si>
  <si>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</si>
  <si>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</si>
  <si>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</si>
  <si>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</si>
  <si>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</si>
  <si>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</si>
  <si>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</si>
  <si>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</si>
  <si>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</si>
  <si>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</si>
  <si>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</si>
  <si>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</si>
  <si>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</si>
  <si>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</si>
  <si>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</si>
  <si>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</si>
  <si>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</si>
  <si>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</si>
  <si>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</si>
  <si>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</si>
  <si>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</si>
  <si>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</si>
  <si>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</si>
  <si>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</si>
  <si>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</si>
  <si>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</si>
  <si>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</si>
  <si>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</si>
  <si>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</si>
  <si>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</si>
  <si>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</si>
  <si>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</si>
  <si>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</si>
  <si>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</si>
  <si>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</si>
  <si>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</si>
  <si>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</si>
  <si>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</si>
  <si>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</si>
  <si>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</si>
  <si>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</si>
  <si>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</si>
  <si>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</si>
  <si>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</si>
  <si>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</si>
  <si>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</si>
  <si>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</si>
  <si>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</si>
  <si>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</si>
  <si>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</si>
  <si>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</si>
  <si>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</si>
  <si>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</si>
  <si>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</si>
  <si>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</si>
  <si>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</si>
  <si>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</si>
  <si>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</si>
  <si>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</si>
  <si>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</si>
  <si>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</si>
  <si>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</si>
  <si>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</si>
  <si>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</si>
  <si>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</si>
  <si>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</si>
  <si>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</si>
  <si>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</si>
  <si>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</si>
  <si>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</si>
  <si>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</si>
  <si>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</si>
  <si>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</si>
  <si>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</si>
  <si>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</si>
  <si>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</si>
  <si>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</si>
  <si>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</si>
  <si>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</si>
  <si>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</si>
  <si>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</si>
  <si>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</si>
  <si>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</si>
  <si>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</si>
  <si>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</si>
  <si>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</si>
  <si>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</si>
  <si>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</si>
  <si>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</si>
  <si>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</si>
  <si>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</si>
  <si>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</si>
  <si>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</si>
  <si>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</si>
  <si>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</si>
  <si>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</si>
  <si>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</si>
  <si>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</si>
  <si>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</si>
  <si>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</si>
  <si>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</si>
  <si>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</si>
  <si>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</si>
  <si>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</si>
  <si>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</si>
  <si>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</si>
  <si>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</si>
  <si>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</si>
  <si>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</si>
  <si>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</si>
  <si>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</si>
  <si>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</si>
  <si>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</si>
  <si>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</si>
  <si>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</si>
  <si>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</si>
  <si>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</si>
  <si>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</si>
  <si>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</si>
  <si>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</si>
  <si>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</si>
  <si>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</si>
  <si>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</si>
  <si>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</si>
  <si>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</si>
  <si>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</si>
  <si>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</si>
  <si>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</si>
  <si>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</si>
  <si>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</si>
  <si>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</si>
  <si>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</si>
  <si>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</si>
  <si>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</si>
  <si>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</si>
  <si>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</si>
  <si>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</si>
  <si>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</si>
  <si>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</si>
  <si>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</si>
  <si>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</si>
  <si>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</si>
  <si>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</si>
  <si>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</si>
  <si>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</si>
  <si>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</si>
  <si>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</si>
  <si>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</si>
  <si>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</si>
  <si>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</si>
  <si>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</si>
  <si>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</si>
  <si>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</si>
  <si>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</si>
  <si>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</si>
  <si>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</si>
  <si>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</si>
  <si>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</si>
  <si>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</si>
  <si>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</si>
  <si>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</si>
  <si>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</si>
  <si>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</si>
  <si>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</si>
  <si>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</si>
  <si>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</si>
  <si>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</si>
  <si>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</si>
  <si>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</si>
  <si>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</si>
  <si>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</si>
  <si>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</si>
  <si>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</si>
  <si>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</si>
  <si>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</si>
  <si>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</si>
  <si>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</si>
  <si>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</si>
  <si>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</si>
  <si>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</si>
  <si>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</si>
  <si>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</si>
  <si>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</si>
  <si>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</si>
  <si>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</si>
  <si>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</si>
  <si>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</si>
  <si>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</si>
  <si>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</si>
  <si>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</si>
  <si>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</si>
  <si>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</si>
  <si>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</si>
  <si>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</si>
  <si>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</si>
  <si>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</si>
  <si>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</si>
  <si>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</si>
  <si>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</si>
  <si>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</si>
  <si>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</si>
  <si>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</si>
  <si>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</si>
  <si>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</si>
  <si>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</si>
  <si>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</si>
  <si>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</si>
  <si>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</si>
  <si>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</si>
  <si>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</si>
  <si>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</si>
  <si>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</si>
  <si>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</si>
  <si>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</si>
  <si>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</si>
  <si>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</si>
  <si>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</si>
  <si>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</si>
  <si>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</si>
  <si>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</si>
  <si>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</si>
  <si>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</si>
  <si>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</si>
  <si>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</si>
  <si>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</si>
  <si>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</si>
  <si>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</si>
  <si>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</si>
  <si>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</si>
  <si>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</si>
  <si>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</si>
  <si>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</si>
  <si>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</si>
  <si>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</si>
  <si>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</si>
  <si>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</si>
  <si>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</si>
  <si>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</si>
  <si>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</si>
  <si>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</si>
  <si>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</si>
  <si>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</si>
  <si>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</si>
  <si>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</si>
  <si>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</si>
  <si>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</si>
  <si>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</si>
  <si>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</si>
  <si>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</si>
  <si>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</si>
  <si>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</si>
  <si>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</si>
  <si>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</si>
  <si>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</si>
  <si>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</si>
  <si>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</si>
  <si>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</si>
  <si>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</si>
  <si>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</si>
  <si>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</si>
  <si>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</si>
  <si>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</si>
  <si>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</si>
  <si>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</si>
  <si>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</si>
  <si>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</si>
  <si>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</si>
  <si>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</si>
  <si>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</si>
  <si>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</si>
  <si>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</si>
  <si>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</si>
  <si>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</si>
  <si>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</si>
  <si>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</si>
  <si>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</si>
  <si>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</si>
  <si>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</si>
  <si>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</si>
  <si>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</si>
  <si>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</si>
  <si>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</si>
  <si>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</si>
  <si>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</si>
  <si>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</si>
  <si>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</si>
  <si>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</si>
  <si>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</si>
  <si>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</si>
  <si>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</si>
  <si>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</si>
  <si>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</si>
  <si>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</si>
  <si>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</si>
  <si>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</si>
  <si>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</si>
  <si>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</si>
  <si>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</si>
  <si>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</si>
  <si>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</si>
  <si>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</si>
  <si>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</si>
  <si>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</si>
  <si>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</si>
  <si>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</si>
  <si>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</si>
  <si>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</si>
  <si>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</si>
  <si>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</si>
  <si>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</si>
  <si>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</si>
  <si>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</si>
  <si>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</si>
  <si>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</si>
  <si>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</si>
  <si>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</si>
  <si>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</si>
  <si>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</si>
  <si>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</si>
  <si>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</si>
  <si>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</si>
  <si>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</si>
  <si>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</si>
  <si>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</si>
  <si>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</si>
  <si>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</si>
  <si>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</si>
  <si>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</si>
  <si>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</si>
  <si>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</si>
  <si>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</si>
  <si>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</si>
  <si>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</si>
  <si>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</si>
  <si>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</si>
  <si>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</si>
  <si>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</si>
  <si>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</si>
  <si>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</si>
  <si>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</si>
  <si>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</si>
  <si>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</si>
  <si>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</si>
  <si>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</si>
  <si>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</si>
  <si>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</si>
  <si>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</si>
  <si>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</si>
  <si>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</si>
  <si>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</si>
  <si>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</si>
  <si>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</si>
  <si>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</si>
  <si>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</si>
  <si>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</si>
  <si>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</si>
  <si>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</si>
  <si>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</si>
  <si>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</si>
  <si>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</si>
  <si>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</si>
  <si>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</si>
  <si>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</si>
  <si>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</si>
  <si>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</si>
  <si>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</si>
  <si>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</si>
  <si>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</si>
  <si>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</si>
  <si>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</si>
  <si>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</si>
  <si>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</si>
  <si>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</si>
  <si>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</si>
  <si>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</si>
  <si>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</si>
  <si>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</si>
  <si>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</si>
  <si>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</si>
  <si>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</si>
  <si>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</si>
  <si>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</si>
  <si>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</si>
  <si>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</si>
  <si>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</si>
  <si>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</si>
  <si>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</si>
  <si>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</si>
  <si>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</si>
  <si>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</si>
  <si>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</si>
  <si>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</si>
  <si>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</si>
  <si>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</si>
  <si>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</si>
  <si>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</si>
  <si>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</si>
  <si>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</si>
  <si>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</si>
  <si>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</si>
  <si>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</si>
  <si>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</si>
  <si>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</si>
  <si>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</si>
  <si>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</si>
  <si>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</si>
  <si>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</si>
  <si>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</si>
  <si>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</si>
  <si>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</si>
  <si>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</si>
  <si>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</si>
  <si>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</si>
  <si>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</si>
  <si>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</si>
  <si>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</si>
  <si>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</si>
  <si>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</si>
  <si>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</si>
  <si>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</si>
  <si>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</si>
  <si>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</si>
  <si>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</si>
  <si>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</si>
  <si>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</si>
  <si>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</si>
  <si>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</si>
  <si>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</si>
  <si>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</si>
  <si>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</si>
  <si>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</si>
  <si>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</si>
  <si>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</si>
  <si>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</si>
  <si>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</si>
  <si>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</si>
  <si>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</si>
  <si>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</si>
  <si>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</si>
  <si>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</si>
  <si>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</si>
  <si>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</si>
  <si>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</si>
  <si>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</si>
  <si>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</si>
  <si>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</si>
  <si>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</si>
  <si>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</si>
  <si>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</si>
  <si>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</si>
  <si>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</si>
  <si>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</si>
  <si>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</si>
  <si>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</si>
  <si>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</si>
  <si>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</si>
  <si>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</si>
  <si>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</si>
  <si>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</si>
  <si>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</si>
  <si>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</si>
  <si>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</si>
  <si>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</si>
  <si>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</si>
  <si>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</si>
  <si>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</si>
  <si>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</si>
  <si>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</si>
  <si>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</si>
  <si>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</si>
  <si>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</si>
  <si>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</si>
  <si>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</si>
  <si>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</si>
  <si>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</si>
  <si>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</si>
  <si>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</si>
  <si>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</si>
  <si>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</si>
  <si>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</si>
  <si>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</si>
  <si>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</si>
  <si>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</si>
  <si>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</si>
  <si>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</si>
  <si>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</si>
  <si>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</si>
  <si>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</si>
  <si>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</si>
  <si>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</si>
  <si>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</si>
  <si>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</si>
  <si>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</si>
  <si>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</si>
  <si>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</si>
  <si>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</si>
  <si>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</si>
  <si>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</si>
  <si>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</si>
  <si>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</si>
  <si>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</si>
  <si>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</si>
  <si>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</si>
  <si>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</si>
  <si>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</si>
  <si>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</si>
  <si>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</si>
  <si>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</si>
  <si>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</si>
  <si>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</si>
  <si>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</si>
  <si>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</si>
  <si>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</si>
  <si>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</si>
  <si>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</si>
  <si>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</si>
  <si>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</si>
  <si>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</si>
  <si>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</si>
  <si>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</si>
  <si>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</si>
  <si>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</si>
  <si>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</si>
  <si>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</si>
  <si>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</si>
  <si>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</si>
  <si>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</si>
  <si>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</si>
  <si>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</si>
  <si>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</si>
  <si>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</si>
  <si>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</si>
  <si>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</si>
  <si>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</si>
  <si>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</si>
  <si>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</si>
  <si>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</si>
  <si>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</si>
  <si>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</si>
  <si>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</si>
  <si>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</si>
  <si>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</si>
  <si>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</si>
  <si>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</si>
  <si>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</si>
  <si>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</si>
  <si>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</si>
  <si>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</si>
  <si>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</si>
  <si>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</si>
  <si>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</si>
  <si>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</si>
  <si>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</si>
  <si>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</si>
  <si>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</si>
  <si>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</si>
  <si>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</si>
  <si>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</si>
  <si>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</si>
  <si>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</si>
  <si>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</si>
  <si>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</si>
  <si>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</si>
  <si>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</si>
  <si>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</si>
  <si>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</si>
  <si>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</si>
  <si>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</si>
  <si>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</si>
  <si>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</si>
  <si>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</si>
  <si>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</si>
  <si>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</si>
  <si>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</si>
  <si>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</si>
  <si>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</si>
  <si>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</si>
  <si>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</si>
  <si>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</si>
  <si>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</si>
  <si>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</si>
  <si>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</si>
  <si>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</si>
  <si>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</si>
  <si>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</si>
  <si>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</si>
  <si>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</si>
  <si>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</si>
  <si>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</si>
  <si>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</si>
  <si>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</si>
  <si>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</si>
  <si>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</si>
  <si>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</si>
  <si>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</si>
  <si>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</si>
  <si>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</si>
  <si>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</si>
  <si>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</si>
  <si>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</si>
  <si>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</si>
  <si>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</si>
  <si>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</si>
  <si>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</si>
  <si>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</si>
  <si>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</si>
  <si>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</si>
  <si>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</si>
  <si>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</si>
  <si>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</si>
  <si>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</si>
  <si>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</si>
  <si>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</si>
  <si>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</si>
  <si>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</si>
  <si>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</si>
  <si>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</si>
  <si>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</si>
  <si>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</si>
  <si>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</si>
  <si>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</si>
  <si>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</si>
  <si>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</si>
  <si>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</si>
  <si>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</si>
  <si>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</si>
  <si>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</si>
  <si>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</si>
  <si>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</si>
  <si>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</si>
  <si>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</si>
  <si>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</si>
  <si>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</si>
  <si>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</si>
  <si>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</si>
  <si>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</si>
  <si>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</si>
  <si>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</si>
  <si>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</si>
  <si>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</si>
  <si>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</si>
  <si>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</si>
  <si>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</si>
  <si>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</si>
  <si>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</si>
  <si>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</si>
  <si>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</si>
  <si>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</si>
  <si>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</si>
  <si>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</si>
  <si>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</si>
  <si>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</si>
  <si>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</si>
  <si>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</si>
  <si>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</si>
  <si>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</si>
  <si>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</si>
  <si>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</si>
  <si>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</si>
  <si>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</si>
  <si>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</si>
  <si>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</si>
  <si>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</si>
  <si>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</si>
  <si>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</si>
  <si>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</si>
  <si>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</si>
  <si>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</si>
  <si>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</si>
  <si>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</si>
  <si>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</si>
  <si>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</si>
  <si>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</si>
  <si>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</si>
  <si>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</si>
  <si>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</si>
  <si>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</si>
  <si>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</si>
  <si>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</si>
  <si>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</si>
  <si>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</si>
  <si>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</si>
  <si>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</si>
  <si>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</si>
  <si>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</si>
  <si>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</si>
  <si>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</si>
  <si>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</si>
  <si>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</si>
  <si>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</si>
  <si>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</si>
  <si>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</si>
  <si>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</si>
  <si>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</si>
  <si>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</si>
  <si>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</si>
  <si>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</si>
  <si>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</si>
  <si>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</si>
  <si>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</si>
  <si>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</si>
  <si>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</si>
  <si>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</si>
  <si>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</si>
  <si>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</si>
  <si>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</si>
  <si>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</si>
  <si>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</si>
  <si>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</si>
  <si>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</si>
  <si>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</si>
  <si>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</si>
  <si>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</si>
  <si>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</si>
  <si>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</si>
  <si>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</si>
  <si>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</si>
  <si>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</si>
  <si>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</si>
  <si>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</si>
  <si>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</si>
  <si>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</si>
  <si>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</si>
  <si>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</si>
  <si>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</si>
  <si>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</si>
  <si>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</si>
  <si>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</si>
  <si>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</si>
  <si>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</si>
  <si>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</si>
  <si>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</si>
  <si>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</si>
  <si>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</si>
  <si>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</si>
  <si>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</si>
  <si>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</si>
  <si>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</si>
  <si>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</si>
  <si>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</si>
  <si>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</si>
  <si>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</si>
  <si>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</si>
  <si>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</si>
  <si>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</si>
  <si>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</si>
  <si>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</si>
  <si>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</si>
  <si>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</si>
  <si>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</si>
  <si>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</si>
  <si>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</si>
  <si>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</si>
  <si>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</si>
  <si>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</si>
  <si>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</si>
  <si>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</si>
  <si>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</si>
  <si>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</si>
  <si>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</si>
  <si>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</si>
  <si>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</si>
  <si>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</si>
  <si>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</si>
  <si>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</si>
  <si>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</si>
  <si>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</si>
  <si>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</si>
  <si>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</si>
  <si>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</si>
  <si>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</si>
  <si>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</si>
  <si>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</si>
  <si>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</si>
  <si>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</si>
  <si>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</si>
  <si>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</si>
  <si>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</si>
  <si>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</si>
  <si>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</si>
  <si>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</si>
  <si>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</si>
  <si>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</si>
  <si>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</si>
  <si>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</si>
  <si>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</si>
  <si>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</si>
  <si>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</si>
  <si>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</si>
  <si>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</si>
  <si>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</si>
  <si>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</si>
  <si>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</si>
  <si>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</si>
  <si>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</si>
  <si>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</si>
  <si>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</si>
  <si>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</si>
  <si>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</si>
  <si>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</si>
  <si>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</si>
  <si>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</si>
  <si>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</si>
  <si>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</si>
  <si>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</si>
  <si>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</si>
  <si>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</si>
  <si>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</si>
  <si>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</si>
  <si>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</si>
  <si>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</si>
  <si>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</si>
  <si>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</si>
  <si>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</si>
  <si>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</si>
  <si>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</si>
  <si>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</si>
  <si>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</si>
  <si>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</si>
  <si>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</si>
  <si>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</si>
  <si>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</si>
  <si>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</si>
  <si>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</si>
  <si>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</si>
  <si>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</si>
  <si>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</si>
  <si>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</si>
  <si>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</si>
  <si>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</si>
  <si>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</si>
  <si>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</si>
  <si>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</si>
  <si>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</si>
  <si>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</si>
  <si>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</si>
  <si>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</si>
  <si>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</si>
  <si>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</si>
  <si>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</si>
  <si>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</si>
  <si>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</si>
  <si>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</si>
  <si>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</si>
  <si>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</si>
  <si>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</si>
  <si>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</si>
  <si>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</si>
  <si>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</si>
  <si>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</si>
  <si>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</si>
  <si>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</si>
  <si>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</si>
  <si>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</si>
  <si>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</si>
  <si>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</si>
  <si>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</si>
  <si>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</si>
  <si>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</si>
  <si>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</si>
  <si>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</si>
  <si>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</si>
  <si>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</si>
  <si>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</si>
  <si>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</si>
  <si>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</si>
  <si>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</si>
  <si>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</si>
  <si>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</si>
  <si>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</si>
  <si>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</si>
  <si>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</si>
  <si>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</si>
  <si>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</si>
  <si>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</si>
  <si>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</si>
  <si>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</si>
  <si>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</si>
  <si>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</si>
  <si>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</si>
  <si>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</si>
  <si>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</si>
  <si>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</si>
  <si>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</si>
  <si>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</si>
  <si>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</si>
  <si>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</si>
  <si>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</si>
  <si>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</si>
  <si>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</si>
  <si>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</si>
  <si>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</si>
  <si>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</si>
  <si>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</si>
  <si>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</si>
  <si>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</si>
  <si>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</si>
  <si>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</si>
  <si>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</si>
  <si>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</si>
  <si>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</si>
  <si>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</si>
  <si>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</si>
  <si>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</si>
  <si>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</si>
  <si>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</si>
  <si>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</si>
  <si>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</si>
  <si>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</si>
  <si>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</si>
  <si>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</si>
  <si>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</si>
  <si>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</si>
  <si>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</si>
  <si>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</si>
  <si>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</si>
  <si>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</si>
  <si>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</si>
  <si>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</si>
  <si>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</si>
  <si>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</si>
  <si>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</si>
  <si>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</si>
  <si>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</si>
  <si>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</si>
  <si>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</si>
  <si>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</si>
  <si>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</si>
  <si>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</si>
  <si>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</si>
  <si>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</si>
  <si>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</si>
  <si>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</si>
  <si>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</si>
  <si>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</si>
  <si>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</si>
  <si>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</si>
  <si>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</si>
  <si>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</si>
  <si>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</si>
  <si>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</si>
  <si>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</si>
  <si>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</si>
  <si>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</si>
  <si>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</si>
  <si>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</si>
  <si>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</si>
  <si>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</si>
  <si>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</si>
  <si>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</si>
  <si>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</si>
  <si>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</si>
  <si>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</si>
  <si>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</si>
  <si>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</si>
  <si>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</si>
  <si>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</si>
  <si>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</si>
  <si>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</si>
  <si>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</si>
  <si>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</si>
  <si>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</si>
  <si>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</si>
  <si>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</si>
  <si>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</si>
  <si>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</si>
  <si>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</si>
  <si>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</si>
  <si>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</si>
  <si>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</si>
  <si>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</si>
  <si>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</si>
  <si>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</si>
  <si>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</si>
  <si>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</si>
  <si>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</si>
  <si>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</si>
  <si>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</si>
  <si>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</si>
  <si>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</si>
  <si>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</si>
  <si>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</si>
  <si>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</si>
  <si>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</si>
  <si>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</si>
  <si>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</si>
  <si>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</si>
  <si>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</si>
  <si>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</si>
  <si>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</si>
  <si>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</si>
  <si>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</si>
  <si>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</si>
  <si>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</si>
  <si>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</si>
  <si>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</si>
  <si>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</si>
  <si>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</si>
  <si>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</si>
  <si>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</si>
  <si>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</si>
  <si>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</si>
  <si>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</si>
  <si>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</si>
  <si>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</si>
  <si>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</si>
  <si>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</si>
  <si>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</si>
  <si>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</si>
  <si>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</si>
  <si>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</si>
  <si>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</si>
  <si>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</si>
  <si>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</si>
  <si>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</si>
  <si>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</si>
  <si>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</si>
  <si>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</si>
  <si>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</si>
  <si>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</si>
  <si>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</si>
  <si>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</si>
  <si>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</si>
  <si>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</si>
  <si>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</si>
  <si>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</si>
  <si>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</si>
  <si>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</si>
  <si>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</si>
  <si>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</si>
  <si>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</si>
  <si>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</si>
  <si>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</si>
  <si>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</si>
  <si>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</si>
  <si>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</si>
  <si>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</si>
  <si>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</si>
  <si>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</si>
  <si>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</si>
  <si>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</si>
  <si>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</si>
  <si>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</si>
  <si>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</si>
  <si>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</si>
  <si>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</si>
  <si>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</si>
  <si>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</si>
  <si>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</si>
  <si>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</si>
  <si>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</si>
  <si>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</si>
  <si>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</si>
  <si>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</si>
  <si>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</si>
  <si>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</si>
  <si>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</si>
  <si>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</si>
  <si>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</si>
  <si>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</si>
  <si>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</si>
  <si>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</si>
  <si>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</si>
  <si>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</si>
  <si>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</si>
  <si>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</si>
  <si>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</si>
  <si>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</si>
  <si>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</si>
  <si>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</si>
  <si>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</si>
  <si>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</si>
  <si>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</si>
  <si>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</si>
  <si>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</si>
  <si>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</si>
  <si>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</si>
  <si>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</si>
  <si>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</si>
  <si>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</si>
  <si>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</si>
  <si>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</si>
  <si>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</si>
  <si>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</si>
  <si>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</si>
  <si>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</si>
  <si>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</si>
  <si>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</si>
  <si>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</si>
  <si>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</si>
  <si>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</si>
  <si>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</si>
  <si>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</si>
  <si>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</si>
  <si>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</si>
  <si>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</si>
  <si>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</si>
  <si>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</si>
  <si>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</si>
  <si>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</si>
  <si>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</si>
  <si>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</si>
  <si>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</si>
  <si>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</si>
  <si>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</si>
  <si>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</si>
  <si>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</si>
  <si>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</si>
  <si>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</si>
  <si>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</si>
  <si>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</si>
  <si>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</si>
  <si>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</si>
  <si>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</si>
  <si>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</si>
  <si>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</si>
  <si>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</si>
  <si>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</si>
  <si>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</si>
  <si>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</si>
  <si>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</si>
  <si>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</si>
  <si>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</si>
  <si>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</si>
  <si>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</si>
  <si>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</si>
  <si>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</si>
  <si>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</si>
  <si>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</si>
  <si>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</si>
  <si>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</si>
  <si>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</si>
  <si>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</si>
  <si>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</si>
  <si>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</si>
  <si>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</si>
  <si>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</si>
  <si>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</si>
  <si>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</si>
  <si>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</si>
  <si>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</si>
  <si>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</si>
  <si>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</si>
  <si>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</si>
  <si>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</si>
  <si>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</si>
  <si>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</si>
  <si>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</si>
  <si>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</si>
  <si>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</si>
  <si>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</si>
  <si>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</si>
  <si>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</si>
  <si>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</si>
  <si>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</si>
  <si>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</si>
  <si>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</si>
  <si>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</si>
  <si>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</si>
  <si>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</si>
  <si>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</si>
  <si>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</si>
  <si>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</si>
  <si>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</si>
  <si>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</si>
  <si>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</si>
  <si>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</si>
  <si>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</si>
  <si>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</si>
  <si>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</si>
  <si>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</si>
  <si>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</si>
  <si>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</si>
  <si>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</si>
  <si>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</si>
  <si>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</si>
  <si>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</si>
  <si>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</si>
  <si>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</si>
  <si>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</si>
  <si>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</si>
  <si>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</si>
  <si>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</si>
  <si>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</si>
  <si>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</si>
  <si>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</si>
  <si>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</si>
  <si>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</si>
  <si>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</si>
  <si>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</si>
  <si>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</si>
  <si>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</si>
  <si>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</si>
  <si>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</si>
  <si>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</si>
  <si>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</si>
  <si>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</si>
  <si>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</si>
  <si>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</si>
  <si>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</si>
  <si>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</si>
  <si>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</si>
  <si>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</si>
  <si>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</si>
  <si>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</si>
  <si>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</si>
  <si>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</si>
  <si>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</si>
  <si>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</si>
  <si>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</si>
  <si>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</si>
  <si>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</si>
  <si>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</si>
  <si>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</si>
  <si>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</si>
  <si>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</si>
  <si>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</si>
  <si>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</si>
  <si>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</si>
  <si>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</si>
  <si>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</si>
  <si>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</si>
  <si>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</si>
  <si>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</si>
  <si>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</si>
  <si>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</si>
  <si>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</si>
  <si>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</si>
  <si>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</si>
  <si>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</si>
  <si>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</si>
  <si>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</si>
  <si>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</si>
  <si>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</si>
  <si>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</si>
  <si>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</si>
  <si>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</si>
  <si>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</si>
  <si>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</si>
  <si>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</si>
  <si>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</si>
  <si>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</si>
  <si>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</si>
  <si>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</si>
  <si>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</si>
  <si>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</si>
  <si>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</si>
  <si>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</si>
  <si>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</si>
  <si>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</si>
  <si>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</si>
  <si>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</si>
  <si>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</si>
  <si>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</si>
  <si>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</si>
  <si>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</si>
  <si>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</si>
  <si>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</si>
  <si>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</si>
  <si>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</si>
  <si>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</si>
  <si>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</si>
  <si>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</si>
  <si>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</si>
  <si>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</si>
  <si>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</si>
  <si>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</si>
  <si>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</si>
  <si>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</si>
  <si>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</si>
  <si>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</si>
  <si>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</si>
  <si>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</si>
  <si>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</si>
  <si>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</si>
  <si>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</si>
  <si>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</si>
  <si>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</si>
  <si>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</si>
  <si>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</si>
  <si>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</si>
  <si>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</si>
  <si>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</si>
  <si>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</si>
  <si>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</si>
  <si>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</si>
  <si>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</si>
  <si>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</si>
  <si>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</si>
  <si>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</si>
  <si>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</si>
  <si>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</si>
  <si>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</si>
  <si>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</si>
  <si>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</si>
  <si>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</si>
  <si>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</si>
  <si>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</si>
  <si>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</si>
  <si>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</si>
  <si>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</si>
  <si>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</si>
  <si>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</si>
  <si>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</si>
  <si>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</si>
  <si>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</si>
  <si>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</si>
  <si>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</si>
  <si>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</si>
  <si>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</si>
  <si>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</si>
  <si>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</si>
  <si>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</si>
  <si>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</si>
  <si>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</si>
  <si>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</si>
  <si>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</si>
  <si>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</si>
  <si>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</si>
  <si>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</si>
  <si>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</si>
  <si>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</si>
  <si>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</si>
  <si>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</si>
  <si>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</si>
  <si>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</si>
  <si>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</si>
  <si>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</si>
  <si>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</si>
  <si>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</si>
  <si>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</si>
  <si>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</si>
  <si>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</si>
  <si>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</si>
  <si>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</si>
  <si>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</si>
  <si>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</si>
  <si>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</si>
  <si>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</si>
  <si>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</si>
  <si>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</si>
  <si>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</si>
  <si>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</si>
  <si>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</si>
  <si>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</si>
  <si>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</si>
  <si>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</si>
  <si>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</si>
  <si>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</si>
  <si>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</si>
  <si>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</si>
  <si>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</si>
  <si>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</si>
  <si>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</si>
  <si>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</si>
  <si>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</si>
  <si>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</si>
  <si>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</si>
  <si>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</si>
  <si>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</si>
  <si>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</si>
  <si>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</si>
  <si>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</si>
  <si>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</si>
  <si>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</si>
  <si>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</si>
  <si>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</si>
  <si>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</si>
  <si>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</si>
  <si>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</si>
  <si>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</si>
  <si>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</si>
  <si>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</si>
  <si>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</si>
  <si>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</si>
  <si>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</si>
  <si>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</si>
  <si>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</si>
  <si>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</si>
  <si>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</si>
  <si>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</si>
  <si>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</si>
  <si>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</si>
  <si>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</si>
  <si>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</si>
  <si>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</si>
  <si>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</si>
  <si>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</si>
  <si>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</si>
  <si>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</si>
  <si>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</si>
  <si>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</si>
  <si>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</si>
  <si>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</si>
  <si>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</si>
  <si>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</si>
  <si>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</si>
  <si>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</si>
  <si>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</si>
  <si>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</si>
  <si>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</si>
  <si>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</si>
  <si>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</si>
  <si>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</si>
  <si>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</si>
  <si>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</si>
  <si>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</si>
  <si>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</si>
  <si>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</si>
  <si>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</si>
  <si>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</si>
  <si>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</si>
  <si>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</si>
  <si>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</si>
  <si>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</si>
  <si>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</si>
  <si>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</si>
  <si>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</si>
  <si>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</si>
  <si>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</si>
  <si>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</si>
  <si>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</si>
  <si>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</si>
  <si>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</si>
  <si>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</si>
  <si>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</si>
  <si>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</si>
  <si>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</si>
  <si>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</si>
  <si>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</si>
  <si>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</si>
  <si>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</si>
  <si>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</si>
  <si>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</si>
  <si>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</si>
  <si>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</si>
  <si>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</si>
  <si>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</si>
  <si>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</si>
  <si>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</si>
  <si>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</si>
  <si>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</si>
  <si>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</si>
  <si>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</si>
  <si>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</si>
  <si>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</si>
  <si>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</si>
  <si>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</si>
  <si>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</si>
  <si>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</si>
  <si>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</si>
  <si>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</si>
  <si>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</si>
  <si>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</si>
  <si>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</si>
  <si>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</si>
  <si>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</si>
  <si>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</si>
  <si>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</si>
  <si>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</si>
  <si>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</si>
  <si>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</si>
  <si>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</si>
  <si>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</si>
  <si>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</si>
  <si>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</si>
  <si>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</si>
  <si>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</si>
  <si>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</si>
  <si>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</si>
  <si>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</si>
  <si>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</si>
  <si>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</si>
  <si>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</si>
  <si>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</si>
  <si>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</si>
  <si>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</si>
  <si>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</si>
  <si>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</si>
  <si>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</si>
  <si>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</si>
  <si>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</si>
  <si>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</si>
  <si>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</si>
  <si>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</si>
  <si>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</si>
  <si>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</si>
  <si>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</si>
  <si>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</si>
  <si>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</si>
  <si>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</si>
  <si>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</si>
  <si>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</si>
  <si>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</si>
  <si>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</si>
  <si>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</si>
  <si>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</si>
  <si>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</si>
  <si>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</si>
  <si>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</si>
  <si>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</si>
  <si>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</si>
  <si>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</si>
  <si>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</si>
  <si>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</si>
  <si>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</si>
  <si>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</si>
  <si>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</si>
  <si>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</si>
  <si>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</si>
  <si>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</si>
  <si>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</si>
  <si>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</si>
  <si>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</si>
  <si>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</si>
  <si>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</si>
  <si>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</si>
  <si>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</si>
  <si>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</si>
  <si>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</si>
  <si>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</si>
  <si>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</si>
  <si>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</si>
  <si>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</si>
  <si>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</si>
  <si>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</si>
  <si>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</si>
  <si>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</si>
  <si>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</si>
  <si>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</si>
  <si>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</si>
  <si>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</si>
  <si>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</si>
  <si>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</si>
  <si>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</si>
  <si>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</si>
  <si>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</si>
  <si>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</si>
  <si>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</si>
  <si>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</si>
  <si>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</si>
  <si>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</si>
  <si>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</si>
  <si>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</si>
  <si>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</si>
  <si>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</si>
  <si>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</si>
  <si>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</si>
  <si>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</si>
  <si>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</si>
  <si>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</si>
  <si>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</si>
  <si>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</si>
  <si>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</si>
  <si>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</si>
  <si>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</si>
  <si>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</si>
  <si>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</si>
  <si>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</si>
  <si>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</si>
  <si>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</si>
  <si>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</si>
  <si>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</si>
  <si>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</si>
  <si>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</si>
  <si>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</si>
  <si>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</si>
  <si>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</si>
  <si>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</si>
  <si>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</si>
  <si>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</si>
  <si>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</si>
  <si>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</si>
  <si>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</si>
  <si>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</si>
  <si>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</si>
  <si>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</si>
  <si>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</si>
  <si>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</si>
  <si>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</si>
  <si>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</si>
  <si>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</si>
  <si>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</si>
  <si>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</si>
  <si>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</si>
  <si>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</si>
  <si>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</si>
  <si>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</si>
  <si>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</si>
  <si>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</si>
  <si>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</si>
  <si>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</si>
  <si>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</si>
  <si>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</si>
  <si>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</si>
  <si>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</si>
  <si>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</si>
  <si>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</si>
  <si>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</si>
  <si>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</si>
  <si>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</si>
  <si>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</si>
  <si>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</si>
  <si>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</si>
  <si>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</si>
  <si>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</si>
  <si>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</si>
  <si>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</si>
  <si>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</si>
  <si>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</si>
  <si>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</si>
  <si>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</si>
  <si>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</si>
  <si>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</si>
  <si>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</si>
  <si>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</si>
  <si>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</si>
  <si>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</si>
  <si>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</si>
  <si>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</si>
  <si>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</si>
  <si>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</si>
  <si>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</si>
  <si>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</si>
  <si>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</si>
  <si>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</si>
  <si>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</si>
  <si>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</si>
  <si>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</si>
  <si>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</si>
  <si>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</si>
  <si>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</si>
  <si>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</si>
  <si>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</si>
  <si>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</si>
  <si>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</si>
  <si>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</si>
  <si>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</si>
  <si>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</si>
  <si>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</si>
  <si>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</si>
  <si>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</si>
  <si>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</si>
  <si>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</si>
  <si>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</si>
  <si>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</si>
  <si>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</si>
  <si>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</si>
  <si>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</si>
  <si>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</si>
  <si>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</si>
  <si>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</si>
  <si>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</si>
  <si>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</si>
  <si>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</si>
  <si>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</si>
  <si>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</si>
  <si>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</si>
  <si>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</si>
  <si>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</si>
  <si>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</si>
  <si>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</si>
  <si>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</si>
  <si>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</si>
  <si>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</si>
  <si>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</si>
  <si>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</si>
  <si>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</si>
  <si>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</si>
  <si>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</si>
  <si>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</si>
  <si>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</si>
  <si>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</si>
  <si>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</si>
  <si>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</si>
  <si>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</si>
  <si>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</si>
  <si>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</si>
  <si>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</si>
  <si>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</si>
  <si>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</si>
  <si>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</si>
  <si>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</si>
  <si>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</si>
  <si>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</si>
  <si>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</si>
  <si>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</si>
  <si>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</si>
  <si>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</si>
  <si>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</si>
  <si>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</si>
  <si>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</si>
  <si>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</si>
  <si>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</si>
  <si>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</si>
  <si>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</si>
  <si>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</si>
  <si>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</si>
  <si>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</si>
  <si>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</si>
  <si>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</si>
  <si>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</si>
  <si>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</si>
  <si>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</si>
  <si>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</si>
  <si>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</si>
  <si>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</si>
  <si>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</si>
  <si>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</si>
  <si>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</si>
  <si>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</si>
  <si>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</si>
  <si>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</si>
  <si>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</si>
  <si>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</si>
  <si>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</si>
  <si>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</si>
  <si>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</si>
  <si>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</si>
  <si>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</si>
  <si>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</si>
  <si>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</si>
  <si>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</si>
  <si>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</si>
  <si>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</si>
  <si>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</si>
  <si>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</si>
  <si>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</si>
  <si>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</si>
  <si>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</si>
  <si>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</si>
  <si>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</si>
  <si>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</si>
  <si>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</si>
  <si>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</si>
  <si>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</si>
  <si>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</si>
  <si>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</si>
  <si>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</si>
  <si>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</si>
  <si>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</si>
  <si>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</si>
  <si>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</si>
  <si>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</si>
  <si>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</si>
  <si>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</si>
  <si>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</si>
  <si>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</si>
  <si>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</si>
  <si>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</si>
  <si>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</si>
  <si>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</si>
  <si>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</si>
  <si>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</si>
  <si>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</si>
  <si>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</si>
  <si>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</si>
  <si>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</si>
  <si>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</si>
  <si>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</si>
  <si>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</si>
  <si>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</si>
  <si>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</si>
  <si>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</si>
  <si>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</si>
  <si>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</si>
  <si>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</si>
  <si>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</si>
  <si>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</si>
  <si>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</si>
  <si>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</si>
  <si>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</si>
  <si>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</si>
  <si>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</si>
  <si>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</si>
  <si>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</si>
  <si>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</si>
  <si>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</si>
  <si>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</si>
  <si>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</si>
  <si>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</si>
  <si>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</si>
  <si>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</si>
  <si>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</si>
  <si>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</si>
  <si>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</si>
  <si>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</si>
  <si>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</si>
  <si>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</si>
  <si>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</si>
  <si>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</si>
  <si>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</si>
  <si>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</si>
  <si>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</si>
  <si>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</si>
  <si>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</si>
  <si>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</si>
  <si>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</si>
  <si>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</si>
  <si>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</si>
  <si>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</si>
  <si>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</si>
  <si>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</si>
  <si>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</si>
  <si>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</si>
  <si>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</si>
  <si>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</si>
  <si>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</si>
  <si>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</si>
  <si>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</si>
  <si>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</si>
  <si>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</si>
  <si>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</si>
  <si>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</si>
  <si>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</si>
  <si>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</si>
  <si>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</si>
  <si>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</si>
  <si>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</si>
  <si>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</si>
  <si>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</si>
  <si>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</si>
  <si>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</si>
  <si>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</si>
  <si>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</si>
  <si>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</si>
  <si>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</si>
  <si>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</si>
  <si>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</si>
  <si>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</si>
  <si>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</si>
  <si>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</si>
  <si>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</si>
  <si>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</si>
  <si>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</si>
  <si>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</si>
  <si>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</si>
  <si>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</si>
  <si>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</si>
  <si>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</si>
  <si>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</si>
  <si>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</si>
  <si>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</si>
  <si>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</si>
  <si>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</si>
  <si>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</si>
  <si>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</si>
  <si>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</si>
  <si>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</si>
  <si>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</si>
  <si>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</si>
  <si>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</si>
  <si>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</si>
  <si>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</si>
  <si>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</si>
  <si>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</si>
  <si>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</si>
  <si>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</si>
  <si>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</si>
  <si>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</si>
  <si>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</si>
  <si>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</si>
  <si>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</si>
  <si>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</si>
  <si>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</si>
  <si>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</si>
  <si>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</si>
  <si>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</si>
  <si>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</si>
  <si>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</si>
  <si>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</si>
  <si>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</si>
  <si>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</si>
  <si>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</si>
  <si>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</si>
  <si>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</si>
  <si>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</si>
  <si>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</si>
  <si>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</si>
  <si>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</si>
  <si>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</si>
  <si>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</si>
  <si>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</si>
  <si>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</si>
  <si>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</si>
  <si>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</si>
  <si>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</si>
  <si>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</si>
  <si>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</si>
  <si>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</si>
  <si>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</si>
  <si>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</si>
  <si>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</si>
  <si>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</si>
  <si>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</si>
  <si>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</si>
  <si>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</si>
  <si>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</si>
  <si>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</si>
  <si>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</si>
  <si>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</si>
  <si>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</si>
  <si>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</si>
  <si>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</si>
  <si>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</si>
  <si>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</si>
  <si>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</si>
  <si>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</si>
  <si>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</si>
  <si>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</si>
  <si>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</si>
  <si>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</si>
  <si>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</si>
  <si>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</si>
  <si>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</si>
  <si>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</si>
  <si>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</si>
  <si>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</si>
  <si>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</si>
  <si>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</si>
  <si>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</si>
  <si>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</si>
  <si>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</si>
  <si>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</si>
  <si>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</si>
  <si>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</si>
  <si>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</si>
  <si>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</si>
  <si>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</si>
  <si>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</si>
  <si>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</si>
  <si>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</si>
  <si>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</si>
  <si>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</si>
  <si>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</si>
  <si>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</si>
  <si>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</si>
  <si>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</si>
  <si>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</si>
  <si>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</si>
  <si>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</si>
  <si>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</si>
  <si>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</si>
  <si>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</si>
  <si>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</si>
  <si>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</si>
  <si>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</si>
  <si>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</si>
  <si>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</si>
  <si>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</si>
  <si>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</si>
  <si>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</si>
  <si>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</si>
  <si>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</si>
  <si>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</si>
  <si>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</si>
  <si>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</si>
  <si>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</si>
  <si>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</si>
  <si>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</si>
  <si>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</si>
  <si>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</si>
  <si>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</si>
  <si>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</si>
  <si>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</si>
  <si>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</si>
  <si>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</si>
  <si>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</si>
  <si>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</si>
  <si>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</si>
  <si>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</si>
  <si>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</si>
  <si>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</si>
  <si>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</si>
  <si>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</si>
  <si>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</si>
  <si>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</si>
  <si>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</si>
  <si>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</si>
  <si>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</si>
  <si>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</si>
  <si>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</si>
  <si>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</si>
  <si>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</si>
  <si>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</si>
  <si>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</si>
  <si>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</si>
  <si>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</si>
  <si>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</si>
  <si>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</si>
  <si>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</si>
  <si>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</si>
  <si>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</si>
  <si>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</si>
  <si>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</si>
  <si>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</si>
  <si>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</si>
  <si>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</si>
  <si>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</si>
  <si>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</si>
  <si>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</si>
  <si>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</si>
  <si>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</si>
  <si>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</si>
  <si>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</si>
  <si>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</si>
  <si>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</si>
  <si>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</si>
  <si>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</si>
  <si>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</si>
  <si>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</si>
  <si>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</si>
  <si>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</si>
  <si>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</si>
  <si>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</si>
  <si>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</si>
  <si>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</si>
  <si>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</si>
  <si>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</si>
  <si>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</si>
  <si>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</si>
  <si>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</si>
  <si>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</si>
  <si>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</si>
  <si>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</si>
  <si>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</si>
  <si>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</si>
  <si>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</si>
  <si>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</si>
  <si>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</si>
  <si>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</si>
  <si>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</si>
  <si>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</si>
  <si>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</si>
  <si>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</si>
  <si>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</si>
  <si>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</si>
  <si>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</si>
  <si>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</si>
  <si>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</si>
  <si>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</si>
  <si>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</si>
  <si>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</si>
  <si>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</si>
  <si>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</si>
  <si>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</si>
  <si>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</si>
  <si>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</si>
  <si>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</si>
  <si>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</si>
  <si>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</si>
  <si>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</si>
  <si>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</si>
  <si>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</si>
  <si>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</si>
  <si>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</si>
  <si>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</si>
  <si>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</si>
  <si>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</si>
  <si>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</si>
  <si>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</si>
  <si>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</si>
  <si>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</si>
  <si>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</si>
  <si>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</si>
  <si>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</si>
  <si>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</si>
  <si>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</si>
  <si>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</si>
  <si>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</si>
  <si>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</si>
  <si>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</si>
  <si>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</si>
  <si>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</si>
  <si>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</si>
  <si>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</si>
  <si>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</si>
  <si>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</si>
  <si>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</si>
  <si>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</si>
  <si>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</si>
  <si>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</si>
  <si>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</si>
  <si>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</si>
  <si>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</si>
  <si>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</si>
  <si>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</si>
  <si>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</si>
  <si>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</si>
  <si>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</si>
  <si>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</si>
  <si>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</si>
  <si>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</si>
  <si>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</si>
  <si>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</si>
  <si>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</si>
  <si>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</si>
  <si>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</si>
  <si>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</si>
  <si>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</si>
  <si>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</si>
  <si>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</si>
  <si>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</si>
  <si>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</si>
  <si>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</si>
  <si>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</si>
  <si>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</si>
  <si>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</si>
  <si>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</si>
  <si>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</si>
  <si>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</si>
  <si>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</si>
  <si>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</si>
  <si>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</si>
  <si>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</si>
  <si>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</si>
  <si>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</si>
  <si>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</si>
  <si>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</si>
  <si>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</si>
  <si>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</si>
  <si>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</si>
  <si>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</si>
  <si>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</si>
  <si>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</si>
  <si>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</si>
  <si>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</si>
  <si>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</si>
  <si>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</si>
  <si>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</si>
  <si>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</si>
  <si>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</si>
  <si>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</si>
  <si>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</si>
  <si>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</si>
  <si>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</si>
  <si>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</si>
  <si>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</si>
  <si>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</si>
  <si>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</si>
  <si>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</si>
  <si>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</si>
  <si>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</si>
  <si>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</si>
  <si>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</si>
  <si>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</si>
  <si>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</si>
  <si>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</si>
  <si>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</si>
  <si>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</si>
  <si>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</si>
  <si>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</si>
  <si>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</si>
  <si>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</si>
  <si>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</si>
  <si>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</si>
  <si>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</si>
  <si>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</si>
  <si>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</si>
  <si>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</si>
  <si>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South Gate </t>
  </si>
  <si>
    <t>3125 Firestone Boulevard</t>
  </si>
  <si>
    <t>South Gate</t>
  </si>
  <si>
    <t xml:space="preserve">City of South Gate </t>
  </si>
  <si>
    <t>Chris Jeffers</t>
  </si>
  <si>
    <t>323-563-9503</t>
  </si>
  <si>
    <t>8650 California Ave</t>
  </si>
  <si>
    <t>cjeffers@sogate.org</t>
  </si>
  <si>
    <t>11150 W Olympic Blvd</t>
  </si>
  <si>
    <t>Chris Maffris</t>
  </si>
  <si>
    <t>310-498-9660</t>
  </si>
  <si>
    <t>cmaffris@metahousing.com</t>
  </si>
  <si>
    <t>Managing GP</t>
  </si>
  <si>
    <t>Administrative GP</t>
  </si>
  <si>
    <t>384 Forest Aveue, Suite 14</t>
  </si>
  <si>
    <t xml:space="preserve">Laguna Beach </t>
  </si>
  <si>
    <t>CA</t>
  </si>
  <si>
    <t xml:space="preserve">Melissa Vincent </t>
  </si>
  <si>
    <t>946-715-8499</t>
  </si>
  <si>
    <t>3125 South Gate, LLC</t>
  </si>
  <si>
    <t>11150 W. Olympic Blvd. Suite 620</t>
  </si>
  <si>
    <t xml:space="preserve">Los Angeles </t>
  </si>
  <si>
    <t xml:space="preserve">Chris Maffris </t>
  </si>
  <si>
    <t>310-575-3543</t>
  </si>
  <si>
    <t>310-575-3563</t>
  </si>
  <si>
    <t xml:space="preserve">Foundation for Affordable Housing </t>
  </si>
  <si>
    <t xml:space="preserve">Meta Development, LLC </t>
  </si>
  <si>
    <t>NA</t>
  </si>
  <si>
    <t>melissa@ffah.org</t>
  </si>
  <si>
    <t>Developer</t>
  </si>
  <si>
    <t>Los Angeles, CA 90064</t>
  </si>
  <si>
    <t>Y&amp;M Architects</t>
  </si>
  <si>
    <t>724 S. Spring Street, #304</t>
  </si>
  <si>
    <t>Los Angeles, CA 90014</t>
  </si>
  <si>
    <t>213-623-2107</t>
  </si>
  <si>
    <t xml:space="preserve">Bocarsly Emden Cowan Esmail &amp; Arndt, LLP </t>
  </si>
  <si>
    <t xml:space="preserve">633 W. 5th Street, 64th Floor </t>
  </si>
  <si>
    <t>Los Angeles, CA 90071</t>
  </si>
  <si>
    <t xml:space="preserve">Nicole Deddens </t>
  </si>
  <si>
    <t>213-239-8029</t>
  </si>
  <si>
    <t>ndeddens@bocarsly.com</t>
  </si>
  <si>
    <t>Novogradac &amp; Company, LLP</t>
  </si>
  <si>
    <t>249 E. Ocean Blvd., Suite 900</t>
  </si>
  <si>
    <t>Long Beach, CA 90802</t>
  </si>
  <si>
    <t>William Letsinger</t>
  </si>
  <si>
    <t>562-256-2340</t>
  </si>
  <si>
    <t>bill.letsinger@novoco.com</t>
  </si>
  <si>
    <t>6700 Antioch Road, Suite 450</t>
  </si>
  <si>
    <t>Merriam, KS 66204</t>
  </si>
  <si>
    <t>Rachel Denton</t>
  </si>
  <si>
    <t>913-312-4612</t>
  </si>
  <si>
    <t>rachel.denton@novoco.com</t>
  </si>
  <si>
    <t>WSH Management</t>
  </si>
  <si>
    <t>18881 Von Karman Avenue, Suite 720</t>
  </si>
  <si>
    <t>Irvine, CA 92621</t>
  </si>
  <si>
    <t>Kim Pollack</t>
  </si>
  <si>
    <t>949-748-8220</t>
  </si>
  <si>
    <t>kimp@wshmgmt.com</t>
  </si>
  <si>
    <t>J and Y 26 Firestone LLC</t>
  </si>
  <si>
    <t>Javid Somekh</t>
  </si>
  <si>
    <t>Owner</t>
  </si>
  <si>
    <t>213-327-0105</t>
  </si>
  <si>
    <t>Inner City Infill Site</t>
  </si>
  <si>
    <t xml:space="preserve">CDR1- Mixed Use Corridor Zone </t>
  </si>
  <si>
    <t>85 du/acre- (with density bonus)</t>
  </si>
  <si>
    <t>Maximum 6- stories</t>
  </si>
  <si>
    <t>0.5 spaces per unit</t>
  </si>
  <si>
    <t>Deferred Operating Reserve</t>
  </si>
  <si>
    <t>Deferred Developer Fee</t>
  </si>
  <si>
    <t>South Gate Housing Authority</t>
  </si>
  <si>
    <t>Business License Tax</t>
  </si>
  <si>
    <t>Taxes &amp; Employee Benefits</t>
  </si>
  <si>
    <t xml:space="preserve">Fire Alarm/ Sprinklers </t>
  </si>
  <si>
    <t xml:space="preserve">Insurance </t>
  </si>
  <si>
    <t>Payment and Performace Bonds</t>
  </si>
  <si>
    <t>Perm Loan Interest ( Const Lender)</t>
  </si>
  <si>
    <t>Partnership Legal / Other</t>
  </si>
  <si>
    <t xml:space="preserve"> Misc City/County/Other fees</t>
  </si>
  <si>
    <t>Organizational Costs</t>
  </si>
  <si>
    <t>Utility Connectons/Deposits</t>
  </si>
  <si>
    <t>85 du/acre</t>
  </si>
  <si>
    <t xml:space="preserve">3125 Firestone </t>
  </si>
  <si>
    <t>FFAH V 3125 South Gate, LLC</t>
  </si>
  <si>
    <t xml:space="preserve">RJC Group, Inc. </t>
  </si>
  <si>
    <t>19072 Kassy Drive</t>
  </si>
  <si>
    <t>North Tustin, CA 92705</t>
  </si>
  <si>
    <t>Richard Cardoza</t>
  </si>
  <si>
    <t>714-745-4102</t>
  </si>
  <si>
    <t>rcardoza@rjcgroup.com</t>
  </si>
  <si>
    <t>Redstone Equity</t>
  </si>
  <si>
    <t>5800 Armada Drive</t>
  </si>
  <si>
    <t>Carlsbad, CA 92008</t>
  </si>
  <si>
    <t>Matt Grosz</t>
  </si>
  <si>
    <t>619-323-3102</t>
  </si>
  <si>
    <t>matt.grosz@redstoneequity.com</t>
  </si>
  <si>
    <t>Redstone/Tax Credit Equity - Federal</t>
  </si>
  <si>
    <t>Redstone/Tax Credit Equity - State</t>
  </si>
  <si>
    <t>300 South Grand Avenue, Suite 3110</t>
  </si>
  <si>
    <t>Construction Loan</t>
  </si>
  <si>
    <t>5800 Armada Drive, Suite 235</t>
  </si>
  <si>
    <t>Hao Li</t>
  </si>
  <si>
    <t>(213) 239-1914</t>
  </si>
  <si>
    <t xml:space="preserve">Matt Grosz </t>
  </si>
  <si>
    <t>858.752.2066</t>
  </si>
  <si>
    <t>Tax Credit Equity</t>
  </si>
  <si>
    <t>11150 W. Olympic Blvd., Suite 620</t>
  </si>
  <si>
    <t>George Russo</t>
  </si>
  <si>
    <t xml:space="preserve">Citibank/Permanent Loan </t>
  </si>
  <si>
    <t xml:space="preserve">300 South Grand Avenue, Suite 3110 </t>
  </si>
  <si>
    <t xml:space="preserve">Permanent Loan </t>
  </si>
  <si>
    <t>Air Conditioning</t>
  </si>
  <si>
    <t>3125 South Gate, LP</t>
  </si>
  <si>
    <t xml:space="preserve">WSH Management </t>
  </si>
  <si>
    <t xml:space="preserve">3125 South Gate, LP </t>
  </si>
  <si>
    <t>40%/60%</t>
  </si>
  <si>
    <t>CitiBank/Construction Loan, Taxable</t>
  </si>
  <si>
    <t>Fixed</t>
  </si>
  <si>
    <t>Aaron Demici</t>
  </si>
  <si>
    <t>https://www.metro.net/</t>
  </si>
  <si>
    <t xml:space="preserve">Firestone / Garden View Bus Stop </t>
  </si>
  <si>
    <t>(323) 466-3876</t>
  </si>
  <si>
    <t>South Gate, CA 90280</t>
  </si>
  <si>
    <t>3125 Firestone Blvd</t>
  </si>
  <si>
    <t>State Street Park</t>
  </si>
  <si>
    <t>9200 State Street</t>
  </si>
  <si>
    <t>Steve Costley</t>
  </si>
  <si>
    <t>323-563-5479</t>
  </si>
  <si>
    <t>https://www.cityofsouthgate.org/Government/Departments/Parks-and-Recreation</t>
  </si>
  <si>
    <t>South Gate Plaza Shopping Center</t>
  </si>
  <si>
    <t>2633 Santa Ana St</t>
  </si>
  <si>
    <t>Albert Ayala</t>
  </si>
  <si>
    <t>(323) 277-3000</t>
  </si>
  <si>
    <t>https://www.northgatemarket.com/</t>
  </si>
  <si>
    <t xml:space="preserve">South Gate High School </t>
  </si>
  <si>
    <t>3351 Firestone Blvd</t>
  </si>
  <si>
    <t>Harry Sanchez</t>
  </si>
  <si>
    <t>323-568-5600</t>
  </si>
  <si>
    <t>https://www.southgatehs.org/</t>
  </si>
  <si>
    <t xml:space="preserve">CaliMed Health Center </t>
  </si>
  <si>
    <t>3314 Firestone Blvd</t>
  </si>
  <si>
    <t>Dr. Felix Aguilar</t>
  </si>
  <si>
    <t>213-338-8387</t>
  </si>
  <si>
    <t>https://www.ca-med.org/</t>
  </si>
  <si>
    <t xml:space="preserve">0.01 mi </t>
  </si>
  <si>
    <t>1.1 mi</t>
  </si>
  <si>
    <t xml:space="preserve">Walgreens Pharmacy </t>
  </si>
  <si>
    <t>9830 Long Beach Blvd</t>
  </si>
  <si>
    <t>Glory Thomas</t>
  </si>
  <si>
    <t>323-357-3925</t>
  </si>
  <si>
    <t>https://www.walgreens.com/locator/walgreens-9830+long+beach+blvd-south+gate-ca-90280/id=10262</t>
  </si>
  <si>
    <t>Beverly Hills, CA 90211</t>
  </si>
  <si>
    <t xml:space="preserve">8383 Wilshire Boulevardd Suite 630 </t>
  </si>
  <si>
    <t xml:space="preserve">TBD </t>
  </si>
  <si>
    <t>April</t>
  </si>
  <si>
    <t>Chief Financial Officer</t>
  </si>
  <si>
    <t>6204-006-054, 6204-006-055, 6204-006-058, 6204-006-059</t>
  </si>
  <si>
    <t>Ryan Yanagita</t>
  </si>
  <si>
    <t>ryanagita@ymarch.com</t>
  </si>
  <si>
    <t xml:space="preserve">0.29 mi </t>
  </si>
  <si>
    <t>0.34 mi</t>
  </si>
  <si>
    <t>0.27 mi</t>
  </si>
  <si>
    <t>0.64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</si>
</sst>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3" fillId="51" borderId="3"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3" fillId="7" borderId="4" xfId="0" applyFont="1" applyFill="1" applyBorder="1" applyAlignment="1" applyProtection="1">
      <alignment horizontal="center" wrapText="1"/>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4" workbookViewId="0">
      <selection activeCell="G94" sqref="G94:AK97"/>
    </sheetView>
  </sheetViews>
  <sheetFormatPr defaultColWidth="0" defaultRowHeight="12.75" zeroHeight="1"/>
  <cols>
    <col min="1" max="38" width="2.42578125" customWidth="1"/>
    <col min="39" max="16384" width="8.85546875" hidden="1"/>
  </cols>
  <sheetData>
    <row r="1" spans="1:38">
      <c r="A1" s="982" t="s">
        <v>1962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2285</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2354</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2353</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2352</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2116</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1339</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1191</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2" t="s">
        <v>1762</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2" t="s">
        <v>2287</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1" t="s">
        <v>2288</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2289</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2" t="s">
        <v>1765</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1764</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2" t="s">
        <v>1766</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1767</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1781</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1782</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2" t="s">
        <v>1768</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1769</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2" t="s">
        <v>1774</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1775</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1776</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1777</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2" t="s">
        <v>1778</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2" t="s">
        <v>1779</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0" t="s">
        <v>1780</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2" t="s">
        <v>1783</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2" t="s">
        <v>1784</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2" t="s">
        <v>1785</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2" t="s">
        <v>1786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945</v>
      </c>
      <c r="F235" s="5" t="s">
        <v>260</v>
      </c>
      <c r="G235" s="5"/>
      <c r="H235" s="5"/>
      <c r="I235" s="5"/>
      <c r="M235" s="5"/>
      <c r="N235" s="5"/>
      <c r="O235" s="5"/>
      <c r="P235" s="5"/>
      <c r="Q235" s="5"/>
      <c r="R235" s="5"/>
      <c r="S235" s="5"/>
    </row>
    <row r="236" spans="1:38">
      <c r="B236" s="5"/>
      <c r="C236" s="5"/>
      <c r="F236" s="5" t="s">
        <v>862</v>
      </c>
      <c r="G236" s="972" t="s">
        <v>1787</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81" t="s">
        <v>1900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944</v>
      </c>
      <c r="F348" s="972" t="s">
        <v>1901</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945</v>
      </c>
      <c r="F352" s="972" t="s">
        <v>1902</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8" customFormat="1">
      <c r="A365"/>
      <c r="B365" s="3"/>
      <c r="C365"/>
      <c r="D365"/>
      <c r="E365" s="978" t="s">
        <v>1897</v>
      </c>
    </row>
    <row r="366" spans="1:38" s="978" customFormat="1">
      <c r="A366"/>
      <c r="B366" s="3"/>
      <c r="C366"/>
      <c r="D366"/>
    </row>
    <row r="367" spans="1:38">
      <c r="B367" s="3"/>
      <c r="F367" s="976" t="s">
        <v>1898</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2332</v>
      </c>
      <c r="B3" s="990"/>
      <c r="C3" s="990"/>
      <c r="D3" s="990"/>
      <c r="E3" s="990"/>
      <c r="F3" s="990"/>
      <c r="G3" s="990"/>
      <c r="H3" s="990"/>
      <c r="I3" s="990"/>
      <c r="J3" s="990"/>
    </row>
    <row r="4" spans="1:10"/>
    <row r="5" spans="1:10" ht="12.75" customHeight="1">
      <c r="A5" s="996" t="s">
        <v>2298</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2200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921" sqref="D921:F92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3" t="s">
        <v>2331</v>
      </c>
      <c r="B2" s="1043"/>
      <c r="C2" s="990"/>
      <c r="D2" s="990"/>
      <c r="E2" s="990"/>
      <c r="F2" s="990"/>
      <c r="G2" s="990"/>
      <c r="I2" t="s">
        <v>84</v>
      </c>
    </row>
    <row r="3" spans="1:9" ht="12.75">
      <c r="A3" s="190"/>
      <c r="B3" s="190"/>
      <c r="C3"/>
      <c r="D3"/>
      <c r="E3"/>
      <c r="F3"/>
      <c r="G3"/>
      <c r="I3" s="5" t="s">
        <v>1456</v>
      </c>
    </row>
    <row r="4" spans="1:9" ht="12.75">
      <c r="A4" s="1044" t="s">
        <v>2263</v>
      </c>
      <c r="B4" s="1044"/>
      <c r="C4" s="1045"/>
      <c r="D4" s="1045"/>
      <c r="E4" s="1045"/>
      <c r="F4" s="1045"/>
      <c r="G4" s="1045"/>
      <c r="I4" s="5" t="s">
        <v>1440</v>
      </c>
    </row>
    <row r="5" spans="1:9" ht="12.75">
      <c r="A5" s="1044" t="s">
        <v>1088</v>
      </c>
      <c r="B5" s="1044"/>
      <c r="C5" s="1045"/>
      <c r="D5" s="1045"/>
      <c r="E5" s="1045"/>
      <c r="F5" s="1045"/>
      <c r="G5" s="1045"/>
      <c r="I5" t="s">
        <v>132</v>
      </c>
    </row>
    <row r="6" spans="1:9" ht="13.7" customHeight="1"/>
    <row r="7" spans="1:9" ht="12.75">
      <c r="A7" s="1043" t="s">
        <v>1491</v>
      </c>
      <c r="B7" s="1043"/>
      <c r="C7" s="1046"/>
      <c r="D7" s="1046"/>
      <c r="E7" s="1046"/>
      <c r="F7" s="1046"/>
      <c r="G7" s="1046"/>
    </row>
    <row r="8" spans="1:9" ht="12.75">
      <c r="A8" s="1043" t="s">
        <v>1492</v>
      </c>
      <c r="B8" s="1043"/>
      <c r="C8" s="1046"/>
      <c r="D8" s="1046"/>
      <c r="E8" s="1046"/>
      <c r="F8" s="1046"/>
      <c r="G8" s="1046"/>
    </row>
    <row r="9" spans="1:9" ht="12.75">
      <c r="A9" s="192"/>
      <c r="B9" s="192"/>
      <c r="C9" s="190"/>
      <c r="D9" s="190"/>
      <c r="E9" s="190"/>
      <c r="F9" s="190"/>
      <c r="G9" s="190"/>
    </row>
    <row r="10" spans="1:9" ht="12.75">
      <c r="A10" s="1033" t="s">
        <v>1614</v>
      </c>
      <c r="B10" s="1033"/>
      <c r="C10" s="1033"/>
      <c r="D10" s="1033"/>
      <c r="E10" s="1033"/>
      <c r="F10" s="1033"/>
      <c r="G10" s="1033"/>
    </row>
    <row r="11" spans="1:9" ht="12.75">
      <c r="A11" s="190"/>
      <c r="B11" s="190"/>
    </row>
    <row r="12" spans="1:9" ht="13.7" customHeight="1">
      <c r="C12" s="190"/>
      <c r="D12" s="1047" t="s">
        <v>1613</v>
      </c>
      <c r="E12" s="1047"/>
      <c r="F12" s="1047"/>
      <c r="G12" s="625"/>
    </row>
    <row r="13" spans="1:9" ht="12.75">
      <c r="C13" s="190"/>
      <c r="D13" s="1047"/>
      <c r="E13" s="1047"/>
      <c r="F13" s="1047"/>
      <c r="G13" s="625"/>
    </row>
    <row r="14" spans="1:9" ht="12.75">
      <c r="A14" s="191"/>
      <c r="B14" s="191"/>
      <c r="C14" s="191"/>
      <c r="D14" s="999" t="s">
        <v>1478</v>
      </c>
      <c r="E14" s="999"/>
      <c r="F14" s="999"/>
    </row>
    <row r="15" spans="1:9" ht="12.75">
      <c r="A15" s="191"/>
      <c r="B15" s="191"/>
      <c r="C15" s="191"/>
    </row>
    <row r="16" spans="1:9" ht="14.45" customHeight="1">
      <c r="A16" s="271"/>
      <c r="B16" s="624" t="s">
        <v>132</v>
      </c>
      <c r="C16" s="191"/>
      <c r="D16" s="972" t="s">
        <v>2165</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2166</v>
      </c>
      <c r="F19" s="24"/>
      <c r="G19" s="358"/>
    </row>
    <row r="20" spans="1:7" ht="12.75">
      <c r="A20" s="191"/>
      <c r="B20" s="191"/>
      <c r="C20" s="191"/>
    </row>
    <row r="21" spans="1:7" ht="14.25">
      <c r="A21" s="271"/>
      <c r="B21" s="624" t="s">
        <v>1440</v>
      </c>
      <c r="D21" s="972" t="s">
        <v>2167</v>
      </c>
      <c r="E21" s="979"/>
      <c r="F21" s="979"/>
    </row>
    <row r="22" spans="1:7" ht="12.75">
      <c r="D22" s="979"/>
      <c r="E22" s="979"/>
      <c r="F22" s="979"/>
    </row>
    <row r="23" spans="1:7" ht="12.75">
      <c r="D23" s="102"/>
      <c r="E23" s="104" t="s">
        <v>2168</v>
      </c>
      <c r="F23" s="102"/>
    </row>
    <row r="24" spans="1:7" ht="14.25">
      <c r="A24" s="271"/>
      <c r="B24" s="271"/>
      <c r="D24" s="44"/>
    </row>
    <row r="25" spans="1:7" ht="14.25">
      <c r="A25" s="271"/>
      <c r="B25" s="624" t="s">
        <v>132</v>
      </c>
      <c r="D25" s="979" t="s">
        <v>1472</v>
      </c>
      <c r="E25" s="979"/>
      <c r="F25" s="979"/>
    </row>
    <row r="26" spans="1:7" ht="14.25">
      <c r="A26" s="271"/>
      <c r="B26" s="271"/>
      <c r="D26" s="979"/>
      <c r="E26" s="979"/>
      <c r="F26" s="979"/>
    </row>
    <row r="27" spans="1:7" ht="14.25">
      <c r="A27" s="271"/>
      <c r="B27" s="271"/>
      <c r="D27" s="44"/>
    </row>
    <row r="28" spans="1:7" ht="14.25" customHeight="1">
      <c r="A28" s="271"/>
      <c r="B28" s="624" t="s">
        <v>1440</v>
      </c>
      <c r="D28" s="972" t="s">
        <v>2264</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132</v>
      </c>
      <c r="D34" s="979" t="s">
        <v>2265</v>
      </c>
      <c r="E34" s="979"/>
      <c r="F34" s="979"/>
    </row>
    <row r="35" spans="1:6" ht="14.25">
      <c r="A35" s="271"/>
      <c r="B35" s="271"/>
      <c r="D35" s="979"/>
      <c r="E35" s="979"/>
      <c r="F35" s="979"/>
    </row>
    <row r="36" spans="1:6" ht="14.25">
      <c r="A36" s="271"/>
      <c r="B36" s="271"/>
      <c r="D36" s="209"/>
      <c r="E36" s="209"/>
      <c r="F36" s="209"/>
    </row>
    <row r="37" spans="1:6" ht="14.25">
      <c r="A37" s="271"/>
      <c r="B37" s="624" t="s">
        <v>132</v>
      </c>
      <c r="D37" s="972" t="s">
        <v>1830</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132</v>
      </c>
      <c r="D46" s="979" t="s">
        <v>1508</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132</v>
      </c>
      <c r="D52" s="972" t="s">
        <v>1976</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132</v>
      </c>
      <c r="D59" s="972" t="s">
        <v>2023</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132</v>
      </c>
      <c r="D64" s="979" t="s">
        <v>2266</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1440</v>
      </c>
      <c r="D68" s="972" t="s">
        <v>2169</v>
      </c>
      <c r="E68" s="979"/>
      <c r="F68" s="979"/>
    </row>
    <row r="69" spans="1:6" ht="12.75">
      <c r="D69" s="979"/>
      <c r="E69" s="979"/>
      <c r="F69" s="979"/>
    </row>
    <row r="70" spans="1:6" ht="12.75">
      <c r="D70" s="979"/>
      <c r="E70" s="979"/>
      <c r="F70" s="979"/>
    </row>
    <row r="71" spans="1:6" ht="14.25">
      <c r="A71" s="271"/>
      <c r="B71" s="271"/>
      <c r="D71" s="209"/>
      <c r="E71" s="128" t="s">
        <v>2166</v>
      </c>
      <c r="F71" s="209"/>
    </row>
    <row r="72" spans="1:6" ht="14.25">
      <c r="A72" s="271"/>
      <c r="B72" s="271"/>
    </row>
    <row r="73" spans="1:6" ht="14.25">
      <c r="A73" s="271"/>
      <c r="B73" s="624" t="s">
        <v>132</v>
      </c>
      <c r="D73" s="979" t="s">
        <v>1612</v>
      </c>
      <c r="E73" s="979"/>
      <c r="F73" s="979"/>
    </row>
    <row r="74" spans="1:6" ht="12.75">
      <c r="D74" s="979"/>
      <c r="E74" s="979"/>
      <c r="F74" s="979"/>
    </row>
    <row r="75" spans="1:6" ht="12.75">
      <c r="D75" s="979"/>
      <c r="E75" s="979"/>
      <c r="F75" s="979"/>
    </row>
    <row r="76" spans="1:6" ht="12.75"/>
    <row r="77" spans="1:6" ht="14.25">
      <c r="A77" s="271" t="s">
        <v>244</v>
      </c>
      <c r="B77" s="624" t="s">
        <v>132</v>
      </c>
      <c r="D77" s="979" t="s">
        <v>1511</v>
      </c>
      <c r="E77" s="979"/>
      <c r="F77" s="979"/>
    </row>
    <row r="78" spans="1:6" ht="12.75">
      <c r="D78" s="979"/>
      <c r="E78" s="979"/>
      <c r="F78" s="979"/>
    </row>
    <row r="79" spans="1:6" ht="12.75"/>
    <row r="80" spans="1:6" ht="14.25">
      <c r="A80" s="271" t="s">
        <v>244</v>
      </c>
      <c r="B80" s="624" t="s">
        <v>1440</v>
      </c>
      <c r="D80" s="979" t="s">
        <v>1512</v>
      </c>
      <c r="E80" s="979"/>
      <c r="F80" s="979"/>
    </row>
    <row r="81" spans="1:7" ht="12.75">
      <c r="D81" s="979"/>
      <c r="E81" s="979"/>
      <c r="F81" s="979"/>
    </row>
    <row r="82" spans="1:7" ht="12.75">
      <c r="D82" s="979"/>
      <c r="E82" s="979"/>
      <c r="F82" s="979"/>
    </row>
    <row r="83" spans="1:7" ht="12.75">
      <c r="D83" s="44"/>
    </row>
    <row r="84" spans="1:7" ht="14.25">
      <c r="A84" s="271" t="s">
        <v>244</v>
      </c>
      <c r="B84" s="624" t="s">
        <v>1440</v>
      </c>
      <c r="D84" s="979" t="s">
        <v>1513</v>
      </c>
      <c r="E84" s="979"/>
      <c r="F84" s="979"/>
    </row>
    <row r="85" spans="1:7" ht="12.75">
      <c r="D85" s="979"/>
      <c r="E85" s="979"/>
      <c r="F85" s="979"/>
    </row>
    <row r="86" spans="1:7" ht="12.75"/>
    <row r="87" spans="1:7" ht="12.75">
      <c r="A87" s="1033" t="s">
        <v>1444</v>
      </c>
      <c r="B87" s="1033"/>
      <c r="C87" s="1033"/>
      <c r="D87" s="1033"/>
      <c r="E87" s="1033"/>
      <c r="F87" s="1033"/>
      <c r="G87" s="1033"/>
    </row>
    <row r="88" spans="1:7" ht="12.75">
      <c r="E88"/>
      <c r="F88"/>
      <c r="G88"/>
    </row>
    <row r="89" spans="1:7" ht="13.7" customHeight="1">
      <c r="C89" s="605"/>
      <c r="D89" s="1006" t="s">
        <v>1445</v>
      </c>
      <c r="E89" s="1006"/>
      <c r="F89" s="1006"/>
      <c r="G89"/>
    </row>
    <row r="90" spans="1:7" ht="13.7" customHeight="1">
      <c r="A90" s="44"/>
      <c r="B90" s="44"/>
      <c r="D90" s="979" t="s">
        <v>1615</v>
      </c>
      <c r="E90" s="979"/>
      <c r="F90" s="979"/>
      <c r="G90"/>
    </row>
    <row r="91" spans="1:7" ht="12.75">
      <c r="A91" s="44"/>
      <c r="B91" s="44"/>
      <c r="E91"/>
      <c r="F91"/>
      <c r="G91"/>
    </row>
    <row r="92" spans="1:7" ht="14.25" customHeight="1">
      <c r="A92" s="271"/>
      <c r="B92" s="624" t="s">
        <v>1440</v>
      </c>
      <c r="D92" s="972" t="s">
        <v>1949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132</v>
      </c>
      <c r="D101" s="1026" t="s">
        <v>1950</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132</v>
      </c>
      <c r="D114" s="979" t="s">
        <v>1616</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1440</v>
      </c>
      <c r="D122" s="979" t="s">
        <v>1617</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1440</v>
      </c>
      <c r="D128" s="979" t="s">
        <v>1618</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24" t="s">
        <v>132</v>
      </c>
      <c r="D141" s="972" t="s">
        <v>1807</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28" t="s">
        <v>1808</v>
      </c>
      <c r="E159" s="1028"/>
      <c r="F159" s="1028"/>
      <c r="G159"/>
    </row>
    <row r="160" spans="1:7" ht="13.9" customHeight="1">
      <c r="A160" s="18"/>
      <c r="B160" s="18"/>
      <c r="D160" s="44"/>
      <c r="G160"/>
    </row>
    <row r="161" spans="1:7" ht="13.9" customHeight="1">
      <c r="A161" s="271"/>
      <c r="B161" s="624" t="s">
        <v>132</v>
      </c>
      <c r="D161" s="1026" t="s">
        <v>1836</v>
      </c>
      <c r="E161" s="1027"/>
      <c r="F161" s="1027"/>
      <c r="G161"/>
    </row>
    <row r="162" spans="1:7" ht="13.9" customHeight="1">
      <c r="A162" s="271"/>
      <c r="B162" s="18"/>
      <c r="D162" s="1027"/>
      <c r="E162" s="1027"/>
      <c r="F162" s="1027"/>
      <c r="G162"/>
    </row>
    <row r="163" spans="1:7" ht="13.9" customHeight="1">
      <c r="A163" s="18"/>
      <c r="B163" s="18"/>
      <c r="D163" s="1027"/>
      <c r="E163" s="1027"/>
      <c r="F163" s="1027"/>
      <c r="G163"/>
    </row>
    <row r="164" spans="1:7" ht="13.9" customHeight="1">
      <c r="A164" s="18"/>
      <c r="B164" s="18"/>
      <c r="D164" s="44"/>
      <c r="G164"/>
    </row>
    <row r="165" spans="1:7" ht="13.9" customHeight="1">
      <c r="A165" s="271"/>
      <c r="B165" s="624" t="s">
        <v>132</v>
      </c>
      <c r="D165" s="1027" t="s">
        <v>1619</v>
      </c>
      <c r="E165" s="1027"/>
      <c r="F165" s="1027"/>
      <c r="G165"/>
    </row>
    <row r="166" spans="1:7" ht="13.9" customHeight="1">
      <c r="A166" s="18"/>
      <c r="B166" s="18"/>
      <c r="D166" s="1027"/>
      <c r="E166" s="1027"/>
      <c r="F166" s="1027"/>
    </row>
    <row r="167" spans="1:7" ht="13.9" customHeight="1">
      <c r="A167" s="18"/>
      <c r="B167" s="18"/>
      <c r="D167" s="1027"/>
      <c r="E167" s="1027"/>
      <c r="F167" s="1027"/>
    </row>
    <row r="168" spans="1:7" ht="13.9" customHeight="1">
      <c r="A168" s="18"/>
      <c r="B168" s="18"/>
      <c r="D168" s="1027"/>
      <c r="E168" s="1027"/>
      <c r="F168" s="1027"/>
    </row>
    <row r="169" spans="1:7" ht="13.9" customHeight="1">
      <c r="A169" s="18"/>
      <c r="B169" s="18"/>
      <c r="D169" s="44"/>
    </row>
    <row r="170" spans="1:7" ht="13.9" customHeight="1">
      <c r="A170" s="374"/>
      <c r="B170" s="624" t="s">
        <v>132</v>
      </c>
      <c r="C170" s="374"/>
      <c r="D170" s="1030" t="s">
        <v>2267</v>
      </c>
      <c r="E170" s="1030"/>
      <c r="F170" s="1030"/>
      <c r="G170" s="365"/>
    </row>
    <row r="171" spans="1:7" ht="13.9" customHeight="1">
      <c r="A171" s="374"/>
      <c r="B171" s="374"/>
      <c r="C171" s="374"/>
      <c r="D171" s="1030"/>
      <c r="E171" s="1030"/>
      <c r="F171" s="1030"/>
      <c r="G171" s="365"/>
    </row>
    <row r="172" spans="1:7" ht="13.9" customHeight="1">
      <c r="A172" s="374"/>
      <c r="B172" s="374"/>
      <c r="C172" s="374"/>
      <c r="D172" s="1030"/>
      <c r="E172" s="1030"/>
      <c r="F172" s="1030"/>
      <c r="G172" s="365"/>
    </row>
    <row r="173" spans="1:7" ht="12.75">
      <c r="A173" s="374"/>
      <c r="B173" s="374"/>
      <c r="C173" s="374"/>
      <c r="D173" s="376"/>
      <c r="E173" s="365"/>
      <c r="F173" s="365"/>
      <c r="G173" s="365"/>
    </row>
    <row r="174" spans="1:7" ht="12.75">
      <c r="A174" s="1033" t="s">
        <v>1447</v>
      </c>
      <c r="B174" s="1033"/>
      <c r="C174" s="1033"/>
      <c r="D174" s="1033"/>
      <c r="E174" s="1033"/>
      <c r="F174" s="1033"/>
      <c r="G174" s="1033"/>
    </row>
    <row r="175" spans="1:7" ht="12.75">
      <c r="D175" s="44"/>
    </row>
    <row r="176" spans="1:7" ht="12.75">
      <c r="C176" s="605"/>
      <c r="D176" s="1029" t="s">
        <v>1446</v>
      </c>
      <c r="E176" s="1029"/>
      <c r="F176" s="1029"/>
    </row>
    <row r="177" spans="1:6" ht="12.75">
      <c r="A177" s="190"/>
      <c r="B177" s="190"/>
      <c r="C177" s="190"/>
      <c r="D177" s="1031" t="s">
        <v>1479</v>
      </c>
      <c r="E177" s="1031"/>
      <c r="F177" s="1031"/>
    </row>
    <row r="178" spans="1:6" ht="12.75">
      <c r="A178" s="191"/>
      <c r="B178" s="191"/>
      <c r="C178" s="191"/>
    </row>
    <row r="179" spans="1:6" ht="14.25">
      <c r="A179" s="271"/>
      <c r="B179" s="624" t="s">
        <v>132</v>
      </c>
      <c r="D179" s="1032" t="s">
        <v>1810</v>
      </c>
      <c r="E179" s="1009"/>
      <c r="F179" s="1009"/>
    </row>
    <row r="180" spans="1:6" ht="14.25">
      <c r="A180" s="271"/>
      <c r="D180" s="313"/>
      <c r="E180" s="102"/>
      <c r="F180" s="102"/>
    </row>
    <row r="181" spans="1:6" ht="14.25">
      <c r="A181" s="271"/>
      <c r="B181" s="624" t="s">
        <v>132</v>
      </c>
      <c r="D181" s="1009" t="s">
        <v>1620</v>
      </c>
      <c r="E181" s="1009"/>
      <c r="F181" s="1009"/>
    </row>
    <row r="182" spans="1:6" ht="14.25">
      <c r="A182" s="271"/>
      <c r="D182" s="102"/>
      <c r="E182" s="102"/>
      <c r="F182" s="102"/>
    </row>
    <row r="183" spans="1:6" ht="14.25">
      <c r="A183" s="271"/>
      <c r="B183" s="624" t="s">
        <v>132</v>
      </c>
      <c r="D183" s="1034" t="s">
        <v>1890</v>
      </c>
      <c r="E183" s="1034"/>
      <c r="F183" s="1034"/>
    </row>
    <row r="184" spans="1:6" ht="13.7" customHeight="1">
      <c r="A184" s="271"/>
      <c r="D184" s="41" t="s">
        <v>944</v>
      </c>
      <c r="E184" s="972" t="s">
        <v>2262</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945</v>
      </c>
      <c r="E188" s="972" t="s">
        <v>1891</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132</v>
      </c>
      <c r="D196" s="979" t="s">
        <v>1621</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2355</v>
      </c>
      <c r="E200" s="1028"/>
      <c r="F200" s="1028"/>
    </row>
    <row r="201" spans="1:7" ht="12.75">
      <c r="D201" s="640"/>
      <c r="E201" s="640"/>
      <c r="F201" s="640"/>
    </row>
    <row r="202" spans="1:7" ht="14.25">
      <c r="A202" s="271"/>
      <c r="B202" s="624" t="s">
        <v>132</v>
      </c>
      <c r="D202" s="999" t="s">
        <v>1622</v>
      </c>
      <c r="E202" s="999"/>
      <c r="F202" s="999"/>
    </row>
    <row r="203" spans="1:7" ht="12.75"/>
    <row r="204" spans="1:7" ht="12.75">
      <c r="A204" s="1033" t="s">
        <v>1449</v>
      </c>
      <c r="B204" s="1033"/>
      <c r="C204" s="1033"/>
      <c r="D204" s="1033"/>
      <c r="E204" s="1033"/>
      <c r="F204" s="1033"/>
      <c r="G204" s="1033"/>
    </row>
    <row r="205" spans="1:7" ht="12.75"/>
    <row r="206" spans="1:7" ht="12.75">
      <c r="C206" s="606"/>
      <c r="D206" s="1029" t="s">
        <v>1448</v>
      </c>
      <c r="E206" s="1029"/>
      <c r="F206" s="1029"/>
    </row>
    <row r="207" spans="1:7" ht="12.75">
      <c r="A207" s="607"/>
      <c r="B207" s="607"/>
      <c r="C207" s="606"/>
      <c r="D207" s="1029" t="s">
        <v>733</v>
      </c>
      <c r="E207" s="1029"/>
      <c r="F207" s="1029"/>
    </row>
    <row r="208" spans="1:7" ht="12.75">
      <c r="A208" s="190"/>
      <c r="B208" s="190"/>
      <c r="C208" s="190"/>
      <c r="D208" s="1009" t="s">
        <v>1480</v>
      </c>
      <c r="E208" s="1009"/>
      <c r="F208" s="1009"/>
    </row>
    <row r="209" spans="1:6" ht="12.75">
      <c r="A209" s="190"/>
      <c r="B209" s="190"/>
      <c r="C209" s="190"/>
    </row>
    <row r="210" spans="1:6" ht="12.75">
      <c r="A210" s="190"/>
      <c r="B210" s="190"/>
      <c r="C210" s="190"/>
      <c r="D210" s="979" t="s">
        <v>1490</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2268</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1440</v>
      </c>
      <c r="C222" s="191"/>
      <c r="D222" s="999" t="s">
        <v>308</v>
      </c>
      <c r="E222" s="999"/>
      <c r="F222" s="999"/>
    </row>
    <row r="223" spans="1:6" ht="14.25">
      <c r="A223" s="271"/>
      <c r="C223" s="191"/>
      <c r="D223" s="1009" t="s">
        <v>1158</v>
      </c>
      <c r="E223" s="1009"/>
      <c r="F223" s="1009"/>
    </row>
    <row r="224" spans="1:6" ht="14.25">
      <c r="A224" s="271"/>
      <c r="B224" s="271"/>
      <c r="C224" s="191"/>
      <c r="D224" s="104" t="s">
        <v>1497</v>
      </c>
      <c r="E224" s="1039" t="s">
        <v>2170</v>
      </c>
      <c r="F224" s="1039"/>
    </row>
    <row r="225" spans="1:6" ht="12.75">
      <c r="D225" s="1032" t="s">
        <v>1473</v>
      </c>
      <c r="E225" s="1009"/>
      <c r="F225" s="1009"/>
    </row>
    <row r="226" spans="1:6" ht="12.75"/>
    <row r="227" spans="1:6" ht="14.25">
      <c r="A227" s="271"/>
      <c r="B227" s="624" t="s">
        <v>132</v>
      </c>
      <c r="D227" s="1009" t="s">
        <v>309</v>
      </c>
      <c r="E227" s="1009"/>
      <c r="F227" s="1009"/>
    </row>
    <row r="228" spans="1:6" ht="14.25">
      <c r="A228" s="271"/>
      <c r="D228" s="999" t="s">
        <v>1158</v>
      </c>
      <c r="E228" s="999"/>
      <c r="F228" s="999"/>
    </row>
    <row r="229" spans="1:6" ht="14.25">
      <c r="A229" s="271"/>
      <c r="B229" s="271"/>
      <c r="D229" s="63" t="s">
        <v>1498</v>
      </c>
      <c r="E229" s="1039" t="s">
        <v>2171</v>
      </c>
      <c r="F229" s="1039"/>
    </row>
    <row r="230" spans="1:6" ht="12.75">
      <c r="D230" s="1009" t="s">
        <v>1474</v>
      </c>
      <c r="E230" s="1009"/>
      <c r="F230" s="1009"/>
    </row>
    <row r="231" spans="1:6" ht="12.75"/>
    <row r="232" spans="1:6" ht="14.25">
      <c r="A232" s="271"/>
      <c r="B232" s="624" t="s">
        <v>132</v>
      </c>
      <c r="D232" s="1009" t="s">
        <v>677</v>
      </c>
      <c r="E232" s="1009"/>
      <c r="F232" s="1009"/>
    </row>
    <row r="233" spans="1:6" ht="14.25">
      <c r="A233" s="271"/>
      <c r="D233" s="44" t="s">
        <v>1158</v>
      </c>
    </row>
    <row r="234" spans="1:6" ht="14.25">
      <c r="A234" s="271"/>
      <c r="B234" s="271"/>
      <c r="D234" s="63" t="s">
        <v>1497</v>
      </c>
      <c r="E234" s="1039" t="s">
        <v>2172</v>
      </c>
      <c r="F234" s="1039"/>
    </row>
    <row r="235" spans="1:6" ht="14.25">
      <c r="A235" s="271"/>
      <c r="B235" s="271"/>
      <c r="D235" s="979" t="s">
        <v>1500</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1475</v>
      </c>
      <c r="E240" s="979"/>
      <c r="F240" s="979"/>
    </row>
    <row r="241" spans="1:6" ht="12.75">
      <c r="D241" s="44"/>
    </row>
    <row r="242" spans="1:6" ht="14.25">
      <c r="A242" s="271"/>
      <c r="B242" s="624" t="s">
        <v>132</v>
      </c>
      <c r="D242" s="1009" t="s">
        <v>678</v>
      </c>
      <c r="E242" s="1009"/>
      <c r="F242" s="1009"/>
    </row>
    <row r="243" spans="1:6" ht="14.25">
      <c r="A243" s="271"/>
      <c r="D243" s="1009" t="s">
        <v>1158</v>
      </c>
      <c r="E243" s="1009"/>
      <c r="F243" s="1009"/>
    </row>
    <row r="244" spans="1:6" ht="14.25">
      <c r="A244" s="271"/>
      <c r="B244" s="271"/>
      <c r="D244" s="63" t="s">
        <v>1497</v>
      </c>
      <c r="E244" s="1039" t="s">
        <v>2173</v>
      </c>
      <c r="F244" s="1039"/>
    </row>
    <row r="245" spans="1:6" ht="12.75">
      <c r="D245" s="1032" t="s">
        <v>2027</v>
      </c>
      <c r="E245" s="1009"/>
      <c r="F245" s="1009"/>
    </row>
    <row r="246" spans="1:6" ht="12.75">
      <c r="D246" s="102"/>
      <c r="E246" s="102"/>
      <c r="F246" s="102"/>
    </row>
    <row r="247" spans="1:6" ht="14.25">
      <c r="A247" s="271"/>
      <c r="B247" s="624" t="s">
        <v>132</v>
      </c>
      <c r="D247" s="1032" t="s">
        <v>2026</v>
      </c>
      <c r="E247" s="1009"/>
      <c r="F247" s="1009"/>
    </row>
    <row r="248" spans="1:6" ht="14.25">
      <c r="A248" s="271"/>
      <c r="D248" s="1009" t="s">
        <v>1158</v>
      </c>
      <c r="E248" s="1009"/>
      <c r="F248" s="1009"/>
    </row>
    <row r="249" spans="1:6" ht="14.25">
      <c r="A249" s="271"/>
      <c r="B249" s="271"/>
      <c r="D249" s="63" t="s">
        <v>1497</v>
      </c>
      <c r="E249" s="1039" t="s">
        <v>2174</v>
      </c>
      <c r="F249" s="1039"/>
    </row>
    <row r="250" spans="1:6" ht="12.75">
      <c r="D250" s="1032" t="s">
        <v>2028</v>
      </c>
      <c r="E250" s="1009"/>
      <c r="F250" s="1009"/>
    </row>
    <row r="251" spans="1:6" ht="12.75">
      <c r="D251" s="44"/>
    </row>
    <row r="252" spans="1:6" ht="14.25">
      <c r="A252" s="271"/>
      <c r="B252" s="624" t="s">
        <v>132</v>
      </c>
      <c r="D252" s="102" t="s">
        <v>1520</v>
      </c>
      <c r="E252" s="102"/>
      <c r="F252" s="102"/>
    </row>
    <row r="253" spans="1:6" ht="14.25">
      <c r="A253" s="271"/>
      <c r="B253"/>
      <c r="D253" s="972" t="s">
        <v>1831</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132</v>
      </c>
      <c r="D257" s="1009" t="s">
        <v>1067</v>
      </c>
      <c r="E257" s="1009"/>
      <c r="F257" s="1009"/>
    </row>
    <row r="258" spans="1:7" ht="14.25">
      <c r="A258" s="271"/>
      <c r="D258" s="102"/>
      <c r="E258" s="102"/>
      <c r="F258" s="102"/>
    </row>
    <row r="259" spans="1:7" ht="12.75">
      <c r="A259" s="1033" t="s">
        <v>1451</v>
      </c>
      <c r="B259" s="1033"/>
      <c r="C259" s="1033"/>
      <c r="D259" s="1033"/>
      <c r="E259" s="1033"/>
      <c r="F259" s="1033"/>
      <c r="G259" s="1033"/>
    </row>
    <row r="260" spans="1:7" ht="12.75">
      <c r="D260" s="44"/>
    </row>
    <row r="261" spans="1:7" ht="12.75">
      <c r="C261" s="605"/>
      <c r="D261" s="1000" t="s">
        <v>1450</v>
      </c>
      <c r="E261" s="1000"/>
      <c r="F261" s="1000"/>
    </row>
    <row r="262" spans="1:7" ht="12.75">
      <c r="A262" s="190"/>
      <c r="B262" s="190"/>
      <c r="C262" s="190"/>
      <c r="D262" s="999" t="s">
        <v>1481</v>
      </c>
      <c r="E262" s="999"/>
      <c r="F262" s="999"/>
    </row>
    <row r="263" spans="1:7" ht="12.75">
      <c r="A263" s="18"/>
      <c r="B263" s="18"/>
      <c r="C263" s="18"/>
      <c r="D263" s="3"/>
    </row>
    <row r="264" spans="1:7" ht="12.75">
      <c r="A264" s="18"/>
      <c r="C264" s="18"/>
      <c r="D264" s="1000" t="s">
        <v>223</v>
      </c>
      <c r="E264" s="1000"/>
      <c r="F264" s="1000"/>
      <c r="G264"/>
    </row>
    <row r="265" spans="1:7" ht="14.45" customHeight="1">
      <c r="A265" s="271"/>
      <c r="B265" s="624" t="s">
        <v>1440</v>
      </c>
      <c r="C265" s="900"/>
      <c r="D265" s="1020" t="s">
        <v>2108</v>
      </c>
      <c r="E265" s="1020"/>
      <c r="F265" s="1020"/>
      <c r="G265"/>
    </row>
    <row r="266" spans="1:7" ht="14.25">
      <c r="A266" s="271"/>
      <c r="B266" s="901"/>
      <c r="C266" s="900"/>
      <c r="D266" s="1020"/>
      <c r="E266" s="1020"/>
      <c r="F266" s="1020"/>
      <c r="G266"/>
    </row>
    <row r="267" spans="1:7" ht="14.25">
      <c r="A267" s="271"/>
      <c r="B267" s="901"/>
      <c r="C267" s="900"/>
      <c r="D267" s="1020"/>
      <c r="E267" s="1020"/>
      <c r="F267" s="1020"/>
      <c r="G267"/>
    </row>
    <row r="268" spans="1:7" ht="14.45" customHeight="1">
      <c r="A268" s="271"/>
      <c r="B268" s="901"/>
      <c r="C268" s="900"/>
      <c r="D268" s="1020"/>
      <c r="E268" s="1020"/>
      <c r="F268" s="1020"/>
      <c r="G268"/>
    </row>
    <row r="269" spans="1:7" ht="14.25">
      <c r="A269" s="271"/>
      <c r="B269" s="901"/>
      <c r="C269" s="900"/>
      <c r="D269" s="902"/>
      <c r="E269" s="902"/>
      <c r="F269" s="902"/>
      <c r="G269"/>
    </row>
    <row r="270" spans="1:7" ht="14.25">
      <c r="A270" s="271"/>
      <c r="B270" s="624" t="s">
        <v>1440</v>
      </c>
      <c r="C270" s="900"/>
      <c r="D270" s="1020" t="s">
        <v>2109</v>
      </c>
      <c r="E270" s="1020"/>
      <c r="F270" s="1020"/>
      <c r="G270"/>
    </row>
    <row r="271" spans="1:7" ht="14.25">
      <c r="A271" s="271"/>
      <c r="B271" s="901"/>
      <c r="C271" s="900"/>
      <c r="D271" s="1020"/>
      <c r="E271" s="1020"/>
      <c r="F271" s="1020"/>
      <c r="G271"/>
    </row>
    <row r="272" spans="1:7" ht="14.25">
      <c r="A272" s="271"/>
      <c r="B272" s="901"/>
      <c r="C272" s="900"/>
      <c r="D272" s="1020"/>
      <c r="E272" s="1020"/>
      <c r="F272" s="1020"/>
      <c r="G272"/>
    </row>
    <row r="273" spans="1:7" ht="14.25">
      <c r="A273" s="271"/>
      <c r="B273" s="901"/>
      <c r="C273" s="900"/>
      <c r="D273" s="1020"/>
      <c r="E273" s="1020"/>
      <c r="F273" s="1020"/>
      <c r="G273"/>
    </row>
    <row r="274" spans="1:7" ht="14.25">
      <c r="A274" s="271"/>
      <c r="B274" s="901"/>
      <c r="C274" s="900"/>
      <c r="D274" s="1020"/>
      <c r="E274" s="1020"/>
      <c r="F274" s="1020"/>
      <c r="G274"/>
    </row>
    <row r="275" spans="1:7" ht="14.25">
      <c r="A275" s="271"/>
      <c r="B275" s="901"/>
      <c r="C275" s="900"/>
      <c r="D275" s="902"/>
      <c r="E275" s="902"/>
      <c r="F275" s="902"/>
      <c r="G275"/>
    </row>
    <row r="276" spans="1:7" ht="14.25">
      <c r="A276" s="271"/>
      <c r="B276" s="901"/>
      <c r="C276" s="900"/>
      <c r="D276" s="1020" t="s">
        <v>1631</v>
      </c>
      <c r="E276" s="1020"/>
      <c r="F276" s="1020"/>
      <c r="G276"/>
    </row>
    <row r="277" spans="1:7" ht="14.25">
      <c r="A277" s="271"/>
      <c r="B277" s="901"/>
      <c r="C277" s="900"/>
      <c r="D277" s="1020"/>
      <c r="E277" s="1020"/>
      <c r="F277" s="1020"/>
      <c r="G277"/>
    </row>
    <row r="278" spans="1:7" ht="14.25">
      <c r="A278" s="271"/>
      <c r="B278" s="901"/>
      <c r="C278" s="900"/>
      <c r="D278" s="1020"/>
      <c r="E278" s="1020"/>
      <c r="F278" s="1020"/>
      <c r="G278"/>
    </row>
    <row r="279" spans="1:7" ht="14.25">
      <c r="A279" s="271"/>
      <c r="B279" s="901"/>
      <c r="C279" s="900"/>
      <c r="D279" s="1020"/>
      <c r="E279" s="1020"/>
      <c r="F279" s="1020"/>
      <c r="G279"/>
    </row>
    <row r="280" spans="1:7" ht="14.25">
      <c r="A280" s="271"/>
      <c r="B280" s="901"/>
      <c r="C280" s="900"/>
      <c r="D280" s="1020"/>
      <c r="E280" s="1020"/>
      <c r="F280" s="1020"/>
      <c r="G280"/>
    </row>
    <row r="281" spans="1:7" ht="14.25">
      <c r="A281" s="271"/>
      <c r="B281" s="271"/>
      <c r="D281" s="209"/>
      <c r="E281" s="209"/>
      <c r="F281" s="209"/>
      <c r="G281"/>
    </row>
    <row r="282" spans="1:7" s="460" customFormat="1" ht="14.45" customHeight="1">
      <c r="A282" s="289"/>
      <c r="B282" s="624" t="s">
        <v>1440</v>
      </c>
      <c r="C282" s="818"/>
      <c r="D282" s="1022" t="s">
        <v>2021</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1440</v>
      </c>
      <c r="D287" s="999" t="s">
        <v>1159</v>
      </c>
      <c r="E287" s="999"/>
      <c r="F287" s="999"/>
      <c r="G287"/>
    </row>
    <row r="288" spans="1:7" ht="14.25">
      <c r="A288" s="271"/>
      <c r="B288" s="271"/>
      <c r="D288" s="999" t="s">
        <v>1632</v>
      </c>
      <c r="E288" s="999"/>
      <c r="F288" s="999"/>
      <c r="G288"/>
    </row>
    <row r="289" spans="1:7" ht="14.25">
      <c r="A289" s="271"/>
      <c r="B289" s="271"/>
      <c r="D289" s="3" t="s">
        <v>1089</v>
      </c>
      <c r="E289" s="947" t="s">
        <v>2176</v>
      </c>
      <c r="F289" s="3"/>
    </row>
    <row r="290" spans="1:7" ht="12.75">
      <c r="D290" s="28"/>
    </row>
    <row r="291" spans="1:7" ht="14.25">
      <c r="A291" s="271"/>
      <c r="B291" s="624" t="s">
        <v>1440</v>
      </c>
      <c r="D291" s="979" t="s">
        <v>1633</v>
      </c>
      <c r="E291" s="979"/>
      <c r="F291" s="979"/>
    </row>
    <row r="292" spans="1:7" ht="14.25">
      <c r="A292" s="271"/>
      <c r="B292" s="271"/>
      <c r="D292" s="979"/>
      <c r="E292" s="979"/>
      <c r="F292" s="979"/>
    </row>
    <row r="293" spans="1:7" ht="12.75">
      <c r="D293" s="28"/>
    </row>
    <row r="294" spans="1:7" ht="12.75">
      <c r="A294" s="1033" t="s">
        <v>1453</v>
      </c>
      <c r="B294" s="1033"/>
      <c r="C294" s="1033"/>
      <c r="D294" s="1033"/>
      <c r="E294" s="1033"/>
      <c r="F294" s="1033"/>
      <c r="G294" s="1033"/>
    </row>
    <row r="295" spans="1:7" ht="12.75">
      <c r="D295" s="28"/>
    </row>
    <row r="296" spans="1:7" ht="12.75">
      <c r="C296" s="605"/>
      <c r="D296" s="1000" t="s">
        <v>1452</v>
      </c>
      <c r="E296" s="1000"/>
      <c r="F296" s="1000"/>
    </row>
    <row r="297" spans="1:7" ht="12.75">
      <c r="A297" s="190"/>
      <c r="B297" s="190"/>
      <c r="C297" s="190"/>
      <c r="D297" s="44"/>
    </row>
    <row r="298" spans="1:7" ht="12.75">
      <c r="A298" s="191"/>
      <c r="B298" s="191"/>
      <c r="C298" s="191"/>
      <c r="D298" s="1000" t="s">
        <v>225</v>
      </c>
      <c r="E298" s="1000"/>
      <c r="F298" s="1000"/>
    </row>
    <row r="299" spans="1:7" ht="14.45" customHeight="1">
      <c r="A299" s="271"/>
      <c r="B299" s="624" t="s">
        <v>132</v>
      </c>
      <c r="D299" s="972" t="s">
        <v>1973</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132</v>
      </c>
      <c r="C303" s="818"/>
      <c r="D303" s="1022" t="s">
        <v>2022</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2177</v>
      </c>
      <c r="F306" s="377"/>
      <c r="G306" s="819"/>
    </row>
    <row r="307" spans="1:7" ht="12.75">
      <c r="D307" s="212"/>
    </row>
    <row r="308" spans="1:7" ht="12.75">
      <c r="A308" s="1033" t="s">
        <v>1454</v>
      </c>
      <c r="B308" s="1033"/>
      <c r="C308" s="1033"/>
      <c r="D308" s="1033"/>
      <c r="E308" s="1033"/>
      <c r="F308" s="1033"/>
      <c r="G308" s="1033"/>
    </row>
    <row r="309" spans="1:7" ht="12.75">
      <c r="D309" s="212"/>
    </row>
    <row r="310" spans="1:7" ht="12.75">
      <c r="C310" s="190"/>
      <c r="D310" s="1006" t="s">
        <v>1634</v>
      </c>
      <c r="E310" s="1006"/>
      <c r="F310" s="1006"/>
    </row>
    <row r="311" spans="1:7" ht="12.75">
      <c r="C311" s="190"/>
      <c r="D311" s="1006"/>
      <c r="E311" s="1006"/>
      <c r="F311" s="1006"/>
    </row>
    <row r="312" spans="1:7" ht="12.75">
      <c r="A312" s="191"/>
      <c r="B312" s="191"/>
      <c r="C312" s="191"/>
      <c r="D312" s="3"/>
    </row>
    <row r="313" spans="1:7" ht="12.75">
      <c r="C313" s="191"/>
      <c r="D313" s="1000" t="s">
        <v>173</v>
      </c>
      <c r="E313" s="1000"/>
      <c r="F313" s="1000"/>
    </row>
    <row r="314" spans="1:7" ht="14.25">
      <c r="A314" s="271"/>
      <c r="B314" s="271"/>
      <c r="D314" s="1024" t="s">
        <v>1635</v>
      </c>
      <c r="E314" s="1024"/>
      <c r="F314" s="1024"/>
    </row>
    <row r="315" spans="1:7" ht="12" customHeight="1"/>
    <row r="316" spans="1:7" ht="14.45" customHeight="1">
      <c r="A316" s="271"/>
      <c r="B316" s="624" t="s">
        <v>132</v>
      </c>
      <c r="D316" s="979" t="s">
        <v>1636</v>
      </c>
      <c r="E316" s="979"/>
      <c r="F316" s="979"/>
    </row>
    <row r="317" spans="1:7" ht="14.25">
      <c r="A317" s="271"/>
      <c r="B317" s="271"/>
      <c r="D317" s="979"/>
      <c r="E317" s="979"/>
      <c r="F317" s="979"/>
    </row>
    <row r="318" spans="1:7" ht="12.75"/>
    <row r="319" spans="1:7" ht="14.45" customHeight="1">
      <c r="A319" s="271"/>
      <c r="B319" s="624" t="s">
        <v>132</v>
      </c>
      <c r="D319" s="979" t="s">
        <v>1637</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132</v>
      </c>
      <c r="D323" s="979" t="s">
        <v>1638</v>
      </c>
      <c r="E323" s="979"/>
      <c r="F323" s="979"/>
    </row>
    <row r="324" spans="1:7" ht="14.25">
      <c r="A324" s="271"/>
      <c r="B324" s="271"/>
      <c r="D324" s="979"/>
      <c r="E324" s="979"/>
      <c r="F324" s="979"/>
    </row>
    <row r="325" spans="1:7" ht="12.75">
      <c r="A325" s="18"/>
      <c r="B325" s="18"/>
      <c r="D325" s="44"/>
    </row>
    <row r="326" spans="1:7" ht="12.75">
      <c r="A326" s="1033" t="s">
        <v>1441</v>
      </c>
      <c r="B326" s="1033"/>
      <c r="C326" s="1033"/>
      <c r="D326" s="1033"/>
      <c r="E326" s="1033"/>
      <c r="F326" s="1033"/>
      <c r="G326" s="1033"/>
    </row>
    <row r="327" spans="1:7" ht="12.75">
      <c r="A327" s="18"/>
      <c r="B327" s="18"/>
      <c r="D327" s="44"/>
      <c r="G327"/>
    </row>
    <row r="328" spans="1:7" ht="12.75">
      <c r="C328" s="18"/>
      <c r="D328" s="1000" t="s">
        <v>174</v>
      </c>
      <c r="E328" s="1000"/>
      <c r="F328" s="1000"/>
      <c r="G328"/>
    </row>
    <row r="329" spans="1:7" ht="12.75">
      <c r="C329" s="18"/>
      <c r="D329" s="999" t="s">
        <v>1482</v>
      </c>
      <c r="E329" s="999"/>
      <c r="F329" s="999"/>
      <c r="G329"/>
    </row>
    <row r="330" spans="1:7" ht="12.75">
      <c r="C330" s="18"/>
      <c r="D330" s="182"/>
      <c r="G330"/>
    </row>
    <row r="331" spans="1:7" ht="12.75">
      <c r="B331" s="624" t="s">
        <v>132</v>
      </c>
      <c r="D331" s="999" t="s">
        <v>1639</v>
      </c>
      <c r="E331" s="999"/>
      <c r="F331" s="999"/>
      <c r="G331"/>
    </row>
    <row r="332" spans="1:7" ht="14.25">
      <c r="A332" s="271"/>
      <c r="B332" s="271"/>
      <c r="D332" s="431"/>
      <c r="G332"/>
    </row>
    <row r="333" spans="1:7" ht="14.25">
      <c r="A333" s="271"/>
      <c r="B333" s="624" t="s">
        <v>132</v>
      </c>
      <c r="D333" s="999" t="s">
        <v>1640</v>
      </c>
      <c r="E333" s="999"/>
      <c r="F333" s="999"/>
      <c r="G333"/>
    </row>
    <row r="334" spans="1:7" ht="12.75">
      <c r="G334"/>
    </row>
    <row r="335" spans="1:7" ht="14.45" customHeight="1">
      <c r="A335" s="271"/>
      <c r="B335" s="624" t="s">
        <v>132</v>
      </c>
      <c r="D335" s="979" t="s">
        <v>1646</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132</v>
      </c>
      <c r="D351" s="979" t="s">
        <v>1641</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132</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48" t="s">
        <v>1319</v>
      </c>
      <c r="E368" s="1048"/>
      <c r="F368" s="1048"/>
    </row>
    <row r="369" spans="1:6" ht="13.5" thickTop="1">
      <c r="D369" s="1049" t="s">
        <v>1642</v>
      </c>
      <c r="E369" s="1049"/>
      <c r="F369" s="1049"/>
    </row>
    <row r="370" spans="1:6" ht="12.75">
      <c r="D370" s="44"/>
    </row>
    <row r="371" spans="1:6" ht="14.25">
      <c r="A371" s="271"/>
      <c r="B371" s="624" t="s">
        <v>132</v>
      </c>
      <c r="C371" s="365"/>
      <c r="D371" s="1016" t="s">
        <v>2269</v>
      </c>
      <c r="E371" s="1016"/>
      <c r="F371" s="1016"/>
    </row>
    <row r="372" spans="1:6" ht="14.25">
      <c r="A372" s="271"/>
      <c r="B372" s="271"/>
      <c r="C372" s="365"/>
      <c r="D372" s="431"/>
    </row>
    <row r="373" spans="1:6" ht="14.25">
      <c r="A373" s="271"/>
      <c r="B373" s="624" t="s">
        <v>132</v>
      </c>
      <c r="C373" s="365"/>
      <c r="D373" s="986" t="s">
        <v>2270</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132</v>
      </c>
      <c r="C384" s="365"/>
      <c r="D384" s="1036" t="s">
        <v>1643</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1644</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1647</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132</v>
      </c>
      <c r="C417" s="365"/>
      <c r="D417" s="1036" t="s">
        <v>1645</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132</v>
      </c>
      <c r="C420" s="365"/>
      <c r="D420" s="1026" t="s">
        <v>1970</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132</v>
      </c>
      <c r="C426" s="365"/>
      <c r="D426" s="1026" t="s">
        <v>1951</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1966</v>
      </c>
      <c r="E430" s="1055"/>
      <c r="F430" s="1055"/>
    </row>
    <row r="431" spans="1:6" ht="12.75">
      <c r="D431" s="44"/>
    </row>
    <row r="432" spans="1:6" ht="14.45" customHeight="1">
      <c r="A432" s="271"/>
      <c r="B432" s="624" t="s">
        <v>132</v>
      </c>
      <c r="C432" s="207"/>
      <c r="D432" s="979" t="s">
        <v>2271</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132</v>
      </c>
      <c r="C464" s="207"/>
      <c r="D464" s="1001" t="s">
        <v>2181</v>
      </c>
      <c r="E464" s="999"/>
      <c r="F464" s="999"/>
    </row>
    <row r="465" spans="1:6" ht="12.75">
      <c r="D465"/>
      <c r="E465" s="948" t="s">
        <v>2180</v>
      </c>
      <c r="F465" s="948"/>
    </row>
    <row r="466" spans="1:6" ht="13.7" customHeight="1">
      <c r="D466" s="972" t="s">
        <v>1948</v>
      </c>
      <c r="E466" s="979"/>
      <c r="F466" s="979"/>
    </row>
    <row r="467" spans="1:6" ht="13.7" customHeight="1">
      <c r="D467" s="979"/>
      <c r="E467" s="979"/>
      <c r="F467" s="979"/>
    </row>
    <row r="468" spans="1:6" ht="12.75">
      <c r="D468" s="44"/>
    </row>
    <row r="469" spans="1:6" ht="14.45" customHeight="1">
      <c r="A469" s="271"/>
      <c r="B469" s="624" t="s">
        <v>132</v>
      </c>
      <c r="C469" s="207"/>
      <c r="D469" s="979" t="s">
        <v>1648</v>
      </c>
      <c r="E469" s="979"/>
      <c r="F469" s="979"/>
    </row>
    <row r="470" spans="1:6" ht="12.75">
      <c r="D470" s="979"/>
      <c r="E470" s="979"/>
      <c r="F470" s="979"/>
    </row>
    <row r="471" spans="1:6" ht="12.75">
      <c r="D471" s="979"/>
      <c r="E471" s="979"/>
      <c r="F471" s="979"/>
    </row>
    <row r="472" spans="1:6" ht="12.75">
      <c r="D472" s="24"/>
      <c r="E472" s="24"/>
      <c r="F472" s="24"/>
    </row>
    <row r="473" spans="1:6" ht="14.25">
      <c r="B473" s="624" t="s">
        <v>132</v>
      </c>
      <c r="C473" s="271"/>
      <c r="D473" s="972" t="s">
        <v>1795</v>
      </c>
      <c r="E473" s="979"/>
      <c r="F473" s="979"/>
    </row>
    <row r="474" spans="1:6" ht="12.75">
      <c r="D474" s="979"/>
      <c r="E474" s="979"/>
      <c r="F474" s="979"/>
    </row>
    <row r="475" spans="1:6" ht="12.75">
      <c r="D475" s="44"/>
      <c r="E475" s="44"/>
    </row>
    <row r="476" spans="1:6" ht="14.25">
      <c r="B476" s="624" t="s">
        <v>132</v>
      </c>
      <c r="C476" s="271"/>
      <c r="D476" s="979" t="s">
        <v>1649</v>
      </c>
      <c r="E476" s="979"/>
      <c r="F476" s="979"/>
    </row>
    <row r="477" spans="1:6" ht="12.75">
      <c r="D477" s="979"/>
      <c r="E477" s="979"/>
      <c r="F477" s="979"/>
    </row>
    <row r="478" spans="1:6" ht="12.75">
      <c r="D478" s="979"/>
      <c r="E478" s="979"/>
      <c r="F478" s="979"/>
    </row>
    <row r="479" spans="1:6" ht="12.75">
      <c r="D479" s="979"/>
      <c r="E479" s="979"/>
      <c r="F479" s="979"/>
    </row>
    <row r="480" spans="1:6" ht="12.75">
      <c r="B480" s="624" t="s">
        <v>132</v>
      </c>
      <c r="D480" s="979"/>
      <c r="E480" s="979"/>
      <c r="F480" s="979"/>
    </row>
    <row r="481" spans="2:6" ht="12.75">
      <c r="D481" s="979"/>
      <c r="E481" s="979"/>
      <c r="F481" s="979"/>
    </row>
    <row r="482" spans="2:6" ht="12.75">
      <c r="D482" s="979"/>
      <c r="E482" s="979"/>
      <c r="F482" s="979"/>
    </row>
    <row r="483" spans="2:6" ht="12.75">
      <c r="B483" s="624" t="s">
        <v>132</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132</v>
      </c>
      <c r="D487" s="979"/>
      <c r="E487" s="979"/>
      <c r="F487" s="979"/>
    </row>
    <row r="488" spans="2:6" ht="12.75">
      <c r="D488" s="979"/>
      <c r="E488" s="979"/>
      <c r="F488" s="979"/>
    </row>
    <row r="489" spans="2:6" ht="12.75">
      <c r="B489" s="624" t="s">
        <v>132</v>
      </c>
      <c r="D489" s="979"/>
      <c r="E489" s="979"/>
      <c r="F489" s="979"/>
    </row>
    <row r="490" spans="2:6" ht="12.75">
      <c r="D490" s="979"/>
      <c r="E490" s="979"/>
      <c r="F490" s="979"/>
    </row>
    <row r="491" spans="2:6" ht="13.7" customHeight="1">
      <c r="B491" s="624" t="s">
        <v>132</v>
      </c>
      <c r="D491" s="979" t="s">
        <v>1650</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132</v>
      </c>
      <c r="D497" s="999" t="s">
        <v>1483</v>
      </c>
      <c r="E497" s="999"/>
      <c r="F497" s="999"/>
    </row>
    <row r="498" spans="1:7" ht="12.75">
      <c r="A498" s="44"/>
      <c r="B498" s="44"/>
    </row>
    <row r="499" spans="1:7" ht="12.75">
      <c r="A499" s="1033" t="s">
        <v>1442</v>
      </c>
      <c r="B499" s="1033"/>
      <c r="C499" s="1033"/>
      <c r="D499" s="1033"/>
      <c r="E499" s="1033"/>
      <c r="F499" s="1033"/>
      <c r="G499" s="1033"/>
    </row>
    <row r="500" spans="1:7" ht="12.75">
      <c r="A500" s="44"/>
      <c r="B500" s="44"/>
    </row>
    <row r="501" spans="1:7" ht="12.75">
      <c r="D501" s="1050" t="s">
        <v>1165</v>
      </c>
      <c r="E501" s="1050"/>
      <c r="F501" s="1050"/>
    </row>
    <row r="502" spans="1:7" ht="12.75">
      <c r="D502" s="1016" t="s">
        <v>1476</v>
      </c>
      <c r="E502" s="1016"/>
      <c r="F502" s="1016"/>
    </row>
    <row r="503" spans="1:7" ht="14.25">
      <c r="A503" s="271"/>
      <c r="B503" s="271"/>
      <c r="D503" s="431"/>
    </row>
    <row r="504" spans="1:7" ht="14.25">
      <c r="A504" s="271"/>
      <c r="B504" s="624" t="s">
        <v>132</v>
      </c>
      <c r="D504" s="1036" t="s">
        <v>1651</v>
      </c>
      <c r="E504" s="1036"/>
      <c r="F504" s="1036"/>
    </row>
    <row r="505" spans="1:7" ht="14.25">
      <c r="A505" s="271"/>
      <c r="B505" s="271"/>
      <c r="D505" s="1036"/>
      <c r="E505" s="1036"/>
      <c r="F505" s="1036"/>
    </row>
    <row r="506" spans="1:7" ht="14.25">
      <c r="A506" s="271"/>
      <c r="B506" s="271"/>
      <c r="D506" s="44"/>
    </row>
    <row r="507" spans="1:7" ht="14.25">
      <c r="A507" s="271"/>
      <c r="B507" s="624" t="s">
        <v>132</v>
      </c>
      <c r="D507" s="1051" t="s">
        <v>1967</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132</v>
      </c>
      <c r="D512" s="999" t="s">
        <v>1653</v>
      </c>
      <c r="E512" s="999"/>
      <c r="F512" s="999"/>
      <c r="G512"/>
    </row>
    <row r="513" spans="1:7" ht="12.75">
      <c r="D513" s="44"/>
      <c r="G513"/>
    </row>
    <row r="514" spans="1:7" ht="14.25">
      <c r="A514" s="271"/>
      <c r="B514" s="624" t="s">
        <v>132</v>
      </c>
      <c r="D514" s="979" t="s">
        <v>1654</v>
      </c>
      <c r="E514" s="979"/>
      <c r="F514" s="979"/>
      <c r="G514"/>
    </row>
    <row r="515" spans="1:7" ht="12.75">
      <c r="D515" s="979"/>
      <c r="E515" s="979"/>
      <c r="F515" s="979"/>
      <c r="G515"/>
    </row>
    <row r="516" spans="1:7" ht="12.75">
      <c r="D516" s="431"/>
      <c r="G516"/>
    </row>
    <row r="517" spans="1:7" ht="14.25">
      <c r="A517" s="271"/>
      <c r="B517" s="624" t="s">
        <v>132</v>
      </c>
      <c r="D517" s="999" t="s">
        <v>1652</v>
      </c>
      <c r="E517" s="999"/>
      <c r="F517" s="999"/>
    </row>
    <row r="518" spans="1:7" ht="14.25">
      <c r="A518" s="271"/>
      <c r="B518" s="271"/>
      <c r="D518" s="44"/>
    </row>
    <row r="519" spans="1:7" ht="12.75">
      <c r="A519" s="1033" t="s">
        <v>1443</v>
      </c>
      <c r="B519" s="1033"/>
      <c r="C519" s="1033"/>
      <c r="D519" s="1033"/>
      <c r="E519" s="1033"/>
      <c r="F519" s="1033"/>
      <c r="G519" s="1033"/>
    </row>
    <row r="520" spans="1:7" ht="12" customHeight="1">
      <c r="A520" s="271"/>
      <c r="B520" s="271"/>
      <c r="D520" s="44"/>
    </row>
    <row r="521" spans="1:7" ht="12.75">
      <c r="B521" s="624" t="s">
        <v>1440</v>
      </c>
      <c r="C521" s="190"/>
      <c r="D521" s="1007" t="s">
        <v>1595</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132</v>
      </c>
      <c r="C526" s="207"/>
      <c r="D526" s="979" t="s">
        <v>2272</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1440</v>
      </c>
      <c r="C529" s="191"/>
      <c r="D529" s="949" t="s">
        <v>2182</v>
      </c>
      <c r="E529" s="950"/>
      <c r="G529"/>
    </row>
    <row r="530" spans="1:7" ht="12.75">
      <c r="A530" s="191"/>
      <c r="B530" s="191"/>
      <c r="C530" s="191"/>
      <c r="D530" s="950"/>
      <c r="E530" s="104" t="s">
        <v>2183</v>
      </c>
      <c r="G530"/>
    </row>
    <row r="531" spans="1:7" ht="14.25">
      <c r="A531" s="271"/>
      <c r="B531"/>
      <c r="D531" s="1036" t="s">
        <v>2273</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1455</v>
      </c>
      <c r="B535" s="1033"/>
      <c r="C535" s="1033"/>
      <c r="D535" s="1033"/>
      <c r="E535" s="1033"/>
      <c r="F535" s="1033"/>
      <c r="G535" s="1033"/>
    </row>
    <row r="536" spans="1:7" ht="12" customHeight="1">
      <c r="A536" s="44"/>
      <c r="B536" s="44"/>
      <c r="C536" s="207"/>
      <c r="E536" s="44"/>
    </row>
    <row r="537" spans="1:7" ht="12.75">
      <c r="C537" s="207"/>
      <c r="D537" s="1000" t="s">
        <v>1484</v>
      </c>
      <c r="E537" s="1000"/>
      <c r="F537" s="1000"/>
    </row>
    <row r="538" spans="1:7" ht="12.75"/>
    <row r="539" spans="1:7" ht="12.75">
      <c r="B539" s="624" t="s">
        <v>132</v>
      </c>
      <c r="D539" s="979" t="s">
        <v>1623</v>
      </c>
      <c r="E539" s="979"/>
      <c r="F539" s="979"/>
    </row>
    <row r="540" spans="1:7" ht="12.75">
      <c r="D540" s="979"/>
      <c r="E540" s="979"/>
      <c r="F540" s="979"/>
    </row>
    <row r="541" spans="1:7" ht="12" customHeight="1">
      <c r="A541" s="207"/>
      <c r="B541" s="207"/>
      <c r="C541" s="207"/>
      <c r="D541" s="44"/>
    </row>
    <row r="542" spans="1:7" ht="14.25">
      <c r="A542" s="271"/>
      <c r="B542" s="624" t="s">
        <v>132</v>
      </c>
      <c r="C542" s="207"/>
      <c r="D542" s="979" t="s">
        <v>1624</v>
      </c>
      <c r="E542" s="979"/>
      <c r="F542" s="979"/>
    </row>
    <row r="543" spans="1:7" ht="12.75">
      <c r="A543" s="207"/>
      <c r="B543" s="207"/>
      <c r="C543" s="207"/>
      <c r="D543" s="979"/>
      <c r="E543" s="979"/>
      <c r="F543" s="979"/>
    </row>
    <row r="544" spans="1:7" ht="12" customHeight="1">
      <c r="A544" s="207"/>
      <c r="B544" s="207"/>
      <c r="C544" s="207"/>
      <c r="D544" s="44"/>
    </row>
    <row r="545" spans="1:7" ht="12.75">
      <c r="A545" s="1011" t="s">
        <v>1493</v>
      </c>
      <c r="B545" s="1011"/>
      <c r="C545" s="1011"/>
      <c r="D545" s="1011"/>
      <c r="E545" s="1011"/>
      <c r="F545" s="1011"/>
      <c r="G545" s="1011"/>
    </row>
    <row r="546" spans="1:7" ht="12" customHeight="1">
      <c r="A546" s="44"/>
      <c r="B546" s="44"/>
      <c r="C546" s="207"/>
      <c r="D546" s="44"/>
    </row>
    <row r="547" spans="1:7" ht="12.75">
      <c r="C547" s="207"/>
      <c r="D547" s="1000" t="s">
        <v>175</v>
      </c>
      <c r="E547" s="1000"/>
      <c r="F547" s="1000"/>
    </row>
    <row r="548" spans="1:7" ht="12.75">
      <c r="C548" s="207"/>
      <c r="D548" s="999" t="s">
        <v>1604</v>
      </c>
      <c r="E548" s="999"/>
      <c r="F548" s="999"/>
    </row>
    <row r="549" spans="1:7" ht="12.75">
      <c r="C549" s="207"/>
      <c r="D549" s="44"/>
      <c r="E549" s="44"/>
      <c r="F549" s="44"/>
    </row>
    <row r="550" spans="1:7" ht="14.25">
      <c r="A550" s="271"/>
      <c r="B550" s="624" t="s">
        <v>1440</v>
      </c>
      <c r="C550" s="207"/>
      <c r="D550" s="999" t="s">
        <v>1160</v>
      </c>
      <c r="E550" s="999"/>
      <c r="F550" s="999"/>
    </row>
    <row r="551" spans="1:7" ht="12" customHeight="1">
      <c r="A551" s="207"/>
      <c r="B551" s="207"/>
      <c r="C551" s="207"/>
      <c r="D551" s="44"/>
      <c r="E551"/>
      <c r="F551"/>
      <c r="G551"/>
    </row>
    <row r="552" spans="1:7" ht="14.45" customHeight="1">
      <c r="A552" s="271"/>
      <c r="B552" s="624" t="s">
        <v>1440</v>
      </c>
      <c r="C552" s="207"/>
      <c r="D552" s="979" t="s">
        <v>1603</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1440</v>
      </c>
      <c r="C555" s="207"/>
      <c r="D555" s="979" t="s">
        <v>1605</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1440</v>
      </c>
      <c r="C558" s="207"/>
      <c r="D558" s="979" t="s">
        <v>1606</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1440</v>
      </c>
      <c r="C561" s="207"/>
      <c r="D561" s="979" t="s">
        <v>1607</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132</v>
      </c>
      <c r="C565" s="207"/>
      <c r="D565" s="972" t="s">
        <v>1705</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1440</v>
      </c>
      <c r="C568" s="207"/>
      <c r="D568" s="979" t="s">
        <v>1608</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1440</v>
      </c>
      <c r="C571" s="207"/>
      <c r="D571" s="999" t="s">
        <v>1609</v>
      </c>
      <c r="E571" s="999"/>
      <c r="F571" s="999"/>
      <c r="G571"/>
    </row>
    <row r="572" spans="1:7" ht="14.25">
      <c r="A572" s="271"/>
      <c r="B572" s="271"/>
      <c r="C572" s="207"/>
      <c r="D572" s="1040" t="s">
        <v>2184</v>
      </c>
      <c r="E572" s="1040"/>
      <c r="F572" s="1040"/>
      <c r="G572"/>
    </row>
    <row r="573" spans="1:7" ht="12.75">
      <c r="A573" s="18"/>
      <c r="B573" s="18"/>
      <c r="C573" s="207"/>
      <c r="D573" s="951"/>
      <c r="E573" s="104" t="s">
        <v>2185</v>
      </c>
      <c r="F573" s="952"/>
      <c r="G573"/>
    </row>
    <row r="574" spans="1:7" ht="15" customHeight="1">
      <c r="A574" s="18"/>
      <c r="B574" s="18"/>
      <c r="C574" s="207"/>
      <c r="D574" s="972" t="s">
        <v>1829</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1440</v>
      </c>
      <c r="C584" s="207"/>
      <c r="D584" s="999" t="s">
        <v>1610</v>
      </c>
      <c r="E584" s="999"/>
      <c r="F584" s="999"/>
      <c r="G584"/>
    </row>
    <row r="585" spans="1:7" ht="13.7" customHeight="1">
      <c r="C585" s="207"/>
      <c r="D585" s="979" t="s">
        <v>1611</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1440</v>
      </c>
      <c r="C589" s="207"/>
      <c r="D589" s="979" t="s">
        <v>2274</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132</v>
      </c>
      <c r="C594" s="191"/>
      <c r="D594" s="1032" t="s">
        <v>1893</v>
      </c>
      <c r="E594" s="1009"/>
      <c r="F594" s="1009"/>
    </row>
    <row r="595" spans="1:7" ht="12.75">
      <c r="A595" s="191"/>
      <c r="B595" s="191"/>
      <c r="C595" s="191"/>
    </row>
    <row r="596" spans="1:7" ht="12.75">
      <c r="A596" s="207"/>
      <c r="B596" s="207"/>
      <c r="C596" s="207"/>
      <c r="D596" s="24"/>
      <c r="E596" s="24"/>
      <c r="F596" s="24"/>
    </row>
    <row r="597" spans="1:7" ht="12.75">
      <c r="A597" s="1033" t="s">
        <v>1457</v>
      </c>
      <c r="B597" s="1033"/>
      <c r="C597" s="1033"/>
      <c r="D597" s="1033"/>
      <c r="E597" s="1033"/>
      <c r="F597" s="1033"/>
      <c r="G597" s="1033"/>
    </row>
    <row r="598" spans="1:7" ht="12.75">
      <c r="A598" s="207"/>
      <c r="B598" s="207"/>
      <c r="C598" s="207"/>
    </row>
    <row r="599" spans="1:7" ht="12.75">
      <c r="C599" s="190"/>
      <c r="D599" s="1006" t="s">
        <v>176</v>
      </c>
      <c r="E599" s="1006"/>
      <c r="F599" s="1006"/>
    </row>
    <row r="600" spans="1:7" ht="12.75">
      <c r="C600" s="190"/>
      <c r="D600" s="1002" t="s">
        <v>1509</v>
      </c>
      <c r="E600" s="1002"/>
      <c r="F600" s="1002"/>
    </row>
    <row r="601" spans="1:7" ht="12.75">
      <c r="C601" s="190"/>
      <c r="D601" s="375"/>
    </row>
    <row r="602" spans="1:7" ht="14.25">
      <c r="A602" s="271"/>
      <c r="B602" s="624" t="s">
        <v>1440</v>
      </c>
      <c r="D602" s="1002" t="s">
        <v>1161</v>
      </c>
      <c r="E602" s="1002"/>
      <c r="F602" s="1002"/>
    </row>
    <row r="603" spans="1:7" ht="12.75">
      <c r="A603" s="18"/>
      <c r="B603" s="18"/>
      <c r="D603" s="365"/>
    </row>
    <row r="604" spans="1:7" ht="14.45" customHeight="1">
      <c r="A604" s="271"/>
      <c r="B604" s="624" t="s">
        <v>1440</v>
      </c>
      <c r="D604" s="1002" t="s">
        <v>2275</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132</v>
      </c>
      <c r="D608" s="1002" t="s">
        <v>1510</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1440</v>
      </c>
      <c r="D613" s="1002" t="s">
        <v>2276</v>
      </c>
      <c r="E613" s="1002"/>
      <c r="F613" s="1002"/>
    </row>
    <row r="614" spans="1:7" ht="14.25">
      <c r="A614" s="271"/>
      <c r="B614" s="271"/>
      <c r="D614" s="1002"/>
      <c r="E614" s="1002"/>
      <c r="F614" s="1002"/>
    </row>
    <row r="615" spans="1:7" ht="14.25">
      <c r="A615" s="271"/>
      <c r="B615" s="271"/>
      <c r="D615" s="375"/>
    </row>
    <row r="616" spans="1:7" ht="14.45" customHeight="1">
      <c r="A616" s="271"/>
      <c r="B616" s="624" t="s">
        <v>132</v>
      </c>
      <c r="D616" s="1002" t="s">
        <v>1514</v>
      </c>
      <c r="E616" s="1002"/>
      <c r="F616" s="1002"/>
    </row>
    <row r="617" spans="1:7" ht="14.25">
      <c r="A617" s="271"/>
      <c r="B617" s="271"/>
      <c r="D617" s="1002"/>
      <c r="E617" s="1002"/>
      <c r="F617" s="1002"/>
    </row>
    <row r="618" spans="1:7" ht="14.25">
      <c r="A618" s="271"/>
      <c r="B618" s="271"/>
      <c r="D618" s="375"/>
    </row>
    <row r="619" spans="1:7" ht="14.25">
      <c r="A619" s="271"/>
      <c r="B619" s="624" t="s">
        <v>1440</v>
      </c>
      <c r="D619" s="1002" t="s">
        <v>1162</v>
      </c>
      <c r="E619" s="1002"/>
      <c r="F619" s="1002"/>
    </row>
    <row r="620" spans="1:7" ht="12.75">
      <c r="A620" s="18"/>
      <c r="B620" s="18"/>
    </row>
    <row r="621" spans="1:7" ht="12.75">
      <c r="A621" s="1033" t="s">
        <v>1459</v>
      </c>
      <c r="B621" s="1033"/>
      <c r="C621" s="1033"/>
      <c r="D621" s="1033"/>
      <c r="E621" s="1033"/>
      <c r="F621" s="1033"/>
      <c r="G621" s="1033"/>
    </row>
    <row r="622" spans="1:7" ht="12.75">
      <c r="A622" s="63"/>
      <c r="B622" s="63"/>
    </row>
    <row r="623" spans="1:7" ht="12.75">
      <c r="C623" s="191"/>
      <c r="D623" s="1029" t="s">
        <v>1458</v>
      </c>
      <c r="E623" s="1029"/>
      <c r="F623" s="1029"/>
    </row>
    <row r="624" spans="1:7" ht="12.75">
      <c r="C624" s="191"/>
      <c r="D624" s="1009" t="s">
        <v>1485</v>
      </c>
      <c r="E624" s="1009"/>
      <c r="F624" s="1009"/>
    </row>
    <row r="625" spans="1:7" ht="12.75">
      <c r="C625" s="191"/>
      <c r="D625" s="102"/>
      <c r="E625" s="102"/>
      <c r="F625" s="102"/>
    </row>
    <row r="626" spans="1:7" ht="14.25" customHeight="1">
      <c r="A626" s="271"/>
      <c r="B626" s="624" t="s">
        <v>1440</v>
      </c>
      <c r="D626" s="1052" t="s">
        <v>2187</v>
      </c>
      <c r="E626" s="1053"/>
      <c r="F626" s="1053"/>
    </row>
    <row r="627" spans="1:7" ht="12.75">
      <c r="D627" s="1053"/>
      <c r="E627" s="1053"/>
      <c r="F627" s="1053"/>
    </row>
    <row r="628" spans="1:7" ht="12.75">
      <c r="D628" s="953"/>
      <c r="E628" s="947" t="s">
        <v>2186</v>
      </c>
      <c r="F628" s="953"/>
    </row>
    <row r="629" spans="1:7" ht="12.75">
      <c r="A629" s="63"/>
      <c r="B629" s="63"/>
    </row>
    <row r="630" spans="1:7" ht="12" customHeight="1">
      <c r="A630" s="1033" t="s">
        <v>1461</v>
      </c>
      <c r="B630" s="1033"/>
      <c r="C630" s="1033"/>
      <c r="D630" s="1033"/>
      <c r="E630" s="1033"/>
      <c r="F630" s="1033"/>
      <c r="G630" s="1033"/>
    </row>
    <row r="631" spans="1:7" ht="12.75">
      <c r="A631" s="44"/>
      <c r="B631" s="44"/>
    </row>
    <row r="632" spans="1:7" ht="12.75">
      <c r="C632" s="190"/>
      <c r="D632" s="1000" t="s">
        <v>1460</v>
      </c>
      <c r="E632" s="1000"/>
      <c r="F632" s="1000"/>
    </row>
    <row r="633" spans="1:7" ht="12.75">
      <c r="A633" s="191"/>
      <c r="B633" s="191"/>
      <c r="C633" s="191"/>
      <c r="D633" s="999" t="s">
        <v>1625</v>
      </c>
      <c r="E633" s="999"/>
      <c r="F633" s="999"/>
    </row>
    <row r="634" spans="1:7" ht="12.75">
      <c r="A634" s="191"/>
      <c r="B634" s="191"/>
      <c r="C634" s="191"/>
    </row>
    <row r="635" spans="1:7" ht="14.25">
      <c r="A635" s="271"/>
      <c r="B635" s="271"/>
      <c r="D635" s="1029" t="s">
        <v>911</v>
      </c>
      <c r="E635" s="1029"/>
      <c r="F635" s="1029"/>
    </row>
    <row r="636" spans="1:7" ht="14.25">
      <c r="A636" s="271"/>
      <c r="B636" s="624" t="s">
        <v>1440</v>
      </c>
      <c r="D636" s="1009" t="s">
        <v>1626</v>
      </c>
      <c r="E636" s="1009"/>
      <c r="F636" s="1009"/>
    </row>
    <row r="637" spans="1:7" ht="14.25">
      <c r="A637" s="271"/>
      <c r="B637" s="271"/>
      <c r="D637" s="44"/>
    </row>
    <row r="638" spans="1:7" ht="14.25">
      <c r="A638" s="271"/>
      <c r="B638" s="624" t="s">
        <v>132</v>
      </c>
      <c r="D638" s="979" t="s">
        <v>1627</v>
      </c>
      <c r="E638" s="979"/>
      <c r="F638" s="979"/>
    </row>
    <row r="639" spans="1:7" ht="14.25">
      <c r="A639" s="271"/>
      <c r="B639" s="271"/>
      <c r="D639" s="979"/>
      <c r="E639" s="979"/>
      <c r="F639" s="979"/>
    </row>
    <row r="640" spans="1:7" ht="14.25">
      <c r="A640" s="271"/>
      <c r="B640" s="271"/>
      <c r="D640" s="44"/>
    </row>
    <row r="641" spans="1:7" ht="14.25">
      <c r="A641" s="271"/>
      <c r="B641" s="624" t="s">
        <v>132</v>
      </c>
      <c r="D641" s="972" t="s">
        <v>2017</v>
      </c>
      <c r="E641" s="972"/>
      <c r="F641" s="972"/>
    </row>
    <row r="642" spans="1:7" ht="13.7" customHeight="1">
      <c r="D642" s="972"/>
      <c r="E642" s="972"/>
      <c r="F642" s="972"/>
    </row>
    <row r="643" spans="1:7" ht="12.75"/>
    <row r="644" spans="1:7" ht="14.25">
      <c r="A644" s="271"/>
      <c r="B644" s="624" t="s">
        <v>132</v>
      </c>
      <c r="D644" s="1009" t="s">
        <v>1628</v>
      </c>
      <c r="E644" s="1009"/>
      <c r="F644" s="1009"/>
    </row>
    <row r="645" spans="1:7" ht="12.75">
      <c r="A645" s="190"/>
      <c r="B645" s="190"/>
      <c r="C645" s="190"/>
    </row>
    <row r="646" spans="1:7" ht="12.75">
      <c r="A646" s="1033" t="s">
        <v>1462</v>
      </c>
      <c r="B646" s="1033"/>
      <c r="C646" s="1033"/>
      <c r="D646" s="1033"/>
      <c r="E646" s="1033"/>
      <c r="F646" s="1033"/>
      <c r="G646" s="1033"/>
    </row>
    <row r="647" spans="1:7" ht="12.75">
      <c r="A647" s="190"/>
      <c r="B647" s="190"/>
      <c r="C647" s="190"/>
    </row>
    <row r="648" spans="1:7" ht="12.75">
      <c r="C648" s="18"/>
      <c r="D648" s="1017" t="s">
        <v>1486</v>
      </c>
      <c r="E648" s="1017"/>
      <c r="F648" s="1017"/>
    </row>
    <row r="649" spans="1:7" ht="12.75">
      <c r="A649" s="18"/>
      <c r="B649" s="18"/>
      <c r="D649" s="3"/>
    </row>
    <row r="650" spans="1:7" ht="14.25" customHeight="1">
      <c r="A650" s="271"/>
      <c r="B650" s="624" t="s">
        <v>1440</v>
      </c>
      <c r="D650" s="1052" t="s">
        <v>2277</v>
      </c>
      <c r="E650" s="1052"/>
      <c r="F650" s="1052"/>
    </row>
    <row r="651" spans="1:7" ht="14.25">
      <c r="A651" s="271"/>
      <c r="B651" s="271"/>
      <c r="D651" s="1052"/>
      <c r="E651" s="1052"/>
      <c r="F651" s="1052"/>
    </row>
    <row r="652" spans="1:7" ht="12.75">
      <c r="D652" s="953"/>
      <c r="E652" s="947" t="s">
        <v>2189</v>
      </c>
      <c r="F652" s="953"/>
    </row>
    <row r="653" spans="1:7" ht="12.75">
      <c r="D653" s="976" t="s">
        <v>2188</v>
      </c>
      <c r="E653" s="976"/>
      <c r="F653" s="976"/>
    </row>
    <row r="654" spans="1:7" ht="12.75" customHeight="1">
      <c r="D654" s="976"/>
      <c r="E654" s="976"/>
      <c r="F654" s="976"/>
    </row>
    <row r="655" spans="1:7" ht="12.75">
      <c r="B655"/>
      <c r="D655" s="976"/>
      <c r="E655" s="976"/>
      <c r="F655" s="976"/>
    </row>
    <row r="656" spans="1:7" ht="12.75"/>
    <row r="657" spans="1:9" ht="14.25">
      <c r="A657" s="303"/>
      <c r="B657" s="624" t="s">
        <v>132</v>
      </c>
      <c r="D657" s="1018" t="s">
        <v>1629</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132</v>
      </c>
      <c r="D660" s="1020" t="s">
        <v>1894</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132</v>
      </c>
      <c r="C663" s="207"/>
      <c r="D663" s="1019" t="s">
        <v>1630</v>
      </c>
      <c r="E663" s="1019"/>
      <c r="F663" s="1019"/>
      <c r="G663" s="44"/>
    </row>
    <row r="664" spans="1:9" ht="12.75">
      <c r="A664" s="44"/>
      <c r="B664" s="44"/>
      <c r="C664" s="207"/>
      <c r="D664" s="44"/>
      <c r="E664" s="44"/>
      <c r="F664" s="44"/>
      <c r="G664" s="44"/>
      <c r="H664" s="267"/>
      <c r="I664" s="267"/>
    </row>
    <row r="665" spans="1:9" ht="12.75">
      <c r="A665" s="1033" t="s">
        <v>1464</v>
      </c>
      <c r="B665" s="1033"/>
      <c r="C665" s="1033"/>
      <c r="D665" s="1033"/>
      <c r="E665" s="1033"/>
      <c r="F665" s="1033"/>
      <c r="G665" s="1033"/>
    </row>
    <row r="666" spans="1:9" ht="12.75">
      <c r="A666" s="44"/>
      <c r="B666" s="44"/>
      <c r="C666" s="207"/>
      <c r="D666" s="44"/>
      <c r="E666" s="44"/>
      <c r="F666" s="44"/>
      <c r="G666" s="44"/>
    </row>
    <row r="667" spans="1:9" ht="12.75">
      <c r="C667" s="190"/>
      <c r="D667" s="1000" t="s">
        <v>1463</v>
      </c>
      <c r="E667" s="1000"/>
      <c r="F667" s="1000"/>
      <c r="G667" s="44"/>
    </row>
    <row r="668" spans="1:9" ht="12.75">
      <c r="A668" s="191"/>
      <c r="B668" s="191"/>
      <c r="C668" s="191"/>
      <c r="D668" s="999" t="s">
        <v>1487</v>
      </c>
      <c r="E668" s="999"/>
      <c r="F668" s="999"/>
      <c r="G668" s="44"/>
    </row>
    <row r="669" spans="1:9" ht="12.75">
      <c r="A669" s="191"/>
      <c r="B669" s="191"/>
      <c r="C669" s="191"/>
      <c r="D669" s="44"/>
      <c r="E669" s="44"/>
      <c r="F669" s="44"/>
      <c r="G669" s="44"/>
    </row>
    <row r="670" spans="1:9" ht="14.45" customHeight="1">
      <c r="A670" s="271"/>
      <c r="B670" s="624" t="s">
        <v>132</v>
      </c>
      <c r="C670" s="207"/>
      <c r="D670" s="972" t="s">
        <v>1969</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84</v>
      </c>
      <c r="C677" s="207"/>
      <c r="D677" s="1003" t="s">
        <v>1507</v>
      </c>
      <c r="E677" s="1003"/>
      <c r="F677" s="1003"/>
      <c r="G677" s="44"/>
    </row>
    <row r="678" spans="1:7" ht="14.25" hidden="1">
      <c r="A678" s="271"/>
      <c r="B678" s="271"/>
      <c r="C678" s="207"/>
      <c r="D678" s="997" t="s">
        <v>2278</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1968</v>
      </c>
      <c r="E683" s="1021"/>
      <c r="F683" s="1021"/>
      <c r="G683" s="44"/>
    </row>
    <row r="684" spans="1:7" ht="12.75">
      <c r="A684" s="44"/>
      <c r="B684" s="44"/>
      <c r="C684" s="207"/>
      <c r="D684" s="44"/>
      <c r="E684" s="44"/>
      <c r="F684" s="44"/>
      <c r="G684" s="44"/>
    </row>
    <row r="685" spans="1:7" ht="12.75">
      <c r="A685" s="1033" t="s">
        <v>1465</v>
      </c>
      <c r="B685" s="1033"/>
      <c r="C685" s="1033"/>
      <c r="D685" s="1033"/>
      <c r="E685" s="1033"/>
      <c r="F685" s="1033"/>
      <c r="G685" s="1033"/>
    </row>
    <row r="686" spans="1:7" ht="12.75">
      <c r="A686" s="44"/>
      <c r="B686" s="44"/>
      <c r="C686" s="207"/>
      <c r="D686" s="44"/>
      <c r="E686" s="44"/>
      <c r="F686" s="44"/>
      <c r="G686" s="44"/>
    </row>
    <row r="687" spans="1:7" ht="12.75">
      <c r="C687" s="190"/>
      <c r="D687" s="1000" t="s">
        <v>820</v>
      </c>
      <c r="E687" s="1000"/>
      <c r="F687" s="1000"/>
      <c r="G687" s="44"/>
    </row>
    <row r="688" spans="1:7" ht="12.75">
      <c r="A688" s="190"/>
      <c r="B688" s="190"/>
      <c r="C688" s="190"/>
      <c r="D688" s="1000" t="s">
        <v>912</v>
      </c>
      <c r="E688" s="1000"/>
      <c r="F688" s="1000"/>
      <c r="G688" s="44"/>
    </row>
    <row r="689" spans="1:6" ht="12.75">
      <c r="A689" s="191"/>
      <c r="B689" s="191"/>
      <c r="C689" s="191"/>
      <c r="D689" s="999" t="s">
        <v>1594</v>
      </c>
      <c r="E689" s="999"/>
      <c r="F689" s="999"/>
    </row>
    <row r="690" spans="1:6" ht="14.25" customHeight="1">
      <c r="A690" s="191"/>
      <c r="B690" s="191"/>
      <c r="C690" s="191"/>
    </row>
    <row r="691" spans="1:6" ht="14.25">
      <c r="A691" s="271"/>
      <c r="B691" s="624" t="s">
        <v>84</v>
      </c>
      <c r="C691" s="191"/>
      <c r="D691" s="999" t="s">
        <v>1163</v>
      </c>
      <c r="E691" s="999"/>
      <c r="F691" s="999"/>
    </row>
    <row r="692" spans="1:6" ht="12.75">
      <c r="A692" s="191"/>
      <c r="B692" s="191"/>
      <c r="C692" s="191"/>
      <c r="D692" s="999" t="s">
        <v>1181</v>
      </c>
      <c r="E692" s="999"/>
      <c r="F692" s="999"/>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132</v>
      </c>
      <c r="C696" s="191"/>
      <c r="D696" s="979" t="s">
        <v>2279</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1440</v>
      </c>
      <c r="C700" s="191"/>
      <c r="D700" s="999" t="s">
        <v>1222</v>
      </c>
      <c r="E700" s="999"/>
      <c r="F700" s="999"/>
    </row>
    <row r="701" spans="1:6" ht="14.25">
      <c r="A701" s="271"/>
      <c r="B701" s="271"/>
      <c r="C701" s="191"/>
      <c r="D701" s="999" t="s">
        <v>1181</v>
      </c>
      <c r="E701" s="999"/>
      <c r="F701" s="999"/>
    </row>
    <row r="702" spans="1:6" ht="12.75">
      <c r="A702" s="191"/>
      <c r="B702" s="191"/>
      <c r="C702" s="191"/>
      <c r="E702" s="1024" t="s">
        <v>2192</v>
      </c>
      <c r="F702" s="1024"/>
    </row>
    <row r="703" spans="1:6" ht="12.75">
      <c r="A703" s="191"/>
      <c r="B703" s="191"/>
      <c r="C703" s="191"/>
      <c r="D703" s="3"/>
    </row>
    <row r="704" spans="1:6" ht="14.25">
      <c r="A704" s="271"/>
      <c r="B704" s="624" t="s">
        <v>132</v>
      </c>
      <c r="C704" s="191"/>
      <c r="D704" s="979" t="s">
        <v>1596</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132</v>
      </c>
      <c r="C711" s="191"/>
      <c r="D711" s="972" t="s">
        <v>1809</v>
      </c>
      <c r="E711" s="979"/>
      <c r="F711" s="979"/>
    </row>
    <row r="712" spans="1:6" ht="12.75">
      <c r="A712" s="191"/>
      <c r="B712" s="191"/>
      <c r="C712" s="191"/>
      <c r="D712" s="979"/>
      <c r="E712" s="979"/>
      <c r="F712" s="979"/>
    </row>
    <row r="713" spans="1:6" ht="12.75">
      <c r="A713" s="191"/>
      <c r="B713" s="191"/>
      <c r="C713" s="191"/>
    </row>
    <row r="714" spans="1:6" ht="14.45" customHeight="1">
      <c r="A714" s="271"/>
      <c r="B714" s="624" t="s">
        <v>132</v>
      </c>
      <c r="C714" s="191"/>
      <c r="D714" s="979" t="s">
        <v>1597</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132</v>
      </c>
      <c r="C727" s="191"/>
      <c r="D727" s="979" t="s">
        <v>1601</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132</v>
      </c>
      <c r="C730" s="191"/>
      <c r="D730" s="979" t="s">
        <v>1602</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132</v>
      </c>
      <c r="C734" s="191"/>
      <c r="D734" s="972" t="s">
        <v>2018</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132</v>
      </c>
      <c r="C738" s="191"/>
      <c r="D738" s="979" t="s">
        <v>1598</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132</v>
      </c>
      <c r="C742" s="191"/>
      <c r="D742" s="979" t="s">
        <v>1600</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132</v>
      </c>
      <c r="C747" s="191"/>
      <c r="D747" s="979" t="s">
        <v>2280</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1599</v>
      </c>
      <c r="E754" s="1023"/>
      <c r="F754" s="1023"/>
      <c r="H754" s="267"/>
      <c r="I754" s="267"/>
    </row>
    <row r="755" spans="1:9" ht="12.75">
      <c r="A755" s="191"/>
      <c r="B755" s="191"/>
      <c r="C755" s="191"/>
      <c r="D755" s="575"/>
      <c r="H755" s="267"/>
      <c r="I755" s="267"/>
    </row>
    <row r="756" spans="1:9" ht="12.75">
      <c r="A756" s="1011" t="s">
        <v>1494</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1515</v>
      </c>
      <c r="E758" s="1006"/>
      <c r="F758" s="1006"/>
      <c r="H758" s="267"/>
      <c r="I758" s="267"/>
    </row>
    <row r="759" spans="1:9" ht="12.75">
      <c r="A759" s="190"/>
      <c r="B759" s="190"/>
      <c r="C759" s="190"/>
      <c r="D759" s="1009" t="s">
        <v>1518</v>
      </c>
      <c r="E759" s="1009"/>
      <c r="F759" s="1009"/>
      <c r="H759" s="267"/>
      <c r="I759" s="267"/>
    </row>
    <row r="760" spans="1:9" ht="12.75">
      <c r="A760" s="191"/>
      <c r="B760" s="191"/>
      <c r="C760" s="191"/>
      <c r="H760" s="267"/>
      <c r="I760" s="267"/>
    </row>
    <row r="761" spans="1:9" ht="14.25" customHeight="1">
      <c r="A761" s="271"/>
      <c r="B761" s="624" t="s">
        <v>1440</v>
      </c>
      <c r="D761" s="979" t="s">
        <v>1516</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1440</v>
      </c>
      <c r="D768" s="1020" t="s">
        <v>1955</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132</v>
      </c>
      <c r="C773" s="445"/>
      <c r="D773" s="1022" t="s">
        <v>1956</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132</v>
      </c>
      <c r="D777" s="979" t="s">
        <v>1517</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132</v>
      </c>
      <c r="D780" s="972" t="s">
        <v>1832</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1664</v>
      </c>
      <c r="B784" s="1011"/>
      <c r="C784" s="1011"/>
      <c r="D784" s="1011"/>
      <c r="E784" s="1011"/>
      <c r="F784" s="1011"/>
      <c r="G784" s="1011"/>
      <c r="H784" s="267"/>
      <c r="I784" s="267"/>
    </row>
    <row r="785" spans="1:9" ht="12.75">
      <c r="A785" s="63"/>
      <c r="B785" s="63"/>
      <c r="H785" s="267"/>
      <c r="I785" s="267"/>
    </row>
    <row r="786" spans="1:9" ht="13.7" customHeight="1">
      <c r="A786" s="63"/>
      <c r="B786" s="63"/>
      <c r="D786" s="1015" t="s">
        <v>1665</v>
      </c>
      <c r="E786" s="1015"/>
      <c r="F786" s="1015"/>
      <c r="H786" s="267"/>
      <c r="I786" s="267"/>
    </row>
    <row r="787" spans="1:9" ht="12.75">
      <c r="A787" s="63"/>
      <c r="B787" s="63"/>
      <c r="D787" s="1016" t="s">
        <v>1666</v>
      </c>
      <c r="E787" s="1016"/>
      <c r="F787" s="1016"/>
      <c r="H787" s="267"/>
      <c r="I787" s="267"/>
    </row>
    <row r="788" spans="1:9" ht="12.75">
      <c r="A788" s="63"/>
      <c r="B788" s="63"/>
      <c r="D788" s="431"/>
      <c r="E788" s="431"/>
      <c r="F788" s="431"/>
      <c r="H788" s="267"/>
      <c r="I788" s="267"/>
    </row>
    <row r="789" spans="1:9" ht="12.75">
      <c r="A789" s="63"/>
      <c r="B789" s="624" t="s">
        <v>132</v>
      </c>
      <c r="D789" s="997" t="s">
        <v>1667</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132</v>
      </c>
      <c r="C793" s="190"/>
      <c r="D793" s="1022" t="s">
        <v>2348</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132</v>
      </c>
      <c r="C797" s="207"/>
      <c r="D797" s="1022" t="s">
        <v>1773</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132</v>
      </c>
      <c r="C801" s="207"/>
      <c r="D801" s="997" t="s">
        <v>1668</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2110</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132</v>
      </c>
      <c r="C810" s="207"/>
      <c r="D810" s="997" t="s">
        <v>1670</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132</v>
      </c>
      <c r="C817" s="207"/>
      <c r="D817" s="1022" t="s">
        <v>1957</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132</v>
      </c>
      <c r="C823" s="207"/>
      <c r="D823" s="997" t="s">
        <v>1669</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132</v>
      </c>
      <c r="C828" s="207"/>
      <c r="D828" s="1005" t="s">
        <v>1672</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132</v>
      </c>
      <c r="C835" s="207"/>
      <c r="D835" s="997" t="s">
        <v>1671</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132</v>
      </c>
      <c r="C838" s="207"/>
      <c r="D838" s="1005" t="s">
        <v>1673</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1974</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1587</v>
      </c>
      <c r="E843" s="1006"/>
      <c r="F843" s="1006"/>
      <c r="H843" s="267"/>
      <c r="I843" s="267"/>
    </row>
    <row r="844" spans="1:9" ht="14.25">
      <c r="A844" s="271"/>
      <c r="B844" s="271"/>
      <c r="D844" s="972" t="s">
        <v>1971</v>
      </c>
      <c r="E844" s="972"/>
      <c r="F844" s="972"/>
      <c r="H844" s="267"/>
      <c r="I844" s="267"/>
    </row>
    <row r="845" spans="1:9" ht="14.25">
      <c r="A845" s="271"/>
      <c r="B845" s="271"/>
      <c r="D845" s="24"/>
      <c r="E845" s="210"/>
      <c r="F845" s="210"/>
      <c r="H845" s="267"/>
      <c r="I845" s="267"/>
    </row>
    <row r="846" spans="1:9" ht="12.75">
      <c r="B846" s="624" t="s">
        <v>1440</v>
      </c>
      <c r="C846" s="207"/>
      <c r="D846" s="979" t="s">
        <v>1521</v>
      </c>
      <c r="E846" s="979"/>
      <c r="F846" s="979"/>
      <c r="H846" s="267"/>
      <c r="I846" s="267"/>
    </row>
    <row r="847" spans="1:9" ht="12.75">
      <c r="A847" s="18"/>
      <c r="B847" s="18"/>
      <c r="C847" s="207"/>
      <c r="D847" s="3" t="s">
        <v>1498</v>
      </c>
      <c r="E847" s="980" t="s">
        <v>2175</v>
      </c>
      <c r="F847" s="980"/>
      <c r="H847" s="267"/>
      <c r="I847" s="267"/>
    </row>
    <row r="848" spans="1:9" ht="12.75">
      <c r="A848" s="18"/>
      <c r="B848" s="18"/>
      <c r="C848" s="207"/>
      <c r="D848" s="213"/>
      <c r="H848" s="267"/>
      <c r="I848" s="267"/>
    </row>
    <row r="849" spans="1:9" ht="12.75">
      <c r="A849" s="18"/>
      <c r="B849" s="624" t="s">
        <v>132</v>
      </c>
      <c r="C849" s="207"/>
      <c r="D849" s="1025" t="s">
        <v>1753</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1440</v>
      </c>
      <c r="C859" s="207"/>
      <c r="D859" s="979" t="s">
        <v>1522</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132</v>
      </c>
      <c r="C863" s="207"/>
      <c r="D863" s="1006" t="s">
        <v>1523</v>
      </c>
      <c r="E863" s="1006"/>
      <c r="F863" s="1006"/>
      <c r="H863" s="267"/>
      <c r="I863" s="267"/>
    </row>
    <row r="864" spans="1:9" ht="12.75">
      <c r="B864" s="430"/>
      <c r="C864" s="207"/>
      <c r="D864" s="1006"/>
      <c r="E864" s="1006"/>
      <c r="F864" s="1006"/>
      <c r="H864" s="267"/>
      <c r="I864" s="267"/>
    </row>
    <row r="865" spans="1:9" ht="14.25" customHeight="1">
      <c r="A865" s="271"/>
      <c r="C865" s="207"/>
      <c r="D865" s="979" t="s">
        <v>2281</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132</v>
      </c>
      <c r="C872" s="207"/>
      <c r="D872" s="979" t="s">
        <v>1223</v>
      </c>
      <c r="E872" s="979"/>
      <c r="F872" s="979"/>
      <c r="H872" s="267"/>
      <c r="I872" s="267"/>
    </row>
    <row r="873" spans="1:9" ht="14.25">
      <c r="A873" s="271"/>
      <c r="B873" s="271"/>
      <c r="C873" s="207"/>
      <c r="D873" s="979" t="s">
        <v>1224</v>
      </c>
      <c r="E873" s="979"/>
      <c r="F873" s="979"/>
      <c r="H873" s="267"/>
      <c r="I873" s="267"/>
    </row>
    <row r="874" spans="1:9" ht="14.25">
      <c r="A874" s="271"/>
      <c r="B874" s="271"/>
      <c r="C874" s="207"/>
      <c r="D874" s="3" t="s">
        <v>1497</v>
      </c>
      <c r="E874" s="980" t="s">
        <v>2177</v>
      </c>
      <c r="F874" s="980"/>
      <c r="H874" s="267"/>
      <c r="I874" s="267"/>
    </row>
    <row r="875" spans="1:9" ht="14.25">
      <c r="A875" s="271"/>
      <c r="B875" s="271"/>
      <c r="C875" s="207"/>
      <c r="D875" s="44"/>
      <c r="H875" s="267"/>
      <c r="I875" s="267"/>
    </row>
    <row r="876" spans="1:9" ht="14.25">
      <c r="A876" s="271"/>
      <c r="B876" s="624" t="s">
        <v>132</v>
      </c>
      <c r="C876" s="207"/>
      <c r="D876" s="979" t="s">
        <v>1524</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0" t="s">
        <v>1586</v>
      </c>
      <c r="E883" s="1000"/>
      <c r="F883" s="1000"/>
      <c r="G883" s="188"/>
      <c r="H883" s="267"/>
      <c r="I883" s="267"/>
    </row>
    <row r="884" spans="1:9" ht="12.75">
      <c r="C884" s="191"/>
      <c r="D884" s="1013" t="s">
        <v>1972</v>
      </c>
      <c r="E884" s="1014"/>
      <c r="F884" s="1014"/>
      <c r="G884" s="188"/>
      <c r="H884" s="267"/>
      <c r="I884" s="267"/>
    </row>
    <row r="885" spans="1:9" ht="12.75">
      <c r="C885" s="191"/>
      <c r="D885" s="655"/>
      <c r="E885" s="655"/>
      <c r="F885" s="655"/>
      <c r="G885" s="188"/>
      <c r="H885" s="267"/>
      <c r="I885" s="267"/>
    </row>
    <row r="886" spans="1:9" ht="14.25">
      <c r="A886" s="271"/>
      <c r="B886" s="624" t="s">
        <v>1440</v>
      </c>
      <c r="D886" s="999" t="s">
        <v>1545</v>
      </c>
      <c r="E886" s="999"/>
      <c r="F886" s="999"/>
      <c r="G886" s="188"/>
      <c r="H886" s="267"/>
      <c r="I886" s="267"/>
    </row>
    <row r="887" spans="1:9" ht="12.75">
      <c r="D887" s="3" t="s">
        <v>1497</v>
      </c>
      <c r="E887" s="1012" t="s">
        <v>2177</v>
      </c>
      <c r="F887" s="1012"/>
      <c r="G887" s="188"/>
    </row>
    <row r="888" spans="1:9" ht="12.75">
      <c r="D888" s="44"/>
      <c r="E888" s="188"/>
      <c r="F888" s="188"/>
      <c r="G888" s="188"/>
      <c r="H888" s="267"/>
      <c r="I888" s="267"/>
    </row>
    <row r="889" spans="1:9" ht="14.25">
      <c r="A889" s="271"/>
      <c r="B889" s="624" t="s">
        <v>1440</v>
      </c>
      <c r="D889" s="972" t="s">
        <v>1975</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132</v>
      </c>
      <c r="D892" s="1008" t="s">
        <v>1755</v>
      </c>
      <c r="E892" s="1008"/>
      <c r="F892" s="1008"/>
      <c r="G892" s="188"/>
      <c r="H892" s="267"/>
      <c r="I892" s="267"/>
    </row>
    <row r="893" spans="1:9" ht="29.45" customHeight="1">
      <c r="B893" s="580"/>
      <c r="D893" s="1008"/>
      <c r="E893" s="1008"/>
      <c r="F893" s="1008"/>
      <c r="G893" s="188"/>
      <c r="H893" s="267"/>
      <c r="I893" s="267"/>
    </row>
    <row r="894" spans="1:9" ht="14.25">
      <c r="A894" s="271"/>
      <c r="B894"/>
      <c r="D894" s="979" t="s">
        <v>2281</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132</v>
      </c>
      <c r="D901" s="1009" t="s">
        <v>1223</v>
      </c>
      <c r="E901" s="1009"/>
      <c r="F901" s="1009"/>
      <c r="G901" s="188"/>
      <c r="H901" s="267"/>
      <c r="I901" s="267"/>
    </row>
    <row r="902" spans="1:9" ht="14.25">
      <c r="A902" s="271"/>
      <c r="B902" s="271"/>
      <c r="D902" s="1009" t="s">
        <v>1224</v>
      </c>
      <c r="E902" s="1009"/>
      <c r="F902" s="1009"/>
      <c r="G902" s="188"/>
      <c r="H902" s="267"/>
      <c r="I902" s="267"/>
    </row>
    <row r="903" spans="1:9" ht="14.25">
      <c r="A903" s="271"/>
      <c r="B903" s="271"/>
      <c r="D903" s="3" t="s">
        <v>1546</v>
      </c>
      <c r="E903" s="1010" t="s">
        <v>2177</v>
      </c>
      <c r="F903" s="1010"/>
      <c r="G903" s="188"/>
      <c r="H903" s="267"/>
      <c r="I903" s="267"/>
    </row>
    <row r="904" spans="1:9" ht="14.25">
      <c r="A904" s="271"/>
      <c r="B904" s="271"/>
      <c r="D904" s="44"/>
      <c r="E904" s="188"/>
      <c r="F904" s="188"/>
      <c r="G904" s="188"/>
      <c r="H904" s="267"/>
      <c r="I904" s="267"/>
    </row>
    <row r="905" spans="1:9" ht="14.25">
      <c r="A905" s="271"/>
      <c r="B905" s="624" t="s">
        <v>132</v>
      </c>
      <c r="D905" s="979" t="s">
        <v>1524</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1467</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1708</v>
      </c>
      <c r="E912" s="1003"/>
      <c r="F912" s="1003"/>
      <c r="G912" s="188"/>
      <c r="H912" s="267"/>
      <c r="I912" s="267"/>
    </row>
    <row r="913" spans="1:9" ht="12.75">
      <c r="A913" s="190"/>
      <c r="B913" s="190"/>
      <c r="C913" s="190"/>
      <c r="D913" s="999" t="s">
        <v>1544</v>
      </c>
      <c r="E913" s="999"/>
      <c r="F913" s="999"/>
      <c r="G913" s="188"/>
      <c r="H913" s="267"/>
      <c r="I913" s="267"/>
    </row>
    <row r="914" spans="1:9" ht="12.75">
      <c r="A914" s="190"/>
      <c r="B914" s="190"/>
      <c r="C914" s="190"/>
      <c r="F914" s="188"/>
      <c r="G914" s="188"/>
      <c r="H914" s="267"/>
      <c r="I914" s="267"/>
    </row>
    <row r="915" spans="1:9" ht="13.7" customHeight="1">
      <c r="A915" s="190"/>
      <c r="B915" s="624" t="s">
        <v>132</v>
      </c>
      <c r="C915" s="190"/>
      <c r="D915" s="1006" t="s">
        <v>1718</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1440</v>
      </c>
      <c r="C921" s="191"/>
      <c r="D921" s="980" t="s">
        <v>1805</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0" t="s">
        <v>1806</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07" t="s">
        <v>1719</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0" t="s">
        <v>1720</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1721</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1440</v>
      </c>
      <c r="D955" s="979" t="s">
        <v>1722</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1711</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1440</v>
      </c>
      <c r="C960" s="207"/>
      <c r="D960" s="1002" t="s">
        <v>1710</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02" t="s">
        <v>1709</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132</v>
      </c>
      <c r="C973" s="207"/>
      <c r="D973" s="1002" t="s">
        <v>1712</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02" t="s">
        <v>1713</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132</v>
      </c>
      <c r="C983" s="207"/>
      <c r="D983" s="1002" t="s">
        <v>1714</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132</v>
      </c>
      <c r="C986" s="207"/>
      <c r="D986" s="979" t="s">
        <v>1715</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132</v>
      </c>
      <c r="C989" s="207"/>
      <c r="D989" s="1004" t="s">
        <v>1849</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132</v>
      </c>
      <c r="C994" s="207"/>
      <c r="D994" s="999" t="s">
        <v>2282</v>
      </c>
      <c r="E994" s="999"/>
      <c r="F994" s="999"/>
      <c r="G994" s="188"/>
      <c r="H994" s="267"/>
      <c r="I994" s="267"/>
    </row>
    <row r="995" spans="1:9" ht="12.75">
      <c r="A995" s="207"/>
      <c r="B995" s="207"/>
      <c r="C995" s="207"/>
      <c r="D995" s="44"/>
      <c r="E995" s="188"/>
      <c r="F995" s="188"/>
      <c r="G995" s="188"/>
      <c r="H995" s="267"/>
      <c r="I995" s="267"/>
    </row>
    <row r="996" spans="1:9" ht="12.75">
      <c r="A996" s="207"/>
      <c r="B996" s="624" t="s">
        <v>132</v>
      </c>
      <c r="C996" s="207"/>
      <c r="D996" s="999" t="s">
        <v>2283</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1547</v>
      </c>
      <c r="E998" s="1000"/>
      <c r="F998" s="1000"/>
      <c r="G998" s="188"/>
      <c r="H998" s="267"/>
      <c r="I998" s="267"/>
    </row>
    <row r="999" spans="1:9" ht="12.75">
      <c r="A999" s="207"/>
      <c r="C999" s="207"/>
      <c r="D999" s="192"/>
      <c r="E999" s="188"/>
      <c r="F999" s="188"/>
      <c r="G999" s="188"/>
      <c r="H999" s="267"/>
      <c r="I999" s="267"/>
    </row>
    <row r="1000" spans="1:9" ht="14.25">
      <c r="A1000" s="271"/>
      <c r="B1000" s="624" t="s">
        <v>1440</v>
      </c>
      <c r="C1000" s="207"/>
      <c r="D1000" s="979" t="s">
        <v>1716</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132</v>
      </c>
      <c r="C1006" s="207"/>
      <c r="D1006" s="979" t="s">
        <v>1717</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1548</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132</v>
      </c>
      <c r="C1014" s="207"/>
      <c r="D1014" s="979" t="s">
        <v>1723</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132</v>
      </c>
      <c r="C1018" s="207"/>
      <c r="D1018" s="979" t="s">
        <v>1724</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1549</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79" t="s">
        <v>1726</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79" t="s">
        <v>1725</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1440</v>
      </c>
      <c r="C1032" s="207"/>
      <c r="D1032" s="977" t="s">
        <v>1727</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79" t="s">
        <v>1728</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79" t="s">
        <v>1729</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79" t="s">
        <v>1550</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79" t="s">
        <v>1551</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41" t="s">
        <v>1172</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1552</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2" t="s">
        <v>2335</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1440</v>
      </c>
      <c r="C1071" s="207"/>
      <c r="D1071" s="972" t="s">
        <v>2336</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132</v>
      </c>
      <c r="C1076" s="207"/>
      <c r="D1076" s="1005" t="s">
        <v>1730</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132</v>
      </c>
      <c r="C1080" s="440"/>
      <c r="D1080" s="1035" t="s">
        <v>2284</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1553</v>
      </c>
      <c r="E1084" s="1000"/>
      <c r="F1084" s="1000"/>
      <c r="G1084" s="188"/>
    </row>
    <row r="1085" spans="1:9" ht="12.75">
      <c r="C1085" s="207"/>
      <c r="D1085" s="192"/>
      <c r="E1085" s="188"/>
      <c r="F1085" s="188"/>
      <c r="G1085" s="188"/>
    </row>
    <row r="1086" spans="1:9" ht="12.75">
      <c r="A1086" s="207"/>
      <c r="B1086" s="624" t="s">
        <v>132</v>
      </c>
      <c r="C1086" s="207"/>
      <c r="D1086" s="979" t="s">
        <v>1731</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132</v>
      </c>
      <c r="C1090" s="207"/>
      <c r="D1090" s="979" t="s">
        <v>1732</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1164</v>
      </c>
      <c r="E1094" s="1000"/>
      <c r="F1094" s="1000"/>
      <c r="G1094" s="188"/>
    </row>
    <row r="1095" spans="1:7" ht="12.75">
      <c r="A1095" s="207"/>
      <c r="B1095" s="207"/>
      <c r="C1095" s="207"/>
      <c r="D1095" s="999" t="s">
        <v>1554</v>
      </c>
      <c r="E1095" s="999"/>
      <c r="F1095" s="999"/>
      <c r="G1095" s="188"/>
    </row>
    <row r="1096" spans="1:7" ht="12.75">
      <c r="A1096" s="207"/>
      <c r="B1096" s="207"/>
      <c r="C1096" s="207"/>
      <c r="D1096" s="430"/>
      <c r="E1096" s="188"/>
      <c r="F1096" s="188"/>
      <c r="G1096" s="188"/>
    </row>
    <row r="1097" spans="1:7" ht="14.25">
      <c r="A1097" s="271"/>
      <c r="B1097" s="624" t="s">
        <v>132</v>
      </c>
      <c r="C1097" s="207"/>
      <c r="D1097" s="979" t="s">
        <v>1733</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132</v>
      </c>
      <c r="C1100" s="207"/>
      <c r="D1100" s="979" t="s">
        <v>1734</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1555</v>
      </c>
      <c r="E1103" s="1000"/>
      <c r="F1103" s="1000"/>
      <c r="G1103" s="188"/>
    </row>
    <row r="1104" spans="1:7" ht="12.75">
      <c r="A1104" s="207"/>
      <c r="B1104" s="207"/>
      <c r="C1104" s="207"/>
      <c r="D1104" s="192"/>
      <c r="E1104" s="188"/>
      <c r="F1104" s="188"/>
      <c r="G1104" s="188"/>
    </row>
    <row r="1105" spans="1:7" ht="14.25">
      <c r="A1105" s="271"/>
      <c r="B1105" s="624" t="s">
        <v>1440</v>
      </c>
      <c r="C1105" s="207"/>
      <c r="D1105" s="979" t="s">
        <v>1735</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132</v>
      </c>
      <c r="C1113" s="207"/>
      <c r="D1113" s="979" t="s">
        <v>1736</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4" customHeight="1">
      <c r="A1121" s="207"/>
      <c r="B1121" s="624" t="s">
        <v>132</v>
      </c>
      <c r="C1121" s="207"/>
      <c r="D1121" s="1004" t="s">
        <v>1850</v>
      </c>
      <c r="E1121" s="1005"/>
      <c r="F1121" s="1005"/>
      <c r="G1121" s="188"/>
    </row>
    <row r="1122" spans="1:7" ht="12.4"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1556</v>
      </c>
      <c r="E1125" s="1000"/>
      <c r="F1125" s="1000"/>
    </row>
    <row r="1126" spans="1:7" ht="12.75">
      <c r="D1126" s="192"/>
    </row>
    <row r="1127" spans="1:7" ht="14.25">
      <c r="A1127" s="271"/>
      <c r="B1127" s="624" t="s">
        <v>132</v>
      </c>
      <c r="D1127" s="979" t="s">
        <v>1737</v>
      </c>
      <c r="E1127" s="979"/>
      <c r="F1127" s="979"/>
    </row>
    <row r="1128" spans="1:7" ht="12.75">
      <c r="D1128" s="979"/>
      <c r="E1128" s="979"/>
      <c r="F1128" s="979"/>
    </row>
    <row r="1129" spans="1:7" ht="12.75"/>
    <row r="1130" spans="1:7" ht="14.25">
      <c r="A1130" s="271"/>
      <c r="B1130" s="624" t="s">
        <v>1440</v>
      </c>
      <c r="D1130" s="979" t="s">
        <v>1738</v>
      </c>
      <c r="E1130" s="979"/>
      <c r="F1130" s="979"/>
    </row>
    <row r="1131" spans="1:7" ht="12.75">
      <c r="D1131" s="979"/>
      <c r="E1131" s="979"/>
      <c r="F1131" s="979"/>
    </row>
    <row r="1132" spans="1:7" ht="12.75"/>
    <row r="1133" spans="1:7" ht="12.75">
      <c r="D1133" s="1000" t="s">
        <v>1557</v>
      </c>
      <c r="E1133" s="1000"/>
      <c r="F1133" s="1000"/>
    </row>
    <row r="1134" spans="1:7" ht="12.75">
      <c r="D1134" s="192"/>
    </row>
    <row r="1135" spans="1:7" ht="14.25">
      <c r="A1135" s="271"/>
      <c r="B1135" s="624" t="s">
        <v>132</v>
      </c>
      <c r="D1135" s="999" t="s">
        <v>1739</v>
      </c>
      <c r="E1135" s="999"/>
      <c r="F1135" s="999"/>
    </row>
    <row r="1136" spans="1:7" ht="12.75"/>
    <row r="1137" spans="1:7" ht="14.25">
      <c r="A1137" s="271"/>
      <c r="B1137" s="624" t="s">
        <v>132</v>
      </c>
      <c r="D1137" s="979" t="s">
        <v>1740</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1750</v>
      </c>
      <c r="E1140" s="1000"/>
      <c r="F1140" s="1000"/>
      <c r="G1140"/>
    </row>
    <row r="1141" spans="1:7" ht="12.75">
      <c r="D1141" s="192"/>
      <c r="G1141"/>
    </row>
    <row r="1142" spans="1:7" ht="14.45" customHeight="1">
      <c r="A1142" s="271"/>
      <c r="B1142" s="624" t="s">
        <v>132</v>
      </c>
      <c r="D1142" s="972" t="s">
        <v>2337</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1468</v>
      </c>
      <c r="B1157" s="1033"/>
      <c r="C1157" s="1033"/>
      <c r="D1157" s="1033"/>
      <c r="E1157" s="1033"/>
      <c r="F1157" s="1033"/>
      <c r="G1157" s="1033"/>
    </row>
    <row r="1158" spans="1:7" ht="12.75">
      <c r="A1158" s="44"/>
      <c r="B1158" s="44"/>
    </row>
    <row r="1159" spans="1:7" ht="12.75">
      <c r="C1159" s="207"/>
      <c r="D1159" s="1000" t="s">
        <v>1741</v>
      </c>
      <c r="E1159" s="1000"/>
      <c r="F1159" s="1000"/>
    </row>
    <row r="1160" spans="1:7" ht="12.75">
      <c r="A1160" s="190"/>
      <c r="B1160" s="190"/>
      <c r="C1160" s="190"/>
      <c r="D1160" s="1001" t="s">
        <v>1561</v>
      </c>
      <c r="E1160" s="999"/>
      <c r="F1160" s="999"/>
    </row>
    <row r="1161" spans="1:7" ht="12.75">
      <c r="A1161" s="190"/>
      <c r="B1161" s="190"/>
      <c r="C1161" s="190"/>
      <c r="F1161" s="188"/>
      <c r="G1161"/>
    </row>
    <row r="1162" spans="1:7" ht="13.7" customHeight="1">
      <c r="B1162" s="624" t="s">
        <v>1440</v>
      </c>
      <c r="D1162" s="1054" t="s">
        <v>2194</v>
      </c>
      <c r="E1162" s="1054"/>
      <c r="F1162" s="1054"/>
      <c r="G1162"/>
    </row>
    <row r="1163" spans="1:7" ht="12.75">
      <c r="D1163" s="1054"/>
      <c r="E1163" s="1054"/>
      <c r="F1163" s="1054"/>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79" t="s">
        <v>1751</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132</v>
      </c>
      <c r="C1175" s="191"/>
      <c r="D1175" s="972" t="s">
        <v>1833</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132</v>
      </c>
      <c r="D1178" s="999" t="s">
        <v>1742</v>
      </c>
      <c r="E1178" s="999"/>
      <c r="F1178" s="999"/>
      <c r="G1178"/>
    </row>
    <row r="1179" spans="1:7" ht="12.75">
      <c r="G1179"/>
    </row>
    <row r="1180" spans="1:7" ht="14.25">
      <c r="A1180" s="271"/>
      <c r="B1180" s="624" t="s">
        <v>132</v>
      </c>
      <c r="D1180" s="999" t="s">
        <v>1743</v>
      </c>
      <c r="E1180" s="999"/>
      <c r="F1180" s="999"/>
      <c r="G1180"/>
    </row>
    <row r="1181" spans="1:7" ht="12.75">
      <c r="D1181" s="44"/>
      <c r="G1181"/>
    </row>
    <row r="1182" spans="1:7" ht="14.25">
      <c r="A1182" s="271"/>
      <c r="B1182" s="624" t="s">
        <v>1440</v>
      </c>
      <c r="D1182" s="999" t="s">
        <v>1744</v>
      </c>
      <c r="E1182" s="999"/>
      <c r="F1182" s="999"/>
      <c r="G1182"/>
    </row>
    <row r="1183" spans="1:7" ht="12.75">
      <c r="D1183" s="44"/>
      <c r="G1183"/>
    </row>
    <row r="1184" spans="1:7" ht="14.25">
      <c r="A1184" s="271"/>
      <c r="B1184" s="624" t="s">
        <v>1440</v>
      </c>
      <c r="D1184" s="979" t="s">
        <v>1745</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132</v>
      </c>
      <c r="C1187" s="290"/>
      <c r="D1187" s="997" t="s">
        <v>1746</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132</v>
      </c>
      <c r="C1190" s="290"/>
      <c r="D1190" s="998" t="s">
        <v>1747</v>
      </c>
      <c r="E1190" s="998"/>
      <c r="F1190" s="998"/>
      <c r="G1190" s="292"/>
    </row>
    <row r="1191" spans="1:7" s="460" customFormat="1" ht="12.75">
      <c r="A1191" s="290"/>
      <c r="B1191" s="290"/>
      <c r="C1191" s="290"/>
      <c r="D1191" s="291"/>
      <c r="E1191" s="292"/>
      <c r="F1191" s="292"/>
      <c r="G1191" s="292"/>
    </row>
    <row r="1192" spans="1:7" ht="14.25">
      <c r="A1192" s="271"/>
      <c r="B1192" s="624" t="s">
        <v>132</v>
      </c>
      <c r="D1192" s="999" t="s">
        <v>1748</v>
      </c>
      <c r="E1192" s="999"/>
      <c r="F1192" s="999"/>
    </row>
    <row r="1193" spans="1:7" ht="14.25">
      <c r="A1193" s="271"/>
      <c r="B1193" s="271"/>
      <c r="D1193" s="44"/>
    </row>
    <row r="1194" spans="1:7" ht="14.25">
      <c r="A1194" s="271"/>
      <c r="B1194" s="624" t="s">
        <v>132</v>
      </c>
      <c r="D1194" s="979" t="s">
        <v>1749</v>
      </c>
      <c r="E1194" s="979"/>
      <c r="F1194" s="979"/>
    </row>
    <row r="1195" spans="1:7" ht="14.25">
      <c r="A1195" s="271"/>
      <c r="B1195" s="271"/>
      <c r="D1195" s="979"/>
      <c r="E1195" s="979"/>
      <c r="F1195" s="979"/>
    </row>
    <row r="1196" spans="1:7" ht="12.75"/>
    <row r="1197" spans="1:7" ht="12.75">
      <c r="A1197" s="1033" t="s">
        <v>2111</v>
      </c>
      <c r="B1197" s="1033"/>
      <c r="C1197" s="1033"/>
      <c r="D1197" s="1033"/>
      <c r="E1197" s="1033"/>
      <c r="F1197" s="1033"/>
      <c r="G1197" s="1033"/>
    </row>
    <row r="1198" spans="1:7" ht="12.75"/>
    <row r="1199" spans="1:7" ht="12.75">
      <c r="A1199" s="1033" t="s">
        <v>1469</v>
      </c>
      <c r="B1199" s="1033"/>
      <c r="C1199" s="1033"/>
      <c r="D1199" s="1033"/>
      <c r="E1199" s="1033"/>
      <c r="F1199" s="1033"/>
      <c r="G1199" s="1033"/>
    </row>
    <row r="1200" spans="1:7" ht="12.75"/>
    <row r="1201" spans="1:7" ht="12.75">
      <c r="D1201" s="1003" t="s">
        <v>1581</v>
      </c>
      <c r="E1201" s="1003"/>
      <c r="F1201" s="1003"/>
    </row>
    <row r="1202" spans="1:7" ht="12.75">
      <c r="D1202" s="1038" t="s">
        <v>2012</v>
      </c>
      <c r="E1202" s="1038"/>
      <c r="F1202" s="1038"/>
    </row>
    <row r="1203" spans="1:7" ht="12.75">
      <c r="A1203" s="190"/>
      <c r="B1203" s="190"/>
      <c r="C1203" s="190"/>
    </row>
    <row r="1204" spans="1:7" ht="14.25">
      <c r="A1204" s="271"/>
      <c r="B1204" s="271"/>
      <c r="C1204" s="191"/>
      <c r="D1204" s="1003" t="s">
        <v>1582</v>
      </c>
      <c r="E1204" s="1003"/>
      <c r="F1204" s="1003"/>
    </row>
    <row r="1205" spans="1:7" ht="12.75">
      <c r="B1205" s="624" t="s">
        <v>1440</v>
      </c>
      <c r="D1205" s="998" t="s">
        <v>1583</v>
      </c>
      <c r="E1205" s="998"/>
      <c r="F1205" s="998"/>
    </row>
    <row r="1206" spans="1:7" ht="12.75">
      <c r="D1206" s="1038" t="s">
        <v>2013</v>
      </c>
      <c r="E1206" s="1038"/>
      <c r="F1206" s="1038"/>
    </row>
    <row r="1207" spans="1:7" ht="12.75">
      <c r="G1207"/>
    </row>
    <row r="1208" spans="1:7" ht="12.75" customHeight="1">
      <c r="B1208" s="624" t="s">
        <v>132</v>
      </c>
      <c r="D1208" s="1022" t="s">
        <v>1914</v>
      </c>
      <c r="E1208" s="1022"/>
      <c r="F1208" s="1022"/>
      <c r="G1208"/>
    </row>
    <row r="1209" spans="1:7" ht="12.75">
      <c r="D1209" s="1022"/>
      <c r="E1209" s="1022"/>
      <c r="F1209" s="1022"/>
      <c r="G1209"/>
    </row>
    <row r="1210" spans="1:7" ht="12.75">
      <c r="G1210"/>
    </row>
    <row r="1211" spans="1:7" ht="12.75" customHeight="1"/>
    <row r="1212" spans="1:7" ht="12.75">
      <c r="A1212" s="1033" t="s">
        <v>1471</v>
      </c>
      <c r="B1212" s="1033"/>
      <c r="C1212" s="1033"/>
      <c r="D1212" s="1033"/>
      <c r="E1212" s="1033"/>
      <c r="F1212" s="1033"/>
      <c r="G1212" s="1033"/>
    </row>
    <row r="1213" spans="1:7" ht="12.75">
      <c r="A1213" s="44"/>
      <c r="B1213" s="44"/>
    </row>
    <row r="1214" spans="1:7" ht="12.75" customHeight="1">
      <c r="A1214" s="44"/>
      <c r="B1214" s="44"/>
      <c r="D1214" s="1000" t="s">
        <v>1470</v>
      </c>
      <c r="E1214" s="1000"/>
      <c r="F1214" s="1000"/>
    </row>
    <row r="1215" spans="1:7" ht="12.75" customHeight="1">
      <c r="A1215" s="44"/>
      <c r="B1215" s="44"/>
      <c r="D1215" s="999" t="s">
        <v>1477</v>
      </c>
      <c r="E1215" s="999"/>
      <c r="F1215" s="999"/>
    </row>
    <row r="1216" spans="1:7" ht="12.75" customHeight="1">
      <c r="A1216" s="44"/>
      <c r="B1216" s="44"/>
    </row>
    <row r="1217" spans="1:7" ht="14.25">
      <c r="A1217" s="271"/>
      <c r="B1217" s="624" t="s">
        <v>132</v>
      </c>
      <c r="D1217" s="1009" t="s">
        <v>1058</v>
      </c>
      <c r="E1217" s="1009"/>
      <c r="F1217" s="1009"/>
    </row>
    <row r="1218" spans="1:7" ht="12.75">
      <c r="D1218" s="999" t="s">
        <v>1181</v>
      </c>
      <c r="E1218" s="999"/>
      <c r="F1218" s="999"/>
    </row>
    <row r="1219" spans="1:7" ht="12.75">
      <c r="E1219" s="1024" t="s">
        <v>2196</v>
      </c>
      <c r="F1219" s="1024"/>
    </row>
    <row r="1220" spans="1:7" ht="12.75">
      <c r="D1220" s="3"/>
    </row>
    <row r="1221" spans="1:7" ht="12.75">
      <c r="D1221" s="1037" t="s">
        <v>1326</v>
      </c>
      <c r="E1221" s="1037"/>
      <c r="F1221" s="1037"/>
    </row>
    <row r="1222" spans="1:7" ht="12.75">
      <c r="B1222" s="624" t="s">
        <v>132</v>
      </c>
      <c r="D1222" s="972" t="s">
        <v>2197</v>
      </c>
      <c r="E1222" s="979"/>
      <c r="F1222" s="979"/>
      <c r="G1222"/>
    </row>
    <row r="1223" spans="1:7" ht="12.75">
      <c r="D1223" s="979"/>
      <c r="E1223" s="979"/>
      <c r="F1223" s="979"/>
      <c r="G1223"/>
    </row>
    <row r="1224" spans="1:7" ht="12.75">
      <c r="D1224" s="516" t="s">
        <v>1329</v>
      </c>
      <c r="E1224"/>
      <c r="F1224"/>
      <c r="G1224"/>
    </row>
    <row r="1225" spans="1:7" ht="13.7" customHeight="1">
      <c r="D1225" s="972" t="s">
        <v>2198</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1061</v>
      </c>
      <c r="E1229" s="1024"/>
      <c r="F1229" s="1024"/>
      <c r="G1229"/>
    </row>
    <row r="1230" spans="1:7" ht="12.75">
      <c r="B1230" s="624" t="s">
        <v>132</v>
      </c>
      <c r="D1230" s="1009" t="s">
        <v>1327</v>
      </c>
      <c r="E1230" s="1009"/>
      <c r="F1230" s="1009"/>
      <c r="G1230"/>
    </row>
    <row r="1231" spans="1:7" ht="12.75">
      <c r="E1231"/>
      <c r="F1231"/>
      <c r="G1231"/>
    </row>
    <row r="1232" spans="1:7" ht="12.75">
      <c r="D1232" s="1039" t="s">
        <v>1328</v>
      </c>
      <c r="E1232" s="1039"/>
      <c r="F1232" s="1039"/>
      <c r="G1232"/>
    </row>
    <row r="1233" spans="1:7" ht="12.75">
      <c r="D1233" s="3" t="s">
        <v>1059</v>
      </c>
      <c r="E1233"/>
      <c r="F1233"/>
      <c r="G1233"/>
    </row>
    <row r="1234" spans="1:7" ht="14.45" customHeight="1">
      <c r="A1234" s="271"/>
      <c r="B1234" s="624" t="s">
        <v>132</v>
      </c>
      <c r="D1234" s="979" t="s">
        <v>1584</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79" t="s">
        <v>1585</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1505</v>
      </c>
      <c r="B1245" s="1033"/>
      <c r="C1245" s="1033"/>
      <c r="D1245" s="1033"/>
      <c r="E1245" s="1033"/>
      <c r="F1245" s="1033"/>
      <c r="G1245" s="1033"/>
    </row>
    <row r="1246" spans="1:7" ht="12.75">
      <c r="A1246" s="44"/>
      <c r="B1246" s="44"/>
    </row>
    <row r="1247" spans="1:7" ht="12.75">
      <c r="A1247" s="44"/>
      <c r="B1247" s="44"/>
      <c r="D1247" s="1029" t="s">
        <v>1506</v>
      </c>
      <c r="E1247" s="1029"/>
      <c r="F1247" s="1029"/>
    </row>
    <row r="1248" spans="1:7" ht="12.75">
      <c r="A1248" s="268"/>
      <c r="B1248" s="268"/>
      <c r="C1248" s="268"/>
      <c r="D1248" s="1009" t="s">
        <v>1519</v>
      </c>
      <c r="E1248" s="1009"/>
      <c r="F1248" s="1009"/>
      <c r="G1248" s="269"/>
    </row>
    <row r="1249" spans="1:7" ht="10.5" customHeight="1"/>
    <row r="1250" spans="1:7" ht="14.25">
      <c r="A1250" s="271"/>
      <c r="B1250" s="624" t="s">
        <v>132</v>
      </c>
      <c r="D1250" s="1009" t="s">
        <v>1182</v>
      </c>
      <c r="E1250" s="1009"/>
      <c r="F1250" s="1009"/>
    </row>
    <row r="1251" spans="1:7" ht="12.75">
      <c r="E1251" s="1024" t="s">
        <v>2199</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366" workbookViewId="0">
      <selection activeCell="AR398" sqref="AR398"/>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2" t="s">
        <v>830</v>
      </c>
      <c r="B9" s="1402"/>
      <c r="C9" s="1402"/>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c r="AG9" s="1402"/>
      <c r="AH9" s="1402"/>
      <c r="AI9" s="1402"/>
      <c r="AJ9" s="1402"/>
      <c r="AK9" s="1402"/>
      <c r="AL9" s="1402"/>
    </row>
    <row r="10" spans="1:45" ht="12.95" customHeight="1">
      <c r="A10" s="1404" t="s">
        <v>2356</v>
      </c>
      <c r="B10" s="1404"/>
      <c r="C10" s="1404"/>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row>
    <row r="11" spans="1:45" s="267" customFormat="1" ht="12.95" customHeight="1">
      <c r="A11" s="1407" t="s">
        <v>2339</v>
      </c>
      <c r="B11" s="1408"/>
      <c r="C11" s="1408"/>
      <c r="D11" s="1408"/>
      <c r="E11" s="1408"/>
      <c r="F11" s="1408"/>
      <c r="G11" s="1408"/>
      <c r="H11" s="1408"/>
      <c r="I11" s="1408"/>
      <c r="J11" s="1408"/>
      <c r="K11" s="1408"/>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8"/>
      <c r="AI11" s="1408"/>
      <c r="AJ11" s="1408"/>
      <c r="AK11" s="1408"/>
      <c r="AL11" s="1408"/>
    </row>
    <row r="12" spans="1:45" ht="12.95" customHeight="1">
      <c r="A12" s="982" t="s">
        <v>1965</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405" t="s">
        <v>2472</v>
      </c>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row>
    <row r="16" spans="1:45" ht="12.95" customHeight="1"/>
    <row r="17" spans="1:40" ht="12.95" customHeight="1">
      <c r="A17" s="63" t="s">
        <v>831</v>
      </c>
      <c r="C17" s="5"/>
      <c r="D17" s="5"/>
      <c r="E17" s="5"/>
      <c r="F17" s="5"/>
      <c r="G17" s="5"/>
      <c r="H17" s="1355" t="s">
        <v>2440</v>
      </c>
      <c r="I17" s="1406"/>
      <c r="J17" s="1406"/>
      <c r="K17" s="1406"/>
      <c r="L17" s="1406"/>
      <c r="M17" s="1406"/>
      <c r="N17" s="1406"/>
      <c r="O17" s="1406"/>
      <c r="P17" s="1406"/>
      <c r="Q17" s="1406"/>
      <c r="R17" s="1406"/>
      <c r="S17" s="1406"/>
      <c r="T17" s="1406"/>
      <c r="U17" s="1406"/>
      <c r="V17" s="1406"/>
      <c r="W17" s="1406"/>
      <c r="X17" s="1406"/>
      <c r="Y17" s="1406"/>
      <c r="Z17" s="1406"/>
      <c r="AA17" s="1406"/>
      <c r="AB17" s="1406"/>
      <c r="AC17" s="1406"/>
      <c r="AD17" s="1406"/>
      <c r="AE17" s="1406"/>
      <c r="AF17" s="1406"/>
      <c r="AG17" s="1406"/>
      <c r="AH17" s="1406"/>
      <c r="AI17" s="1406"/>
      <c r="AJ17" s="1406"/>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11" t="s">
        <v>1405</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5">
        <f>ROUND('Basis &amp; Credits'!AB55,0)</f>
        <v>2500000</v>
      </c>
      <c r="N25" s="1415"/>
      <c r="O25" s="1415"/>
      <c r="P25" s="1415"/>
      <c r="Q25" s="1415"/>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5">
        <f>'Basis &amp; Credits'!AB76</f>
        <v>9471206</v>
      </c>
      <c r="N27" s="1415"/>
      <c r="O27" s="1415"/>
      <c r="P27" s="1415"/>
      <c r="Q27" s="1415"/>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232" t="s">
        <v>116</v>
      </c>
      <c r="P33" s="1232"/>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387" t="s">
        <v>2512</v>
      </c>
      <c r="H128" s="1286"/>
      <c r="I128" s="41" t="s">
        <v>441</v>
      </c>
      <c r="J128" s="41"/>
      <c r="L128" s="1410">
        <v>25</v>
      </c>
      <c r="M128" s="1410"/>
      <c r="N128" s="1410"/>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9" t="s">
        <v>429</v>
      </c>
      <c r="D130" s="1410"/>
      <c r="E130" s="1410"/>
      <c r="F130" s="1410"/>
      <c r="G130" s="1410"/>
      <c r="H130" s="1410"/>
      <c r="I130" s="1410"/>
      <c r="J130" s="1410"/>
      <c r="K130" s="1410"/>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5" t="s">
        <v>2465</v>
      </c>
      <c r="Z131" s="1406"/>
      <c r="AA131" s="1406"/>
      <c r="AB131" s="1406"/>
      <c r="AC131" s="1406"/>
      <c r="AD131" s="1406"/>
      <c r="AE131" s="1406"/>
      <c r="AF131" s="1406"/>
      <c r="AG131" s="1406"/>
      <c r="AH131" s="1406"/>
      <c r="AI131" s="1406"/>
      <c r="AJ131" s="1406"/>
      <c r="AK131" s="1406"/>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5" t="s">
        <v>2513</v>
      </c>
      <c r="Z134" s="1406"/>
      <c r="AA134" s="1406"/>
      <c r="AB134" s="1406"/>
      <c r="AC134" s="1406"/>
      <c r="AD134" s="1406"/>
      <c r="AE134" s="1406"/>
      <c r="AF134" s="1406"/>
      <c r="AG134" s="1406"/>
      <c r="AH134" s="1406"/>
      <c r="AI134" s="1406"/>
      <c r="AJ134" s="1406"/>
      <c r="AK134" s="1406"/>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355" t="s">
        <v>2362</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84</v>
      </c>
    </row>
    <row r="157" spans="1:72" ht="12.95" customHeight="1">
      <c r="D157" s="340" t="s">
        <v>574</v>
      </c>
      <c r="O157" s="1297" t="s">
        <v>2363</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745</v>
      </c>
      <c r="BN157" s="30" t="s">
        <v>451</v>
      </c>
      <c r="BT157" t="s">
        <v>31</v>
      </c>
    </row>
    <row r="158" spans="1:72" ht="12.95" customHeight="1">
      <c r="D158" s="12" t="s">
        <v>575</v>
      </c>
      <c r="F158" s="12"/>
      <c r="G158" s="12"/>
      <c r="H158" s="12"/>
      <c r="I158" s="12"/>
      <c r="J158" s="12"/>
      <c r="K158" s="12"/>
      <c r="L158" s="12"/>
      <c r="M158" s="12"/>
      <c r="N158" s="12"/>
      <c r="O158" s="1492" t="s">
        <v>576</v>
      </c>
      <c r="P158" s="1492"/>
      <c r="Q158" s="1492"/>
      <c r="R158" s="1492"/>
      <c r="S158" s="1492"/>
      <c r="T158" s="1492"/>
      <c r="U158" s="1492"/>
      <c r="V158" s="1492"/>
      <c r="W158" s="1492"/>
      <c r="X158" s="1492"/>
      <c r="Y158" s="1492"/>
      <c r="Z158" s="1492"/>
      <c r="AA158" s="1492"/>
      <c r="AB158" s="1492"/>
      <c r="AC158" s="1492"/>
      <c r="AD158" s="1492"/>
      <c r="AE158" s="1492"/>
      <c r="AF158" s="1492"/>
      <c r="AG158" s="1492"/>
      <c r="AH158" s="1492"/>
      <c r="BN158" s="30" t="s">
        <v>452</v>
      </c>
      <c r="BT158" t="s">
        <v>32</v>
      </c>
    </row>
    <row r="159" spans="1:72" ht="12.95" customHeight="1">
      <c r="D159" t="s">
        <v>683</v>
      </c>
      <c r="O159" s="1233" t="s">
        <v>2365</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413</v>
      </c>
    </row>
    <row r="160" spans="1:72" ht="12.95" customHeight="1">
      <c r="D160" t="s">
        <v>684</v>
      </c>
      <c r="O160" s="1355" t="s">
        <v>2359</v>
      </c>
      <c r="P160" s="1406"/>
      <c r="Q160" s="1406"/>
      <c r="R160" s="1406"/>
      <c r="S160" s="1406"/>
      <c r="T160" s="1406"/>
      <c r="U160" s="1406"/>
      <c r="V160" s="1406"/>
      <c r="W160" s="1406"/>
      <c r="X160" s="1406"/>
      <c r="Y160" s="12"/>
      <c r="Z160" s="12"/>
      <c r="AA160" s="12"/>
      <c r="AB160" s="12"/>
      <c r="AC160" s="12"/>
      <c r="AD160" s="12"/>
      <c r="AE160" s="12"/>
      <c r="AF160" s="12"/>
      <c r="BN160" s="30" t="s">
        <v>80</v>
      </c>
      <c r="BT160" t="s">
        <v>414</v>
      </c>
    </row>
    <row r="161" spans="1:72" ht="12.95" customHeight="1">
      <c r="D161" t="s">
        <v>685</v>
      </c>
      <c r="O161" s="1495">
        <v>90280</v>
      </c>
      <c r="P161" s="1495"/>
      <c r="Q161" s="1495"/>
      <c r="R161" s="1495"/>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497" t="s">
        <v>2364</v>
      </c>
      <c r="P162" s="1497"/>
      <c r="Q162" s="1497"/>
      <c r="R162" s="1497"/>
      <c r="S162" s="1497"/>
      <c r="T162" s="1497"/>
      <c r="V162" s="179" t="s">
        <v>12</v>
      </c>
      <c r="W162" s="1496"/>
      <c r="X162" s="1496"/>
      <c r="Y162" s="14"/>
      <c r="Z162" s="14"/>
      <c r="AA162" s="14"/>
      <c r="AB162" s="14"/>
      <c r="AC162" s="14"/>
      <c r="AD162" s="14"/>
      <c r="AE162" s="14"/>
      <c r="AF162" s="14"/>
      <c r="BJ162" t="s">
        <v>116</v>
      </c>
      <c r="BN162" s="30" t="s">
        <v>82</v>
      </c>
      <c r="BT162" t="s">
        <v>416</v>
      </c>
    </row>
    <row r="163" spans="1:72" ht="12.95" customHeight="1">
      <c r="D163" t="s">
        <v>687</v>
      </c>
      <c r="O163" s="1497"/>
      <c r="P163" s="1497"/>
      <c r="Q163" s="1497"/>
      <c r="R163" s="1497"/>
      <c r="S163" s="1497"/>
      <c r="T163" s="1497"/>
      <c r="U163" s="14"/>
      <c r="V163" s="14"/>
      <c r="W163" s="14"/>
      <c r="X163" s="14"/>
      <c r="Y163" s="14"/>
      <c r="Z163" s="14"/>
      <c r="AA163" s="14"/>
      <c r="AB163" s="14"/>
      <c r="AC163" s="14"/>
      <c r="AD163" s="14"/>
      <c r="AE163" s="14"/>
      <c r="AF163" s="14"/>
      <c r="BN163" s="30" t="s">
        <v>505</v>
      </c>
      <c r="BT163" t="s">
        <v>417</v>
      </c>
    </row>
    <row r="164" spans="1:72" ht="12.95" customHeight="1">
      <c r="D164" t="s">
        <v>688</v>
      </c>
      <c r="O164" s="1488" t="s">
        <v>2366</v>
      </c>
      <c r="P164" s="1488"/>
      <c r="Q164" s="1488"/>
      <c r="R164" s="1488"/>
      <c r="S164" s="1488"/>
      <c r="T164" s="1488"/>
      <c r="U164" s="1488"/>
      <c r="V164" s="1488"/>
      <c r="W164" s="1488"/>
      <c r="X164" s="1488"/>
      <c r="Y164" s="1488"/>
      <c r="Z164" s="1488"/>
      <c r="AA164" s="1488"/>
      <c r="AB164" s="1488"/>
      <c r="AC164" s="1488"/>
      <c r="AD164" s="1488"/>
      <c r="AE164" s="1488"/>
      <c r="AF164" s="1488"/>
      <c r="AG164" s="1488"/>
      <c r="AH164" s="1488"/>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4" t="s">
        <v>2019</v>
      </c>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8" t="s">
        <v>404</v>
      </c>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c r="AA169" s="1418"/>
      <c r="AB169" s="1418"/>
      <c r="AC169" s="1418"/>
      <c r="AD169" s="1418"/>
      <c r="AE169" s="1418"/>
      <c r="AF169" s="1418"/>
      <c r="AG169" s="1418"/>
      <c r="AH169" s="1418"/>
      <c r="AI169" s="1418"/>
      <c r="AJ169" s="1418"/>
      <c r="AK169" s="1418"/>
      <c r="AL169" s="1418"/>
      <c r="BN169" s="30" t="s">
        <v>515</v>
      </c>
      <c r="BT169" t="s">
        <v>423</v>
      </c>
    </row>
    <row r="170" spans="1:72" ht="12.95" customHeight="1" thickBot="1">
      <c r="A170" s="1419"/>
      <c r="B170" s="1419"/>
      <c r="C170" s="1419"/>
      <c r="D170" s="1419"/>
      <c r="E170" s="1419"/>
      <c r="F170" s="1419"/>
      <c r="G170" s="1419"/>
      <c r="H170" s="1419"/>
      <c r="I170" s="1419"/>
      <c r="J170" s="1419"/>
      <c r="K170" s="1419"/>
      <c r="L170" s="1419"/>
      <c r="M170" s="1419"/>
      <c r="N170" s="1419"/>
      <c r="O170" s="1419"/>
      <c r="P170" s="1419"/>
      <c r="Q170" s="1419"/>
      <c r="R170" s="1419"/>
      <c r="S170" s="1419"/>
      <c r="T170" s="1419"/>
      <c r="U170" s="1419"/>
      <c r="V170" s="1419"/>
      <c r="W170" s="1419"/>
      <c r="X170" s="1419"/>
      <c r="Y170" s="1419"/>
      <c r="Z170" s="1419"/>
      <c r="AA170" s="1419"/>
      <c r="AB170" s="1419"/>
      <c r="AC170" s="1419"/>
      <c r="AD170" s="1419"/>
      <c r="AE170" s="1419"/>
      <c r="AF170" s="1419"/>
      <c r="AG170" s="1419"/>
      <c r="AH170" s="1419"/>
      <c r="AI170" s="1419"/>
      <c r="AJ170" s="1419"/>
      <c r="AK170" s="1419"/>
      <c r="AL170" s="1419"/>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56" t="s">
        <v>536</v>
      </c>
      <c r="K173" s="1356"/>
      <c r="L173" s="1356"/>
      <c r="M173" s="1356"/>
      <c r="N173" s="1356"/>
      <c r="O173" s="1356"/>
      <c r="P173" s="1356"/>
      <c r="Q173" s="1356"/>
      <c r="R173" s="1356"/>
      <c r="S173" s="1356"/>
      <c r="U173" s="32"/>
      <c r="X173" s="32"/>
      <c r="BN173" s="30" t="s">
        <v>520</v>
      </c>
      <c r="BT173" t="s">
        <v>427</v>
      </c>
    </row>
    <row r="174" spans="1:72" ht="12.95" customHeight="1">
      <c r="C174" s="31"/>
      <c r="D174" t="s">
        <v>467</v>
      </c>
      <c r="U174" s="1232" t="s">
        <v>511</v>
      </c>
      <c r="V174" s="1232"/>
      <c r="BN174" s="30" t="s">
        <v>630</v>
      </c>
      <c r="BT174" t="s">
        <v>428</v>
      </c>
    </row>
    <row r="175" spans="1:72" ht="12.95" customHeight="1">
      <c r="C175" s="12"/>
      <c r="D175" s="33"/>
      <c r="E175" t="s">
        <v>245</v>
      </c>
      <c r="O175" s="34"/>
      <c r="P175" t="s">
        <v>2229</v>
      </c>
      <c r="T175" s="34" t="s">
        <v>246</v>
      </c>
      <c r="U175" s="1272"/>
      <c r="V175" s="1272"/>
      <c r="W175" s="1" t="s">
        <v>247</v>
      </c>
      <c r="X175" s="1493"/>
      <c r="Y175" s="1493"/>
      <c r="BN175" s="30" t="s">
        <v>631</v>
      </c>
      <c r="BT175" t="s">
        <v>429</v>
      </c>
    </row>
    <row r="176" spans="1:72" ht="12.95" customHeight="1">
      <c r="C176" s="31"/>
      <c r="D176" t="s">
        <v>294</v>
      </c>
      <c r="U176" s="1232" t="s">
        <v>511</v>
      </c>
      <c r="V176" s="1232"/>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20"/>
      <c r="K178" s="1420"/>
      <c r="L178" s="374" t="s">
        <v>247</v>
      </c>
      <c r="M178" s="1421"/>
      <c r="N178" s="1421"/>
      <c r="O178" s="365"/>
      <c r="P178" s="365"/>
      <c r="Q178" s="365"/>
      <c r="R178" s="365"/>
      <c r="U178" s="365" t="s">
        <v>1286</v>
      </c>
      <c r="V178" s="365"/>
      <c r="W178" s="365"/>
      <c r="X178" s="365"/>
      <c r="Y178" s="365"/>
      <c r="Z178" s="365"/>
      <c r="AA178" s="365"/>
      <c r="AB178" s="365"/>
      <c r="AD178" s="1422"/>
      <c r="AE178" s="1422"/>
      <c r="AF178" s="1422"/>
      <c r="AG178" s="1422"/>
      <c r="AH178" s="1422"/>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232" t="s">
        <v>511</v>
      </c>
      <c r="Z180" s="1469"/>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189" t="str">
        <f>H17</f>
        <v xml:space="preserve">3125 Firestone </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605</v>
      </c>
      <c r="BT184" t="s">
        <v>438</v>
      </c>
    </row>
    <row r="185" spans="1:72" ht="12.95" customHeight="1">
      <c r="C185" s="29"/>
      <c r="D185" t="s">
        <v>458</v>
      </c>
      <c r="I185" s="1235" t="s">
        <v>2360</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606</v>
      </c>
      <c r="BT185" t="s">
        <v>880</v>
      </c>
    </row>
    <row r="186" spans="1:72" ht="12.95" customHeight="1">
      <c r="C186" s="29"/>
      <c r="E186" t="s">
        <v>66</v>
      </c>
      <c r="BN186" s="30" t="s">
        <v>607</v>
      </c>
      <c r="BT186" t="s">
        <v>881</v>
      </c>
    </row>
    <row r="187" spans="1:72" ht="12.95" customHeight="1">
      <c r="C187" s="29"/>
      <c r="E187" s="1366"/>
      <c r="F187" s="1366"/>
      <c r="G187" s="1366"/>
      <c r="H187" s="1366"/>
      <c r="I187" s="1366"/>
      <c r="J187" s="1366"/>
      <c r="K187" s="1366"/>
      <c r="L187" s="1366"/>
      <c r="M187" s="1366"/>
      <c r="N187" s="1366"/>
      <c r="O187" s="1366"/>
      <c r="P187" s="1366"/>
      <c r="Q187" s="1366"/>
      <c r="R187" s="1366"/>
      <c r="S187" s="1366"/>
      <c r="T187" s="1366"/>
      <c r="U187" s="1366"/>
      <c r="V187" s="1366"/>
      <c r="W187" s="1366"/>
      <c r="X187" s="1366"/>
      <c r="Y187" s="1366"/>
      <c r="Z187" s="1366"/>
      <c r="AA187" s="1366"/>
      <c r="AB187" s="1366"/>
      <c r="AC187" s="1366"/>
      <c r="AD187" s="1366"/>
      <c r="AE187" s="1366"/>
      <c r="BN187" s="30" t="s">
        <v>608</v>
      </c>
      <c r="BT187" t="s">
        <v>882</v>
      </c>
    </row>
    <row r="188" spans="1:72" ht="12.95" customHeight="1">
      <c r="C188" s="29"/>
      <c r="E188" s="1367"/>
      <c r="F188" s="1367"/>
      <c r="G188" s="1367"/>
      <c r="H188" s="1367"/>
      <c r="I188" s="1367"/>
      <c r="J188" s="1367"/>
      <c r="K188" s="1367"/>
      <c r="L188" s="1367"/>
      <c r="M188" s="1367"/>
      <c r="N188" s="1367"/>
      <c r="O188" s="1367"/>
      <c r="P188" s="1367"/>
      <c r="Q188" s="1367"/>
      <c r="R188" s="1367"/>
      <c r="S188" s="1367"/>
      <c r="T188" s="1367"/>
      <c r="U188" s="1367"/>
      <c r="V188" s="1367"/>
      <c r="W188" s="1367"/>
      <c r="X188" s="1367"/>
      <c r="Y188" s="1367"/>
      <c r="Z188" s="1367"/>
      <c r="AA188" s="1367"/>
      <c r="AB188" s="1367"/>
      <c r="AC188" s="1367"/>
      <c r="AD188" s="1367"/>
      <c r="AE188" s="1367"/>
      <c r="BN188" s="30" t="s">
        <v>610</v>
      </c>
      <c r="BT188" t="s">
        <v>883</v>
      </c>
    </row>
    <row r="189" spans="1:72" ht="12.95" customHeight="1">
      <c r="C189" s="29"/>
      <c r="D189" t="s">
        <v>459</v>
      </c>
      <c r="I189" s="1233" t="s">
        <v>2361</v>
      </c>
      <c r="J189" s="1233"/>
      <c r="K189" s="1233"/>
      <c r="L189" s="1233"/>
      <c r="M189" s="1233"/>
      <c r="N189" s="1233"/>
      <c r="O189" s="1233"/>
      <c r="P189" s="1233"/>
      <c r="Q189" t="s">
        <v>461</v>
      </c>
      <c r="T189" s="1233" t="s">
        <v>429</v>
      </c>
      <c r="U189" s="1233"/>
      <c r="V189" s="1233"/>
      <c r="W189" s="1233"/>
      <c r="X189" s="1233"/>
      <c r="Y189" s="1233"/>
      <c r="Z189" s="1233"/>
      <c r="AA189" s="1233"/>
      <c r="AB189" s="1233"/>
      <c r="AC189" s="1233"/>
      <c r="AD189" s="1233"/>
      <c r="AE189" s="1233"/>
      <c r="BC189" t="s">
        <v>84</v>
      </c>
      <c r="BH189" s="41" t="s">
        <v>132</v>
      </c>
      <c r="BN189" s="30" t="s">
        <v>611</v>
      </c>
      <c r="BT189" t="s">
        <v>117</v>
      </c>
    </row>
    <row r="190" spans="1:72" ht="12.95" customHeight="1">
      <c r="C190" s="29"/>
      <c r="D190" t="s">
        <v>462</v>
      </c>
      <c r="I190" s="1235">
        <v>90280</v>
      </c>
      <c r="J190" s="1235"/>
      <c r="K190" s="1235"/>
      <c r="L190" s="1235"/>
      <c r="M190" s="1235"/>
      <c r="N190" s="1235"/>
      <c r="O190" t="s">
        <v>464</v>
      </c>
      <c r="T190" s="1498">
        <v>5355.03</v>
      </c>
      <c r="U190" s="1498"/>
      <c r="V190" s="1498"/>
      <c r="W190" s="1498"/>
      <c r="X190" s="1498"/>
      <c r="Y190" s="1498"/>
      <c r="Z190" s="1498"/>
      <c r="AA190" s="1498"/>
      <c r="AB190" s="1498"/>
      <c r="AC190" s="1498"/>
      <c r="AD190" s="1498"/>
      <c r="AE190" s="1498"/>
      <c r="BC190" t="s">
        <v>699</v>
      </c>
      <c r="BH190" t="s">
        <v>699</v>
      </c>
      <c r="BN190" s="30" t="s">
        <v>450</v>
      </c>
      <c r="BT190" t="s">
        <v>118</v>
      </c>
    </row>
    <row r="191" spans="1:72" ht="12.95" customHeight="1">
      <c r="C191" s="29"/>
      <c r="D191" t="s">
        <v>89</v>
      </c>
      <c r="N191" s="1365" t="s">
        <v>2514</v>
      </c>
      <c r="O191" s="1366"/>
      <c r="P191" s="1366"/>
      <c r="Q191" s="1366"/>
      <c r="R191" s="1366"/>
      <c r="S191" s="1366"/>
      <c r="T191" s="1366"/>
      <c r="U191" s="1366"/>
      <c r="V191" s="1366"/>
      <c r="W191" s="1366"/>
      <c r="X191" s="1366"/>
      <c r="Y191" s="1366"/>
      <c r="Z191" s="1366"/>
      <c r="AA191" s="1366"/>
      <c r="AB191" s="1366"/>
      <c r="AC191" s="1366"/>
      <c r="AD191" s="1366"/>
      <c r="AE191" s="1366"/>
      <c r="BC191" t="s">
        <v>1488</v>
      </c>
      <c r="BH191" t="s">
        <v>1488</v>
      </c>
      <c r="BN191" s="30" t="s">
        <v>613</v>
      </c>
      <c r="BT191" t="s">
        <v>119</v>
      </c>
    </row>
    <row r="192" spans="1:72" ht="12.95" customHeight="1">
      <c r="C192" s="29"/>
      <c r="M192" s="49"/>
      <c r="N192" s="1367"/>
      <c r="O192" s="1367"/>
      <c r="P192" s="1367"/>
      <c r="Q192" s="1367"/>
      <c r="R192" s="1367"/>
      <c r="S192" s="1367"/>
      <c r="T192" s="1367"/>
      <c r="U192" s="1367"/>
      <c r="V192" s="1367"/>
      <c r="W192" s="1367"/>
      <c r="X192" s="1367"/>
      <c r="Y192" s="1367"/>
      <c r="Z192" s="1367"/>
      <c r="AA192" s="1367"/>
      <c r="AB192" s="1367"/>
      <c r="AC192" s="1367"/>
      <c r="AD192" s="1367"/>
      <c r="AE192" s="1367"/>
      <c r="BC192" t="s">
        <v>700</v>
      </c>
      <c r="BH192" s="5" t="s">
        <v>1495</v>
      </c>
      <c r="BN192" s="30" t="s">
        <v>614</v>
      </c>
      <c r="BT192" t="s">
        <v>120</v>
      </c>
    </row>
    <row r="193" spans="1:73" ht="12.95" customHeight="1">
      <c r="C193" s="29"/>
      <c r="D193" t="s">
        <v>465</v>
      </c>
      <c r="T193" s="1232" t="s">
        <v>511</v>
      </c>
      <c r="U193" s="1232"/>
      <c r="W193" s="41" t="s">
        <v>1982</v>
      </c>
      <c r="AA193" s="1501"/>
      <c r="AB193" s="1501"/>
      <c r="AC193" s="1501"/>
      <c r="BC193" t="s">
        <v>595</v>
      </c>
      <c r="BH193" s="5" t="s">
        <v>1496</v>
      </c>
      <c r="BN193" s="30" t="s">
        <v>615</v>
      </c>
      <c r="BT193" t="s">
        <v>121</v>
      </c>
    </row>
    <row r="194" spans="1:73" ht="12.95" customHeight="1">
      <c r="C194" s="29"/>
      <c r="D194" t="s">
        <v>126</v>
      </c>
      <c r="T194" s="1146" t="s">
        <v>511</v>
      </c>
      <c r="U194" s="1146"/>
      <c r="W194" t="s">
        <v>67</v>
      </c>
      <c r="AI194" s="1232" t="s">
        <v>511</v>
      </c>
      <c r="AJ194" s="1232"/>
      <c r="AX194" s="5" t="s">
        <v>132</v>
      </c>
      <c r="BC194" t="s">
        <v>651</v>
      </c>
      <c r="BN194" s="30" t="s">
        <v>790</v>
      </c>
      <c r="BT194" t="s">
        <v>122</v>
      </c>
    </row>
    <row r="195" spans="1:73" ht="12.95" customHeight="1">
      <c r="C195" s="29"/>
      <c r="D195" s="41" t="s">
        <v>1811</v>
      </c>
      <c r="T195" s="1146" t="s">
        <v>511</v>
      </c>
      <c r="U195" s="1146"/>
      <c r="X195" s="817" t="s">
        <v>2231</v>
      </c>
      <c r="AX195" s="5" t="s">
        <v>1198</v>
      </c>
      <c r="BN195" s="30" t="s">
        <v>791</v>
      </c>
      <c r="BT195" t="s">
        <v>123</v>
      </c>
    </row>
    <row r="196" spans="1:73" ht="12.95" customHeight="1">
      <c r="C196" s="29"/>
      <c r="D196" s="5" t="s">
        <v>1203</v>
      </c>
      <c r="T196" s="1146" t="s">
        <v>511</v>
      </c>
      <c r="U196" s="1146"/>
      <c r="AK196" s="1500"/>
      <c r="AL196" s="1500"/>
      <c r="AX196" s="41" t="s">
        <v>2330</v>
      </c>
      <c r="BN196" s="30" t="s">
        <v>792</v>
      </c>
      <c r="BT196" t="s">
        <v>124</v>
      </c>
    </row>
    <row r="197" spans="1:73" ht="12.95" customHeight="1">
      <c r="C197" s="29"/>
      <c r="D197" s="41" t="s">
        <v>1983</v>
      </c>
      <c r="T197" s="1232" t="s">
        <v>511</v>
      </c>
      <c r="U197" s="1232"/>
      <c r="AX197" s="5" t="s">
        <v>1199</v>
      </c>
      <c r="BC197" t="s">
        <v>84</v>
      </c>
      <c r="BN197" s="30" t="s">
        <v>793</v>
      </c>
      <c r="BT197" t="s">
        <v>125</v>
      </c>
    </row>
    <row r="198" spans="1:73" ht="12.95" customHeight="1">
      <c r="C198" s="29"/>
      <c r="D198" s="41" t="s">
        <v>2011</v>
      </c>
      <c r="W198" s="1387" t="s">
        <v>511</v>
      </c>
      <c r="X198" s="1232"/>
      <c r="AX198" s="5" t="s">
        <v>1200</v>
      </c>
      <c r="BC198" t="s">
        <v>1150</v>
      </c>
      <c r="BN198" s="30" t="s">
        <v>794</v>
      </c>
      <c r="BT198" t="s">
        <v>844</v>
      </c>
    </row>
    <row r="199" spans="1:73" ht="12.95" customHeight="1">
      <c r="C199" s="29"/>
      <c r="L199" s="310"/>
      <c r="M199" s="310"/>
      <c r="N199" s="310"/>
      <c r="O199" s="310"/>
      <c r="P199" s="310"/>
      <c r="Q199" s="942" t="s">
        <v>2232</v>
      </c>
      <c r="R199" s="1355" t="s">
        <v>2122</v>
      </c>
      <c r="S199" s="1355"/>
      <c r="T199" s="1355"/>
      <c r="U199" s="1355"/>
      <c r="V199" s="1355"/>
      <c r="W199" s="1355"/>
      <c r="X199" s="1355"/>
      <c r="Y199" s="1355"/>
      <c r="Z199" s="1355"/>
      <c r="AA199" s="1355"/>
      <c r="AB199" s="1355"/>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189" t="str">
        <f>IF(AND(M25&gt;0,M27&gt;0),"Federal and State","Federal Only")</f>
        <v>Federal and State</v>
      </c>
      <c r="E203" s="1189"/>
      <c r="F203" s="1189"/>
      <c r="G203" s="1189"/>
      <c r="H203" s="1189"/>
      <c r="I203" s="1189"/>
      <c r="J203" s="1189"/>
      <c r="K203" s="1189"/>
      <c r="L203" s="1189"/>
      <c r="M203" s="1189"/>
      <c r="P203" s="1403">
        <f>M25</f>
        <v>2500000</v>
      </c>
      <c r="Q203" s="1403"/>
      <c r="R203" s="1403"/>
      <c r="S203" s="1403"/>
      <c r="T203" s="1403"/>
      <c r="U203" s="1403"/>
      <c r="W203" s="1403">
        <f>M27</f>
        <v>9471206</v>
      </c>
      <c r="X203" s="1403"/>
      <c r="Y203" s="1403"/>
      <c r="Z203" s="1403"/>
      <c r="AA203" s="1403"/>
      <c r="AB203" s="1403"/>
      <c r="AV203" t="s">
        <v>132</v>
      </c>
      <c r="AX203" s="5" t="s">
        <v>700</v>
      </c>
      <c r="BC203" t="s">
        <v>1501</v>
      </c>
      <c r="BN203" s="30" t="s">
        <v>697</v>
      </c>
      <c r="BT203" s="40" t="s">
        <v>849</v>
      </c>
      <c r="BU203" s="21"/>
    </row>
    <row r="204" spans="1:73" ht="12.95" customHeight="1">
      <c r="C204" s="29"/>
      <c r="P204" s="1417" t="s">
        <v>186</v>
      </c>
      <c r="Q204" s="1417"/>
      <c r="R204" s="1417"/>
      <c r="S204" s="1417"/>
      <c r="T204" s="1417"/>
      <c r="U204" s="1417"/>
      <c r="V204" s="36"/>
      <c r="W204" s="1417" t="s">
        <v>187</v>
      </c>
      <c r="X204" s="1417"/>
      <c r="Y204" s="1417"/>
      <c r="Z204" s="1417"/>
      <c r="AA204" s="1417"/>
      <c r="AB204" s="1417"/>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406" t="s">
        <v>2473</v>
      </c>
      <c r="E208" s="1406"/>
      <c r="F208" s="1406"/>
      <c r="G208" s="1406"/>
      <c r="H208" s="1406"/>
      <c r="I208" s="1406"/>
      <c r="J208" s="1406"/>
      <c r="K208" s="1406"/>
      <c r="L208" s="1406"/>
      <c r="M208" s="1406"/>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406" t="s">
        <v>132</v>
      </c>
      <c r="E211" s="1406"/>
      <c r="F211" s="1406"/>
      <c r="G211" s="1406"/>
      <c r="H211" s="1406"/>
      <c r="I211" s="1406"/>
      <c r="J211" s="1406"/>
      <c r="K211" s="1406"/>
      <c r="L211" s="1406"/>
      <c r="M211" s="1406"/>
      <c r="N211" s="1406"/>
      <c r="O211" s="1406"/>
      <c r="P211" s="1406"/>
      <c r="X211" s="823"/>
      <c r="Y211" s="1499" t="s">
        <v>511</v>
      </c>
      <c r="Z211" s="1499"/>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406" t="s">
        <v>699</v>
      </c>
      <c r="E214" s="1406"/>
      <c r="F214" s="1406"/>
      <c r="G214" s="1406"/>
      <c r="H214" s="1406"/>
      <c r="I214" s="1406"/>
      <c r="J214" s="1406"/>
      <c r="K214" s="1406"/>
      <c r="L214" s="1406"/>
      <c r="M214" s="1406"/>
      <c r="N214" s="1406"/>
      <c r="O214" s="1406"/>
      <c r="P214" s="1406"/>
      <c r="Q214" s="1406"/>
      <c r="R214" s="1406"/>
      <c r="S214" s="1406"/>
      <c r="T214" s="1406"/>
      <c r="U214" s="1406"/>
      <c r="V214" s="1406"/>
      <c r="W214" s="1406"/>
      <c r="X214" s="1406"/>
      <c r="Y214" s="1406"/>
      <c r="Z214" s="1406"/>
      <c r="BC214" t="s">
        <v>666</v>
      </c>
      <c r="BN214" s="30" t="s">
        <v>472</v>
      </c>
      <c r="BT214" s="40" t="s">
        <v>858</v>
      </c>
    </row>
    <row r="215" spans="1:72" ht="12.95" customHeight="1">
      <c r="D215" s="35"/>
      <c r="E215" s="41" t="s">
        <v>2208</v>
      </c>
      <c r="AC215" s="1502"/>
      <c r="AD215" s="1502"/>
      <c r="AF215" s="1423">
        <f>IFERROR(AC215/AG433,"")</f>
        <v>0</v>
      </c>
      <c r="AG215" s="1423"/>
      <c r="BC215" t="s">
        <v>663</v>
      </c>
    </row>
    <row r="216" spans="1:72" ht="12.95" customHeight="1">
      <c r="D216" s="35"/>
      <c r="E216" s="958" t="s">
        <v>1499</v>
      </c>
      <c r="BC216" t="s">
        <v>780</v>
      </c>
    </row>
    <row r="217" spans="1:72" ht="12.95" customHeight="1">
      <c r="E217" s="1414" t="s">
        <v>132</v>
      </c>
      <c r="F217" s="1414"/>
      <c r="G217" s="1414"/>
      <c r="H217" s="1414"/>
      <c r="I217" s="1414"/>
      <c r="J217" s="1414"/>
      <c r="K217" s="1414"/>
      <c r="L217" s="1414"/>
      <c r="M217" s="1414"/>
      <c r="N217" s="1414"/>
      <c r="O217" s="1414"/>
      <c r="P217" s="1414"/>
      <c r="Q217" s="1414"/>
      <c r="R217" s="1414"/>
      <c r="S217" s="1414"/>
      <c r="T217" s="1414"/>
      <c r="U217" s="1414"/>
      <c r="V217" s="1414"/>
      <c r="W217" s="1414"/>
      <c r="X217" s="1414"/>
      <c r="Y217" s="1414"/>
      <c r="Z217" s="1414"/>
      <c r="AA217" s="49"/>
      <c r="AB217" s="49"/>
      <c r="AC217" s="49"/>
      <c r="AD217" s="49"/>
      <c r="AE217" s="49"/>
      <c r="AF217" s="49"/>
      <c r="BC217" t="s">
        <v>664</v>
      </c>
    </row>
    <row r="218" spans="1:72" ht="12.95" customHeight="1">
      <c r="E218" s="41" t="s">
        <v>2059</v>
      </c>
      <c r="AA218" s="49"/>
      <c r="AC218" s="1374"/>
      <c r="AD218" s="1374"/>
      <c r="AE218" s="1374"/>
      <c r="AF218" s="1374"/>
      <c r="AG218" s="1374"/>
      <c r="AH218" s="1374"/>
      <c r="AI218" s="1374"/>
      <c r="AJ218" s="1374"/>
      <c r="AK218" s="1374"/>
      <c r="AL218" s="1374"/>
      <c r="AM218" s="1374"/>
      <c r="BC218" t="s">
        <v>665</v>
      </c>
      <c r="BI218" s="39"/>
    </row>
    <row r="219" spans="1:72" ht="12.95" customHeight="1">
      <c r="E219" s="41" t="s">
        <v>2060</v>
      </c>
      <c r="AA219" s="49"/>
      <c r="AC219" s="1374"/>
      <c r="AD219" s="1374"/>
      <c r="AE219" s="1374"/>
      <c r="AF219" s="1374"/>
      <c r="AG219" s="1374"/>
      <c r="AH219" s="1374"/>
      <c r="AI219" s="1374"/>
      <c r="AJ219" s="1374"/>
      <c r="AK219" s="1374"/>
      <c r="AL219" s="1374"/>
      <c r="AM219" s="1374"/>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5" t="s">
        <v>1151</v>
      </c>
      <c r="E223" s="1355"/>
      <c r="F223" s="1355"/>
      <c r="G223" s="1355"/>
      <c r="H223" s="1355"/>
      <c r="I223" s="1355"/>
      <c r="J223" s="1355"/>
      <c r="K223" s="1355"/>
      <c r="L223" s="1355"/>
      <c r="M223" s="1355"/>
      <c r="N223" s="1355"/>
      <c r="O223" s="1355"/>
      <c r="P223" s="1355"/>
      <c r="Q223" s="1355"/>
      <c r="R223" s="1355"/>
      <c r="S223" s="1355"/>
      <c r="T223" s="1355"/>
      <c r="U223" s="1355"/>
      <c r="V223" s="1355"/>
      <c r="W223" s="1355"/>
      <c r="X223" s="1355"/>
      <c r="Y223" s="1355"/>
      <c r="Z223" s="1355"/>
      <c r="AA223" s="1355"/>
      <c r="AB223" s="1355"/>
      <c r="AC223" s="1355"/>
      <c r="AD223" s="1355"/>
      <c r="AE223" s="1355"/>
      <c r="AF223" s="1355"/>
      <c r="AG223" s="1355"/>
      <c r="AH223" s="1355"/>
      <c r="AI223" s="1355"/>
      <c r="AJ223" s="21"/>
      <c r="AK223" s="21"/>
      <c r="AL223" s="21"/>
    </row>
    <row r="224" spans="1:72" ht="12.95" customHeight="1">
      <c r="AJ224" s="5"/>
    </row>
    <row r="225" spans="1:59" ht="12.95" customHeight="1">
      <c r="D225" t="s">
        <v>588</v>
      </c>
      <c r="O225" s="1232">
        <v>44</v>
      </c>
      <c r="P225" s="1232"/>
    </row>
    <row r="226" spans="1:59" ht="12.95" customHeight="1">
      <c r="D226" t="s">
        <v>589</v>
      </c>
      <c r="O226" s="1232">
        <v>62</v>
      </c>
      <c r="P226" s="1232"/>
      <c r="BB226" s="5" t="s">
        <v>674</v>
      </c>
      <c r="BG226" s="414">
        <f>IF(AND(AND($M$251="for profit",$M$259="for profit",$M$267="nonprofit")),2,0)</f>
        <v>0</v>
      </c>
    </row>
    <row r="227" spans="1:59" ht="12.95" customHeight="1">
      <c r="D227" t="s">
        <v>590</v>
      </c>
      <c r="O227" s="1232">
        <v>33</v>
      </c>
      <c r="P227" s="1232"/>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2</v>
      </c>
    </row>
    <row r="231" spans="1:59" ht="12.95" customHeight="1">
      <c r="A231" s="1418" t="s">
        <v>524</v>
      </c>
      <c r="B231" s="1418"/>
      <c r="C231" s="1418"/>
      <c r="D231" s="1418"/>
      <c r="E231" s="1418"/>
      <c r="F231" s="1418"/>
      <c r="G231" s="1418"/>
      <c r="H231" s="1418"/>
      <c r="I231" s="1418"/>
      <c r="J231" s="1418"/>
      <c r="K231" s="1418"/>
      <c r="L231" s="1418"/>
      <c r="M231" s="1418"/>
      <c r="N231" s="1418"/>
      <c r="O231" s="1418"/>
      <c r="P231" s="1418"/>
      <c r="Q231" s="1418"/>
      <c r="R231" s="1418"/>
      <c r="S231" s="1418"/>
      <c r="T231" s="1418"/>
      <c r="U231" s="1418"/>
      <c r="V231" s="1418"/>
      <c r="W231" s="1418"/>
      <c r="X231" s="1418"/>
      <c r="Y231" s="1418"/>
      <c r="Z231" s="1418"/>
      <c r="AA231" s="1418"/>
      <c r="AB231" s="1418"/>
      <c r="AC231" s="1418"/>
      <c r="AD231" s="1418"/>
      <c r="AE231" s="1418"/>
      <c r="AF231" s="1418"/>
      <c r="AG231" s="1418"/>
      <c r="AH231" s="1418"/>
      <c r="AI231" s="1418"/>
      <c r="AJ231" s="1418"/>
      <c r="AK231" s="1418"/>
      <c r="AL231" s="1418"/>
    </row>
    <row r="232" spans="1:59" ht="12.95" customHeight="1" thickBot="1">
      <c r="A232" s="1419"/>
      <c r="B232" s="1419"/>
      <c r="C232" s="1419"/>
      <c r="D232" s="1419"/>
      <c r="E232" s="1419"/>
      <c r="F232" s="1419"/>
      <c r="G232" s="1419"/>
      <c r="H232" s="1419"/>
      <c r="I232" s="1419"/>
      <c r="J232" s="1419"/>
      <c r="K232" s="1419"/>
      <c r="L232" s="1419"/>
      <c r="M232" s="1419"/>
      <c r="N232" s="1419"/>
      <c r="O232" s="1419"/>
      <c r="P232" s="1419"/>
      <c r="Q232" s="1419"/>
      <c r="R232" s="1419"/>
      <c r="S232" s="1419"/>
      <c r="T232" s="1419"/>
      <c r="U232" s="1419"/>
      <c r="V232" s="1419"/>
      <c r="W232" s="1419"/>
      <c r="X232" s="1419"/>
      <c r="Y232" s="1419"/>
      <c r="Z232" s="1419"/>
      <c r="AA232" s="1419"/>
      <c r="AB232" s="1419"/>
      <c r="AC232" s="1419"/>
      <c r="AD232" s="1419"/>
      <c r="AE232" s="1419"/>
      <c r="AF232" s="1419"/>
      <c r="AG232" s="1419"/>
      <c r="AH232" s="1419"/>
      <c r="AI232" s="1419"/>
      <c r="AJ232" s="1419"/>
      <c r="AK232" s="1419"/>
      <c r="AL232" s="1419"/>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416" t="str">
        <f>H15</f>
        <v xml:space="preserve">3125 South Gate, LP </v>
      </c>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1416"/>
      <c r="AJ235" s="1416"/>
      <c r="AK235" s="1416"/>
      <c r="BB235" s="3"/>
      <c r="BG235" s="5"/>
    </row>
    <row r="236" spans="1:59" ht="12.95" customHeight="1">
      <c r="D236" s="5" t="s">
        <v>397</v>
      </c>
      <c r="E236" s="5"/>
      <c r="F236" s="5"/>
      <c r="G236" s="5"/>
      <c r="H236" s="5"/>
      <c r="I236" s="5"/>
      <c r="J236" s="5"/>
      <c r="K236" s="5"/>
      <c r="M236" s="1355" t="s">
        <v>2367</v>
      </c>
      <c r="N236" s="1406"/>
      <c r="O236" s="1406"/>
      <c r="P236" s="1406"/>
      <c r="Q236" s="1406"/>
      <c r="R236" s="1406"/>
      <c r="S236" s="1406"/>
      <c r="T236" s="1406"/>
      <c r="U236" s="1406"/>
      <c r="V236" s="1406"/>
      <c r="W236" s="1406"/>
      <c r="X236" s="1406"/>
      <c r="Y236" s="1406"/>
      <c r="Z236" s="1406"/>
      <c r="AA236" s="1406"/>
      <c r="AB236" s="1406"/>
      <c r="AC236" s="1406"/>
      <c r="AD236" s="1406"/>
      <c r="AE236" s="1406"/>
      <c r="AM236" s="41"/>
      <c r="AN236" s="41"/>
      <c r="BB236" t="s">
        <v>673</v>
      </c>
      <c r="BG236" s="414">
        <f>IF(AND(AND($M$251="nonprofit",$M$259="nonprofit",$M$267="nonprofit")),1,0)</f>
        <v>0</v>
      </c>
    </row>
    <row r="237" spans="1:59" ht="12.95" customHeight="1">
      <c r="D237" s="5" t="s">
        <v>459</v>
      </c>
      <c r="E237" s="5"/>
      <c r="M237" s="1355" t="s">
        <v>429</v>
      </c>
      <c r="N237" s="1406"/>
      <c r="O237" s="1406"/>
      <c r="P237" s="1406"/>
      <c r="Q237" s="1406"/>
      <c r="R237" s="1406"/>
      <c r="S237" s="1406"/>
      <c r="T237" s="1406"/>
      <c r="V237" s="42" t="s">
        <v>398</v>
      </c>
      <c r="W237" s="1297" t="s">
        <v>2375</v>
      </c>
      <c r="X237" s="1231"/>
      <c r="Y237" s="5" t="s">
        <v>462</v>
      </c>
      <c r="AC237" s="1406">
        <v>90064</v>
      </c>
      <c r="AD237" s="1406"/>
      <c r="AE237" s="1406"/>
      <c r="AN237" s="41"/>
      <c r="BB237" t="s">
        <v>673</v>
      </c>
      <c r="BG237" s="414">
        <f>IF(AND(AND($M$251="nonprofit",$M$259="nonprofit",$M$267="(select one)")),1,0)</f>
        <v>0</v>
      </c>
    </row>
    <row r="238" spans="1:59" ht="12.95" customHeight="1">
      <c r="D238" s="5" t="s">
        <v>399</v>
      </c>
      <c r="E238" s="5"/>
      <c r="F238" s="5"/>
      <c r="G238" s="5"/>
      <c r="H238" s="5"/>
      <c r="I238" s="5"/>
      <c r="J238" s="5"/>
      <c r="K238" s="28"/>
      <c r="M238" s="1355" t="s">
        <v>2368</v>
      </c>
      <c r="N238" s="1406"/>
      <c r="O238" s="1406"/>
      <c r="P238" s="1406"/>
      <c r="Q238" s="1406"/>
      <c r="R238" s="1406"/>
      <c r="S238" s="1406"/>
      <c r="T238" s="1406"/>
      <c r="U238" s="1406"/>
      <c r="V238" s="1406"/>
      <c r="W238" s="1406"/>
      <c r="X238" s="1406"/>
      <c r="Y238" s="1406"/>
      <c r="Z238" s="1406"/>
      <c r="AA238" s="1406"/>
      <c r="AB238" s="1406"/>
      <c r="AC238" s="1406"/>
      <c r="AD238" s="1406"/>
      <c r="AE238" s="1406"/>
      <c r="AI238" s="5"/>
      <c r="AJ238" s="5"/>
      <c r="AK238" s="5"/>
      <c r="AL238" s="5"/>
      <c r="AN238" s="41"/>
      <c r="BB238" t="s">
        <v>673</v>
      </c>
      <c r="BG238" s="414">
        <f>IF(AND(AND($M$251="nonprofit",$M$259="(select one)",$M$267="(select one)")),1,0)</f>
        <v>0</v>
      </c>
    </row>
    <row r="239" spans="1:59" ht="12.95" customHeight="1">
      <c r="D239" s="5" t="s">
        <v>400</v>
      </c>
      <c r="E239" s="5"/>
      <c r="F239" s="5"/>
      <c r="M239" s="1236" t="s">
        <v>2369</v>
      </c>
      <c r="N239" s="1234"/>
      <c r="O239" s="1234"/>
      <c r="P239" s="1234"/>
      <c r="Q239" s="1234"/>
      <c r="R239" s="1234"/>
      <c r="S239" s="5" t="s">
        <v>859</v>
      </c>
      <c r="T239" s="5"/>
      <c r="U239" s="1231">
        <v>108</v>
      </c>
      <c r="V239" s="1231"/>
      <c r="W239" s="1231"/>
      <c r="X239" s="5" t="s">
        <v>401</v>
      </c>
      <c r="Z239" s="1236" t="s">
        <v>2383</v>
      </c>
      <c r="AA239" s="1234"/>
      <c r="AB239" s="1234"/>
      <c r="AC239" s="1234"/>
      <c r="AD239" s="1234"/>
      <c r="AE239" s="1234"/>
      <c r="AM239" s="41"/>
      <c r="AN239" s="41"/>
      <c r="BB239" t="s">
        <v>1054</v>
      </c>
      <c r="BG239" s="414">
        <f>IF(AND(AND($M$251="for profit",$M$259="for profit",$M$267="for profit")),3,0)</f>
        <v>0</v>
      </c>
    </row>
    <row r="240" spans="1:59" ht="12.95" customHeight="1">
      <c r="D240" s="5" t="s">
        <v>402</v>
      </c>
      <c r="E240" s="5"/>
      <c r="F240" s="5"/>
      <c r="M240" s="1488" t="s">
        <v>2370</v>
      </c>
      <c r="N240" s="1488"/>
      <c r="O240" s="1488"/>
      <c r="P240" s="1488"/>
      <c r="Q240" s="1488"/>
      <c r="R240" s="1488"/>
      <c r="S240" s="1488"/>
      <c r="T240" s="1488"/>
      <c r="U240" s="1488"/>
      <c r="V240" s="1488"/>
      <c r="W240" s="1488"/>
      <c r="X240" s="1488"/>
      <c r="Y240" s="1488"/>
      <c r="Z240" s="1488"/>
      <c r="AA240" s="1488"/>
      <c r="AB240" s="1488"/>
      <c r="AC240" s="1488"/>
      <c r="AD240" s="1488"/>
      <c r="AE240" s="1488"/>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235" t="s">
        <v>664</v>
      </c>
      <c r="N241" s="1235"/>
      <c r="O241" s="1235"/>
      <c r="P241" s="1235"/>
      <c r="Q241" s="1235"/>
      <c r="R241" s="1235"/>
      <c r="S241" s="1235"/>
      <c r="T241" s="1235"/>
      <c r="U241" s="5" t="s">
        <v>1192</v>
      </c>
      <c r="AA241" s="1412" t="s">
        <v>2385</v>
      </c>
      <c r="AB241" s="1413"/>
      <c r="AC241" s="1413"/>
      <c r="AD241" s="1413"/>
      <c r="AE241" s="1413"/>
      <c r="AF241" s="1413"/>
      <c r="AG241" s="1413"/>
      <c r="AH241" s="1413"/>
      <c r="AI241" s="1413"/>
      <c r="AJ241" s="1413"/>
      <c r="AK241" s="1413"/>
      <c r="AL241" s="41"/>
      <c r="AM241" s="5"/>
      <c r="AN241" s="41"/>
      <c r="AO241" s="41"/>
      <c r="BB241" t="s">
        <v>1054</v>
      </c>
      <c r="BG241" s="415">
        <f>IF(AND(AND($M$251="for profit",$M$259="(select one)",$M$267="(select one)")),3,0)</f>
        <v>0</v>
      </c>
    </row>
    <row r="242" spans="1:67" ht="12.95" customHeight="1">
      <c r="D242" t="s">
        <v>667</v>
      </c>
      <c r="M242" s="1355"/>
      <c r="N242" s="1233"/>
      <c r="O242" s="1233"/>
      <c r="P242" s="1233"/>
      <c r="Q242" s="1233"/>
      <c r="R242" s="1233"/>
      <c r="S242" s="1233"/>
      <c r="T242" s="1233"/>
      <c r="U242" s="1233"/>
      <c r="V242" s="1233"/>
      <c r="W242" s="1233"/>
      <c r="X242" s="1233"/>
      <c r="Y242" s="1233"/>
      <c r="Z242" s="1233"/>
      <c r="AA242" s="1233"/>
      <c r="AB242" s="1233"/>
      <c r="AC242" s="1233"/>
      <c r="AD242" s="1233"/>
      <c r="AE242" s="1233"/>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405" t="s">
        <v>2441</v>
      </c>
      <c r="N245" s="1405"/>
      <c r="O245" s="1405"/>
      <c r="P245" s="1405"/>
      <c r="Q245" s="1405"/>
      <c r="R245" s="1405"/>
      <c r="S245" s="1405"/>
      <c r="T245" s="1405"/>
      <c r="U245" s="1405"/>
      <c r="V245" s="1405"/>
      <c r="W245" s="1405"/>
      <c r="X245" s="1405"/>
      <c r="Y245" s="1405"/>
      <c r="Z245" s="1405"/>
      <c r="AA245" s="1405"/>
      <c r="AB245" s="1405"/>
      <c r="AC245" s="1405"/>
      <c r="AD245" s="1405"/>
      <c r="AE245" s="1405"/>
      <c r="AF245" s="1491" t="s">
        <v>2371</v>
      </c>
      <c r="AG245" s="1491"/>
      <c r="AH245" s="1491"/>
      <c r="AI245" s="1491"/>
      <c r="AJ245" s="1491"/>
      <c r="AK245" s="1491"/>
      <c r="AM245" s="5"/>
      <c r="AN245" s="41"/>
      <c r="BB245" s="5" t="s">
        <v>934</v>
      </c>
      <c r="BH245">
        <v>2</v>
      </c>
      <c r="BI245" t="s">
        <v>780</v>
      </c>
      <c r="BO245" s="416" t="str">
        <f>VLOOKUP(AZ260,BH244:BI246,2,FALSE)</f>
        <v>Joint Venture</v>
      </c>
    </row>
    <row r="246" spans="1:67" ht="12.95" customHeight="1">
      <c r="A246" s="28"/>
      <c r="B246" s="5"/>
      <c r="C246" s="5"/>
      <c r="D246" s="5" t="s">
        <v>397</v>
      </c>
      <c r="E246" s="5"/>
      <c r="F246" s="5"/>
      <c r="G246" s="5"/>
      <c r="H246" s="5"/>
      <c r="I246" s="5"/>
      <c r="J246" s="5"/>
      <c r="K246" s="5"/>
      <c r="L246" s="5"/>
      <c r="M246" s="1355" t="s">
        <v>2373</v>
      </c>
      <c r="N246" s="1406"/>
      <c r="O246" s="1406"/>
      <c r="P246" s="1406"/>
      <c r="Q246" s="1406"/>
      <c r="R246" s="1406"/>
      <c r="S246" s="1406"/>
      <c r="T246" s="1406"/>
      <c r="U246" s="1406"/>
      <c r="V246" s="1406"/>
      <c r="W246" s="1406"/>
      <c r="X246" s="1406"/>
      <c r="Y246" s="1406"/>
      <c r="Z246" s="1406"/>
      <c r="AA246" s="1406"/>
      <c r="AB246" s="1406"/>
      <c r="AC246" s="1406"/>
      <c r="AD246" s="1406"/>
      <c r="AE246" s="1406"/>
      <c r="AL246" s="5"/>
      <c r="AN246" s="41"/>
      <c r="BB246" s="5" t="s">
        <v>483</v>
      </c>
      <c r="BH246">
        <v>3</v>
      </c>
      <c r="BI246" t="s">
        <v>672</v>
      </c>
    </row>
    <row r="247" spans="1:67" ht="12.95" customHeight="1">
      <c r="A247" s="28"/>
      <c r="B247" s="5"/>
      <c r="C247" s="5"/>
      <c r="D247" s="5" t="s">
        <v>459</v>
      </c>
      <c r="E247" s="5"/>
      <c r="M247" s="1355" t="s">
        <v>2374</v>
      </c>
      <c r="N247" s="1406"/>
      <c r="O247" s="1406"/>
      <c r="P247" s="1406"/>
      <c r="Q247" s="1406"/>
      <c r="R247" s="1406"/>
      <c r="S247" s="1406"/>
      <c r="T247" s="1406"/>
      <c r="V247" s="42" t="s">
        <v>398</v>
      </c>
      <c r="W247" s="1297" t="s">
        <v>2375</v>
      </c>
      <c r="X247" s="1231"/>
      <c r="Y247" s="5" t="s">
        <v>462</v>
      </c>
      <c r="AC247" s="1406">
        <v>92651</v>
      </c>
      <c r="AD247" s="1406"/>
      <c r="AE247" s="1406"/>
      <c r="AN247" s="41"/>
    </row>
    <row r="248" spans="1:67" ht="12.95" customHeight="1">
      <c r="A248" s="28"/>
      <c r="B248" s="5"/>
      <c r="C248" s="5"/>
      <c r="D248" s="5" t="s">
        <v>399</v>
      </c>
      <c r="E248" s="5"/>
      <c r="F248" s="5"/>
      <c r="G248" s="5"/>
      <c r="H248" s="5"/>
      <c r="I248" s="5"/>
      <c r="J248" s="5"/>
      <c r="K248" s="5"/>
      <c r="L248" s="28"/>
      <c r="M248" s="1355" t="s">
        <v>2376</v>
      </c>
      <c r="N248" s="1406"/>
      <c r="O248" s="1406"/>
      <c r="P248" s="1406"/>
      <c r="Q248" s="1406"/>
      <c r="R248" s="1406"/>
      <c r="S248" s="1406"/>
      <c r="T248" s="1406"/>
      <c r="U248" s="1406"/>
      <c r="V248" s="1406"/>
      <c r="W248" s="1406"/>
      <c r="X248" s="1406"/>
      <c r="Y248" s="1406"/>
      <c r="Z248" s="1406"/>
      <c r="AA248" s="1406"/>
      <c r="AB248" s="1406"/>
      <c r="AC248" s="1406"/>
      <c r="AD248" s="1406"/>
      <c r="AE248" s="1406"/>
      <c r="AJ248" s="5"/>
      <c r="AK248" s="5"/>
      <c r="AL248" s="5"/>
      <c r="AN248" s="41"/>
    </row>
    <row r="249" spans="1:67" ht="12.95" customHeight="1">
      <c r="A249" s="28"/>
      <c r="B249" s="5"/>
      <c r="C249" s="5"/>
      <c r="D249" s="5" t="s">
        <v>400</v>
      </c>
      <c r="E249" s="5"/>
      <c r="F249" s="5"/>
      <c r="M249" s="1236" t="s">
        <v>2377</v>
      </c>
      <c r="N249" s="1234"/>
      <c r="O249" s="1234"/>
      <c r="P249" s="1234"/>
      <c r="Q249" s="1234"/>
      <c r="R249" s="1234"/>
      <c r="S249" s="5" t="s">
        <v>859</v>
      </c>
      <c r="T249" s="5"/>
      <c r="U249" s="1297" t="s">
        <v>2386</v>
      </c>
      <c r="V249" s="1231"/>
      <c r="W249" s="1231"/>
      <c r="X249" s="5" t="s">
        <v>401</v>
      </c>
      <c r="Z249" s="1236" t="s">
        <v>2386</v>
      </c>
      <c r="AA249" s="1234"/>
      <c r="AB249" s="1234"/>
      <c r="AC249" s="1234"/>
      <c r="AD249" s="1234"/>
      <c r="AE249" s="1234"/>
      <c r="AM249" s="5"/>
      <c r="AN249" s="41"/>
    </row>
    <row r="250" spans="1:67" ht="12.95" customHeight="1">
      <c r="A250" s="28"/>
      <c r="B250" s="5"/>
      <c r="C250" s="5"/>
      <c r="D250" s="5" t="s">
        <v>402</v>
      </c>
      <c r="E250" s="5"/>
      <c r="F250" s="5"/>
      <c r="M250" s="1488" t="s">
        <v>2387</v>
      </c>
      <c r="N250" s="1488"/>
      <c r="O250" s="1488"/>
      <c r="P250" s="1488"/>
      <c r="Q250" s="1488"/>
      <c r="R250" s="1488"/>
      <c r="S250" s="1488"/>
      <c r="T250" s="1488"/>
      <c r="U250" s="1488"/>
      <c r="V250" s="1488"/>
      <c r="W250" s="1488"/>
      <c r="X250" s="1488"/>
      <c r="Y250" s="1488"/>
      <c r="Z250" s="1488"/>
      <c r="AA250" s="1488"/>
      <c r="AB250" s="1488"/>
      <c r="AC250" s="1488"/>
      <c r="AD250" s="1488"/>
      <c r="AE250" s="1488"/>
      <c r="AG250" s="5"/>
      <c r="AH250" s="5"/>
      <c r="AI250" s="5"/>
      <c r="AJ250" s="5"/>
      <c r="AK250" s="5"/>
      <c r="AL250" s="5"/>
    </row>
    <row r="251" spans="1:67" ht="12.95" customHeight="1">
      <c r="A251" s="18"/>
      <c r="B251" s="5"/>
      <c r="C251" s="62"/>
      <c r="D251" s="5" t="s">
        <v>671</v>
      </c>
      <c r="E251" s="5"/>
      <c r="F251" s="5"/>
      <c r="G251" s="5"/>
      <c r="H251" s="5"/>
      <c r="I251" s="5"/>
      <c r="J251" s="5"/>
      <c r="K251" s="5"/>
      <c r="L251" s="5"/>
      <c r="M251" s="1235" t="s">
        <v>670</v>
      </c>
      <c r="N251" s="1235"/>
      <c r="O251" s="1235"/>
      <c r="P251" s="1235"/>
      <c r="Q251" s="1235"/>
      <c r="R251" s="1235"/>
      <c r="S251" s="1235"/>
      <c r="T251" s="1235"/>
      <c r="U251" s="5" t="s">
        <v>1192</v>
      </c>
      <c r="AA251" s="1412" t="s">
        <v>2384</v>
      </c>
      <c r="AB251" s="1413"/>
      <c r="AC251" s="1413"/>
      <c r="AD251" s="1413"/>
      <c r="AE251" s="1413"/>
      <c r="AF251" s="1413"/>
      <c r="AG251" s="1413"/>
      <c r="AH251" s="1413"/>
      <c r="AI251" s="1413"/>
      <c r="AJ251" s="1413"/>
      <c r="AK251" s="141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405" t="s">
        <v>2378</v>
      </c>
      <c r="N253" s="1405"/>
      <c r="O253" s="1405"/>
      <c r="P253" s="1405"/>
      <c r="Q253" s="1405"/>
      <c r="R253" s="1405"/>
      <c r="S253" s="1405"/>
      <c r="T253" s="1405"/>
      <c r="U253" s="1405"/>
      <c r="V253" s="1405"/>
      <c r="W253" s="1405"/>
      <c r="X253" s="1405"/>
      <c r="Y253" s="1405"/>
      <c r="Z253" s="1405"/>
      <c r="AA253" s="1405"/>
      <c r="AB253" s="1405"/>
      <c r="AC253" s="1405"/>
      <c r="AD253" s="1405"/>
      <c r="AE253" s="1405"/>
      <c r="AF253" s="1491" t="s">
        <v>2372</v>
      </c>
      <c r="AG253" s="1491"/>
      <c r="AH253" s="1491"/>
      <c r="AI253" s="1491"/>
      <c r="AJ253" s="1491"/>
      <c r="AK253" s="1491"/>
      <c r="AM253" s="5"/>
    </row>
    <row r="254" spans="1:67" ht="12.95" customHeight="1">
      <c r="A254" s="28"/>
      <c r="B254" s="5"/>
      <c r="C254" s="5"/>
      <c r="D254" s="5" t="s">
        <v>397</v>
      </c>
      <c r="E254" s="5"/>
      <c r="F254" s="5"/>
      <c r="G254" s="5"/>
      <c r="H254" s="5"/>
      <c r="I254" s="5"/>
      <c r="J254" s="5"/>
      <c r="K254" s="5"/>
      <c r="L254" s="5"/>
      <c r="M254" s="1355" t="s">
        <v>2379</v>
      </c>
      <c r="N254" s="1406"/>
      <c r="O254" s="1406"/>
      <c r="P254" s="1406"/>
      <c r="Q254" s="1406"/>
      <c r="R254" s="1406"/>
      <c r="S254" s="1406"/>
      <c r="T254" s="1406"/>
      <c r="U254" s="1406"/>
      <c r="V254" s="1406"/>
      <c r="W254" s="1406"/>
      <c r="X254" s="1406"/>
      <c r="Y254" s="1406"/>
      <c r="Z254" s="1406"/>
      <c r="AA254" s="1406"/>
      <c r="AB254" s="1406"/>
      <c r="AC254" s="1406"/>
      <c r="AD254" s="1406"/>
      <c r="AE254" s="1406"/>
      <c r="AL254" s="5"/>
    </row>
    <row r="255" spans="1:67" ht="12.95" customHeight="1">
      <c r="A255" s="28"/>
      <c r="B255" s="5"/>
      <c r="C255" s="5"/>
      <c r="D255" s="5" t="s">
        <v>459</v>
      </c>
      <c r="E255" s="5"/>
      <c r="M255" s="1355" t="s">
        <v>2380</v>
      </c>
      <c r="N255" s="1406"/>
      <c r="O255" s="1406"/>
      <c r="P255" s="1406"/>
      <c r="Q255" s="1406"/>
      <c r="R255" s="1406"/>
      <c r="S255" s="1406"/>
      <c r="T255" s="1406"/>
      <c r="V255" s="42" t="s">
        <v>398</v>
      </c>
      <c r="W255" s="1297" t="s">
        <v>2375</v>
      </c>
      <c r="X255" s="1231"/>
      <c r="Y255" s="5" t="s">
        <v>462</v>
      </c>
      <c r="AC255" s="1406">
        <v>90064</v>
      </c>
      <c r="AD255" s="1406"/>
      <c r="AE255" s="1406"/>
    </row>
    <row r="256" spans="1:67" ht="12.95" customHeight="1">
      <c r="A256" s="28"/>
      <c r="B256" s="5"/>
      <c r="C256" s="5"/>
      <c r="D256" s="5" t="s">
        <v>399</v>
      </c>
      <c r="E256" s="5"/>
      <c r="F256" s="5"/>
      <c r="G256" s="5"/>
      <c r="H256" s="5"/>
      <c r="I256" s="5"/>
      <c r="J256" s="5"/>
      <c r="K256" s="5"/>
      <c r="L256" s="28"/>
      <c r="M256" s="1355" t="s">
        <v>2381</v>
      </c>
      <c r="N256" s="1406"/>
      <c r="O256" s="1406"/>
      <c r="P256" s="1406"/>
      <c r="Q256" s="1406"/>
      <c r="R256" s="1406"/>
      <c r="S256" s="1406"/>
      <c r="T256" s="1406"/>
      <c r="U256" s="1406"/>
      <c r="V256" s="1406"/>
      <c r="W256" s="1406"/>
      <c r="X256" s="1406"/>
      <c r="Y256" s="1406"/>
      <c r="Z256" s="1406"/>
      <c r="AA256" s="1406"/>
      <c r="AB256" s="1406"/>
      <c r="AC256" s="1406"/>
      <c r="AD256" s="1406"/>
      <c r="AE256" s="1406"/>
      <c r="AJ256" s="5"/>
      <c r="AK256" s="5"/>
      <c r="AL256" s="5"/>
    </row>
    <row r="257" spans="1:53" ht="12.95" customHeight="1">
      <c r="A257" s="28"/>
      <c r="B257" s="5"/>
      <c r="C257" s="5"/>
      <c r="D257" s="5" t="s">
        <v>400</v>
      </c>
      <c r="E257" s="5"/>
      <c r="F257" s="5"/>
      <c r="M257" s="1236" t="s">
        <v>2382</v>
      </c>
      <c r="N257" s="1234"/>
      <c r="O257" s="1234"/>
      <c r="P257" s="1234"/>
      <c r="Q257" s="1234"/>
      <c r="R257" s="1234"/>
      <c r="S257" s="5" t="s">
        <v>859</v>
      </c>
      <c r="T257" s="5"/>
      <c r="U257" s="1231">
        <v>108</v>
      </c>
      <c r="V257" s="1231"/>
      <c r="W257" s="1231"/>
      <c r="X257" s="5" t="s">
        <v>401</v>
      </c>
      <c r="Z257" s="1236" t="s">
        <v>2383</v>
      </c>
      <c r="AA257" s="1234"/>
      <c r="AB257" s="1234"/>
      <c r="AC257" s="1234"/>
      <c r="AD257" s="1234"/>
      <c r="AE257" s="1234"/>
      <c r="BA257" s="43"/>
    </row>
    <row r="258" spans="1:53" ht="12.95" customHeight="1">
      <c r="A258" s="28"/>
      <c r="B258" s="5"/>
      <c r="C258" s="5"/>
      <c r="D258" s="5" t="s">
        <v>402</v>
      </c>
      <c r="E258" s="5"/>
      <c r="F258" s="5"/>
      <c r="M258" s="1488" t="s">
        <v>2370</v>
      </c>
      <c r="N258" s="1488"/>
      <c r="O258" s="1488"/>
      <c r="P258" s="1488"/>
      <c r="Q258" s="1488"/>
      <c r="R258" s="1488"/>
      <c r="S258" s="1488"/>
      <c r="T258" s="1488"/>
      <c r="U258" s="1488"/>
      <c r="V258" s="1488"/>
      <c r="W258" s="1488"/>
      <c r="X258" s="1488"/>
      <c r="Y258" s="1488"/>
      <c r="Z258" s="1488"/>
      <c r="AA258" s="1488"/>
      <c r="AB258" s="1488"/>
      <c r="AC258" s="1488"/>
      <c r="AD258" s="1488"/>
      <c r="AE258" s="1488"/>
      <c r="AG258" s="5"/>
      <c r="AH258" s="5"/>
      <c r="AI258" s="5"/>
      <c r="AJ258" s="5"/>
      <c r="AK258" s="5"/>
      <c r="AL258" s="5"/>
    </row>
    <row r="259" spans="1:53" ht="12.95" customHeight="1">
      <c r="A259" s="18"/>
      <c r="B259" s="5"/>
      <c r="C259" s="62"/>
      <c r="D259" s="5" t="s">
        <v>671</v>
      </c>
      <c r="E259" s="5"/>
      <c r="F259" s="5"/>
      <c r="G259" s="5"/>
      <c r="H259" s="5"/>
      <c r="I259" s="5"/>
      <c r="J259" s="5"/>
      <c r="K259" s="5"/>
      <c r="L259" s="5"/>
      <c r="M259" s="1235" t="s">
        <v>672</v>
      </c>
      <c r="N259" s="1235"/>
      <c r="O259" s="1235"/>
      <c r="P259" s="1235"/>
      <c r="Q259" s="1235"/>
      <c r="R259" s="1235"/>
      <c r="S259" s="1235"/>
      <c r="T259" s="1235"/>
      <c r="U259" s="5" t="s">
        <v>1192</v>
      </c>
      <c r="AA259" s="1412" t="s">
        <v>2385</v>
      </c>
      <c r="AB259" s="1413"/>
      <c r="AC259" s="1413"/>
      <c r="AD259" s="1413"/>
      <c r="AE259" s="1413"/>
      <c r="AF259" s="1413"/>
      <c r="AG259" s="1413"/>
      <c r="AH259" s="1413"/>
      <c r="AI259" s="1413"/>
      <c r="AJ259" s="1413"/>
      <c r="AK259" s="141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1981</v>
      </c>
      <c r="D261" s="5" t="s">
        <v>668</v>
      </c>
      <c r="E261" s="5"/>
      <c r="F261" s="5"/>
      <c r="G261" s="5"/>
      <c r="H261" s="5"/>
      <c r="I261" s="5"/>
      <c r="J261" s="5"/>
      <c r="K261" s="5"/>
      <c r="L261" s="5"/>
      <c r="M261" s="1491"/>
      <c r="N261" s="1491"/>
      <c r="O261" s="1491"/>
      <c r="P261" s="1491"/>
      <c r="Q261" s="1491"/>
      <c r="R261" s="1491"/>
      <c r="S261" s="1491"/>
      <c r="T261" s="1491"/>
      <c r="U261" s="1491"/>
      <c r="V261" s="1491"/>
      <c r="W261" s="1491"/>
      <c r="X261" s="1491"/>
      <c r="Y261" s="1491"/>
      <c r="Z261" s="1491"/>
      <c r="AA261" s="1491"/>
      <c r="AB261" s="1491"/>
      <c r="AC261" s="1491"/>
      <c r="AD261" s="1491"/>
      <c r="AE261" s="1491"/>
      <c r="AF261" s="1491" t="s">
        <v>84</v>
      </c>
      <c r="AG261" s="1491"/>
      <c r="AH261" s="1491"/>
      <c r="AI261" s="1491"/>
      <c r="AJ261" s="1491"/>
      <c r="AK261" s="1491"/>
      <c r="AL261" s="41"/>
    </row>
    <row r="262" spans="1:53" ht="12.95" customHeight="1">
      <c r="A262" s="18"/>
      <c r="B262" s="5"/>
      <c r="C262" s="5"/>
      <c r="D262" s="5" t="s">
        <v>397</v>
      </c>
      <c r="E262" s="5"/>
      <c r="F262" s="5"/>
      <c r="G262" s="5"/>
      <c r="H262" s="5"/>
      <c r="I262" s="5"/>
      <c r="J262" s="5"/>
      <c r="K262" s="5"/>
      <c r="L262" s="5"/>
      <c r="M262" s="1406"/>
      <c r="N262" s="1406"/>
      <c r="O262" s="1406"/>
      <c r="P262" s="1406"/>
      <c r="Q262" s="1406"/>
      <c r="R262" s="1406"/>
      <c r="S262" s="1406"/>
      <c r="T262" s="1406"/>
      <c r="U262" s="1406"/>
      <c r="V262" s="1406"/>
      <c r="W262" s="1406"/>
      <c r="X262" s="1406"/>
      <c r="Y262" s="1406"/>
      <c r="Z262" s="1406"/>
      <c r="AA262" s="1406"/>
      <c r="AB262" s="1406"/>
      <c r="AC262" s="1406"/>
      <c r="AD262" s="1406"/>
      <c r="AE262" s="1406"/>
      <c r="AL262" s="41"/>
      <c r="BA262" s="43"/>
    </row>
    <row r="263" spans="1:53" ht="12.95" customHeight="1">
      <c r="A263" s="18"/>
      <c r="B263" s="5"/>
      <c r="C263" s="5"/>
      <c r="D263" s="5" t="s">
        <v>459</v>
      </c>
      <c r="E263" s="5"/>
      <c r="M263" s="1406"/>
      <c r="N263" s="1406"/>
      <c r="O263" s="1406"/>
      <c r="P263" s="1406"/>
      <c r="Q263" s="1406"/>
      <c r="R263" s="1406"/>
      <c r="S263" s="1406"/>
      <c r="T263" s="1406"/>
      <c r="V263" s="42" t="s">
        <v>398</v>
      </c>
      <c r="W263" s="1231"/>
      <c r="X263" s="1231"/>
      <c r="Y263" s="5" t="s">
        <v>462</v>
      </c>
      <c r="AC263" s="1406"/>
      <c r="AD263" s="1406"/>
      <c r="AE263" s="1406"/>
      <c r="AL263" s="41"/>
      <c r="BA263" s="43"/>
    </row>
    <row r="264" spans="1:53" ht="12.95" customHeight="1">
      <c r="A264" s="18"/>
      <c r="B264" s="5"/>
      <c r="C264" s="5"/>
      <c r="D264" s="5" t="s">
        <v>399</v>
      </c>
      <c r="E264" s="5"/>
      <c r="F264" s="5"/>
      <c r="G264" s="5"/>
      <c r="H264" s="5"/>
      <c r="I264" s="5"/>
      <c r="J264" s="5"/>
      <c r="K264" s="5"/>
      <c r="L264" s="28"/>
      <c r="M264" s="1406"/>
      <c r="N264" s="1406"/>
      <c r="O264" s="1406"/>
      <c r="P264" s="1406"/>
      <c r="Q264" s="1406"/>
      <c r="R264" s="1406"/>
      <c r="S264" s="1406"/>
      <c r="T264" s="1406"/>
      <c r="U264" s="1406"/>
      <c r="V264" s="1406"/>
      <c r="W264" s="1406"/>
      <c r="X264" s="1406"/>
      <c r="Y264" s="1406"/>
      <c r="Z264" s="1406"/>
      <c r="AA264" s="1406"/>
      <c r="AB264" s="1406"/>
      <c r="AC264" s="1406"/>
      <c r="AD264" s="1406"/>
      <c r="AE264" s="1406"/>
      <c r="AJ264" s="5"/>
      <c r="AK264" s="5"/>
      <c r="AL264" s="41"/>
      <c r="BA264" s="43"/>
    </row>
    <row r="265" spans="1:53" ht="12.95" customHeight="1">
      <c r="A265" s="18"/>
      <c r="B265" s="5"/>
      <c r="C265" s="5"/>
      <c r="D265" s="5" t="s">
        <v>400</v>
      </c>
      <c r="E265" s="5"/>
      <c r="F265" s="5"/>
      <c r="M265" s="1234"/>
      <c r="N265" s="1234"/>
      <c r="O265" s="1234"/>
      <c r="P265" s="1234"/>
      <c r="Q265" s="1234"/>
      <c r="R265" s="1234"/>
      <c r="S265" s="5" t="s">
        <v>859</v>
      </c>
      <c r="T265" s="5"/>
      <c r="U265" s="1231"/>
      <c r="V265" s="1231"/>
      <c r="W265" s="1231"/>
      <c r="X265" s="5" t="s">
        <v>401</v>
      </c>
      <c r="Z265" s="1234"/>
      <c r="AA265" s="1234"/>
      <c r="AB265" s="1234"/>
      <c r="AC265" s="1234"/>
      <c r="AD265" s="1234"/>
      <c r="AE265" s="1234"/>
      <c r="AL265" s="41"/>
      <c r="BA265" s="43"/>
    </row>
    <row r="266" spans="1:53" ht="12.95" customHeight="1">
      <c r="A266" s="18"/>
      <c r="B266" s="5"/>
      <c r="C266" s="5"/>
      <c r="D266" s="5" t="s">
        <v>402</v>
      </c>
      <c r="E266" s="5"/>
      <c r="F266" s="5"/>
      <c r="M266" s="1488"/>
      <c r="N266" s="1488"/>
      <c r="O266" s="1488"/>
      <c r="P266" s="1488"/>
      <c r="Q266" s="1488"/>
      <c r="R266" s="1488"/>
      <c r="S266" s="1488"/>
      <c r="T266" s="1488"/>
      <c r="U266" s="1488"/>
      <c r="V266" s="1488"/>
      <c r="W266" s="1488"/>
      <c r="X266" s="1488"/>
      <c r="Y266" s="1488"/>
      <c r="Z266" s="1488"/>
      <c r="AA266" s="1488"/>
      <c r="AB266" s="1488"/>
      <c r="AC266" s="1488"/>
      <c r="AD266" s="1488"/>
      <c r="AE266" s="1488"/>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235" t="s">
        <v>84</v>
      </c>
      <c r="N267" s="1235"/>
      <c r="O267" s="1235"/>
      <c r="P267" s="1235"/>
      <c r="Q267" s="1235"/>
      <c r="R267" s="1235"/>
      <c r="S267" s="1235"/>
      <c r="T267" s="1235"/>
      <c r="U267" s="5" t="s">
        <v>1192</v>
      </c>
      <c r="AA267" s="1413"/>
      <c r="AB267" s="1413"/>
      <c r="AC267" s="1413"/>
      <c r="AD267" s="1413"/>
      <c r="AE267" s="1413"/>
      <c r="AF267" s="1413"/>
      <c r="AG267" s="1413"/>
      <c r="AH267" s="1413"/>
      <c r="AI267" s="1413"/>
      <c r="AJ267" s="1413"/>
      <c r="AK267" s="141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52" t="str">
        <f>BO245</f>
        <v>Joint Venture</v>
      </c>
      <c r="U269" s="1552"/>
      <c r="V269" s="1552"/>
      <c r="W269" s="1552"/>
      <c r="X269" s="1552"/>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406" t="s">
        <v>934</v>
      </c>
      <c r="E272" s="1406"/>
      <c r="F272" s="1406"/>
      <c r="G272" s="1406"/>
      <c r="H272" s="1406"/>
      <c r="J272" t="s">
        <v>933</v>
      </c>
      <c r="X272" s="1489"/>
      <c r="Y272" s="1490"/>
      <c r="Z272" s="1490"/>
      <c r="AA272" s="1490"/>
      <c r="AB272" s="1490"/>
      <c r="AC272" s="149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05" t="s">
        <v>2385</v>
      </c>
      <c r="M276" s="1491"/>
      <c r="N276" s="1491"/>
      <c r="O276" s="1491"/>
      <c r="P276" s="1491"/>
      <c r="Q276" s="1491"/>
      <c r="R276" s="1491"/>
      <c r="S276" s="1491"/>
      <c r="T276" s="1491"/>
      <c r="U276" s="1491"/>
      <c r="V276" s="1491"/>
      <c r="W276" s="1491"/>
      <c r="X276" s="1491"/>
      <c r="Y276" s="1491"/>
      <c r="Z276" s="1491"/>
      <c r="AA276" s="1491"/>
      <c r="AB276" s="1491"/>
      <c r="AC276" s="1491"/>
      <c r="AD276" s="1491"/>
      <c r="AE276" s="1491"/>
      <c r="AF276" s="1491"/>
      <c r="AG276" s="1491"/>
      <c r="AH276" s="1491"/>
      <c r="AI276" s="1491"/>
      <c r="AJ276" s="1491"/>
      <c r="AK276" s="41"/>
      <c r="AL276" s="41"/>
      <c r="BA276" s="43"/>
    </row>
    <row r="277" spans="1:53" ht="12.95" customHeight="1">
      <c r="D277" s="5" t="s">
        <v>397</v>
      </c>
      <c r="E277" s="5"/>
      <c r="F277" s="5"/>
      <c r="G277" s="5"/>
      <c r="H277" s="5"/>
      <c r="I277" s="5"/>
      <c r="J277" s="5"/>
      <c r="K277" s="5"/>
      <c r="L277" s="1355" t="s">
        <v>2379</v>
      </c>
      <c r="M277" s="1406"/>
      <c r="N277" s="1406"/>
      <c r="O277" s="1406"/>
      <c r="P277" s="1406"/>
      <c r="Q277" s="1406"/>
      <c r="R277" s="1406"/>
      <c r="S277" s="1406"/>
      <c r="T277" s="1406"/>
      <c r="U277" s="1406"/>
      <c r="V277" s="1406"/>
      <c r="W277" s="1406"/>
      <c r="X277" s="1406"/>
      <c r="Y277" s="1406"/>
      <c r="Z277" s="1406"/>
      <c r="AA277" s="1406"/>
      <c r="AB277" s="1406"/>
      <c r="AC277" s="1406"/>
      <c r="AD277" s="1406"/>
      <c r="AK277" s="41"/>
      <c r="AL277" s="41"/>
      <c r="BA277" s="43"/>
    </row>
    <row r="278" spans="1:53" ht="12.95" customHeight="1">
      <c r="D278" s="5" t="s">
        <v>459</v>
      </c>
      <c r="E278" s="5"/>
      <c r="L278" s="1355" t="s">
        <v>429</v>
      </c>
      <c r="M278" s="1406"/>
      <c r="N278" s="1406"/>
      <c r="O278" s="1406"/>
      <c r="P278" s="1406"/>
      <c r="Q278" s="1406"/>
      <c r="R278" s="1406"/>
      <c r="S278" s="1406"/>
      <c r="U278" s="42" t="s">
        <v>398</v>
      </c>
      <c r="V278" s="1297" t="s">
        <v>2375</v>
      </c>
      <c r="W278" s="1231"/>
      <c r="X278" s="5" t="s">
        <v>462</v>
      </c>
      <c r="AB278" s="1406">
        <v>90064</v>
      </c>
      <c r="AC278" s="1406"/>
      <c r="AD278" s="1406"/>
      <c r="AK278" s="41"/>
      <c r="AL278" s="41"/>
      <c r="BA278" s="43"/>
    </row>
    <row r="279" spans="1:53" ht="12.95" customHeight="1">
      <c r="D279" s="5" t="s">
        <v>399</v>
      </c>
      <c r="E279" s="5"/>
      <c r="F279" s="5"/>
      <c r="G279" s="5"/>
      <c r="H279" s="5"/>
      <c r="I279" s="5"/>
      <c r="J279" s="5"/>
      <c r="K279" s="28"/>
      <c r="L279" s="1355" t="s">
        <v>2381</v>
      </c>
      <c r="M279" s="1406"/>
      <c r="N279" s="1406"/>
      <c r="O279" s="1406"/>
      <c r="P279" s="1406"/>
      <c r="Q279" s="1406"/>
      <c r="R279" s="1406"/>
      <c r="S279" s="1406"/>
      <c r="T279" s="1406"/>
      <c r="U279" s="1406"/>
      <c r="V279" s="1406"/>
      <c r="W279" s="1406"/>
      <c r="X279" s="1406"/>
      <c r="Y279" s="1406"/>
      <c r="Z279" s="1406"/>
      <c r="AA279" s="1406"/>
      <c r="AB279" s="1406"/>
      <c r="AC279" s="1406"/>
      <c r="AD279" s="1406"/>
      <c r="AI279" s="5"/>
      <c r="AJ279" s="5"/>
      <c r="AK279" s="41"/>
      <c r="AL279" s="41"/>
      <c r="BA279" s="43"/>
    </row>
    <row r="280" spans="1:53" ht="12.95" customHeight="1">
      <c r="D280" s="5" t="s">
        <v>400</v>
      </c>
      <c r="E280" s="5"/>
      <c r="F280" s="5"/>
      <c r="L280" s="1236" t="s">
        <v>2382</v>
      </c>
      <c r="M280" s="1234"/>
      <c r="N280" s="1234"/>
      <c r="O280" s="1234"/>
      <c r="P280" s="1234"/>
      <c r="Q280" s="1234"/>
      <c r="R280" s="5" t="s">
        <v>859</v>
      </c>
      <c r="S280" s="5"/>
      <c r="T280" s="1231"/>
      <c r="U280" s="1231"/>
      <c r="V280" s="1231"/>
      <c r="W280" s="5" t="s">
        <v>401</v>
      </c>
      <c r="Y280" s="1234"/>
      <c r="Z280" s="1234"/>
      <c r="AA280" s="1234"/>
      <c r="AB280" s="1234"/>
      <c r="AC280" s="1234"/>
      <c r="AD280" s="1234"/>
      <c r="BA280" s="43"/>
    </row>
    <row r="281" spans="1:53" ht="12.95" customHeight="1">
      <c r="D281" s="5" t="s">
        <v>402</v>
      </c>
      <c r="E281" s="5"/>
      <c r="F281" s="5"/>
      <c r="L281" s="1488" t="s">
        <v>2370</v>
      </c>
      <c r="M281" s="1488"/>
      <c r="N281" s="1488"/>
      <c r="O281" s="1488"/>
      <c r="P281" s="1488"/>
      <c r="Q281" s="1488"/>
      <c r="R281" s="1488"/>
      <c r="S281" s="1488"/>
      <c r="T281" s="1488"/>
      <c r="U281" s="1488"/>
      <c r="V281" s="1488"/>
      <c r="W281" s="1488"/>
      <c r="X281" s="1488"/>
      <c r="Y281" s="1488"/>
      <c r="Z281" s="1488"/>
      <c r="AA281" s="1488"/>
      <c r="AB281" s="1488"/>
      <c r="AC281" s="1488"/>
      <c r="AD281" s="1488"/>
      <c r="AF281" s="5"/>
      <c r="AG281" s="5"/>
      <c r="AH281" s="5"/>
      <c r="AI281" s="5"/>
      <c r="AJ281" s="5"/>
      <c r="BA281" s="43"/>
    </row>
    <row r="282" spans="1:53" ht="12.95" customHeight="1">
      <c r="D282" s="41" t="s">
        <v>197</v>
      </c>
      <c r="E282" s="41"/>
      <c r="F282" s="41"/>
      <c r="G282" s="41"/>
      <c r="H282" s="41"/>
      <c r="I282" s="41"/>
      <c r="L282" s="1297" t="s">
        <v>2388</v>
      </c>
      <c r="M282" s="1297"/>
      <c r="N282" s="1297"/>
      <c r="O282" s="1297"/>
      <c r="P282" s="1297"/>
      <c r="Q282" s="1297"/>
      <c r="R282" s="1297"/>
      <c r="S282" s="1297"/>
      <c r="T282" s="1297"/>
      <c r="U282" s="1297"/>
      <c r="V282" s="1297"/>
      <c r="W282" s="1297"/>
      <c r="X282" s="1297"/>
      <c r="Y282" s="1297"/>
      <c r="Z282" s="1297"/>
      <c r="AA282" s="1297"/>
      <c r="AB282" s="1297"/>
      <c r="AC282" s="1297"/>
      <c r="AD282" s="1297"/>
      <c r="AK282" s="41"/>
      <c r="AL282" s="41"/>
      <c r="BA282" s="43"/>
    </row>
    <row r="283" spans="1:53" ht="12.95" customHeight="1">
      <c r="L283" s="4" t="s">
        <v>198</v>
      </c>
      <c r="BA283" s="43"/>
    </row>
    <row r="284" spans="1:53" ht="12.95" customHeight="1">
      <c r="A284" s="1418" t="s">
        <v>525</v>
      </c>
      <c r="B284" s="1418"/>
      <c r="C284" s="1418"/>
      <c r="D284" s="1418"/>
      <c r="E284" s="1418"/>
      <c r="F284" s="1418"/>
      <c r="G284" s="1418"/>
      <c r="H284" s="1418"/>
      <c r="I284" s="1418"/>
      <c r="J284" s="1418"/>
      <c r="K284" s="1418"/>
      <c r="L284" s="1418"/>
      <c r="M284" s="1418"/>
      <c r="N284" s="1418"/>
      <c r="O284" s="1418"/>
      <c r="P284" s="1418"/>
      <c r="Q284" s="1418"/>
      <c r="R284" s="1418"/>
      <c r="S284" s="1418"/>
      <c r="T284" s="1418"/>
      <c r="U284" s="1418"/>
      <c r="V284" s="1418"/>
      <c r="W284" s="1418"/>
      <c r="X284" s="1418"/>
      <c r="Y284" s="1418"/>
      <c r="Z284" s="1418"/>
      <c r="AA284" s="1418"/>
      <c r="AB284" s="1418"/>
      <c r="AC284" s="1418"/>
      <c r="AD284" s="1418"/>
      <c r="AE284" s="1418"/>
      <c r="AF284" s="1418"/>
      <c r="AG284" s="1418"/>
      <c r="AH284" s="1418"/>
      <c r="AI284" s="1418"/>
      <c r="AJ284" s="1418"/>
      <c r="AK284" s="1418"/>
      <c r="AL284" s="1418"/>
      <c r="BA284" s="43"/>
    </row>
    <row r="285" spans="1:53" ht="12.95" customHeight="1" thickBot="1">
      <c r="A285" s="1419"/>
      <c r="B285" s="1419"/>
      <c r="C285" s="1419"/>
      <c r="D285" s="1419"/>
      <c r="E285" s="1419"/>
      <c r="F285" s="1419"/>
      <c r="G285" s="1419"/>
      <c r="H285" s="1419"/>
      <c r="I285" s="1419"/>
      <c r="J285" s="1419"/>
      <c r="K285" s="1419"/>
      <c r="L285" s="1419"/>
      <c r="M285" s="1419"/>
      <c r="N285" s="1419"/>
      <c r="O285" s="1419"/>
      <c r="P285" s="1419"/>
      <c r="Q285" s="1419"/>
      <c r="R285" s="1419"/>
      <c r="S285" s="1419"/>
      <c r="T285" s="1419"/>
      <c r="U285" s="1419"/>
      <c r="V285" s="1419"/>
      <c r="W285" s="1419"/>
      <c r="X285" s="1419"/>
      <c r="Y285" s="1419"/>
      <c r="Z285" s="1419"/>
      <c r="AA285" s="1419"/>
      <c r="AB285" s="1419"/>
      <c r="AC285" s="1419"/>
      <c r="AD285" s="1419"/>
      <c r="AE285" s="1419"/>
      <c r="AF285" s="1419"/>
      <c r="AG285" s="1419"/>
      <c r="AH285" s="1419"/>
      <c r="AI285" s="1419"/>
      <c r="AJ285" s="1419"/>
      <c r="AK285" s="1419"/>
      <c r="AL285" s="1419"/>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355" t="s">
        <v>2385</v>
      </c>
      <c r="I289" s="1233"/>
      <c r="J289" s="1233"/>
      <c r="K289" s="1233"/>
      <c r="L289" s="1233"/>
      <c r="M289" s="1233"/>
      <c r="N289" s="1233"/>
      <c r="O289" s="1233"/>
      <c r="P289" s="1233"/>
      <c r="Q289" s="1233"/>
      <c r="R289" s="1233"/>
      <c r="T289" s="41" t="s">
        <v>781</v>
      </c>
      <c r="V289" s="41"/>
      <c r="W289" s="41"/>
      <c r="X289" s="41"/>
      <c r="Y289" s="41"/>
      <c r="AA289" s="1355" t="s">
        <v>2390</v>
      </c>
      <c r="AB289" s="1233"/>
      <c r="AC289" s="1233"/>
      <c r="AD289" s="1233"/>
      <c r="AE289" s="1233"/>
      <c r="AF289" s="1233"/>
      <c r="AG289" s="1233"/>
      <c r="AH289" s="1233"/>
      <c r="AI289" s="1233"/>
      <c r="AJ289" s="1233"/>
      <c r="AK289" s="1233"/>
      <c r="BA289" s="43"/>
    </row>
    <row r="290" spans="2:53" ht="12.95" customHeight="1">
      <c r="B290" s="41" t="s">
        <v>735</v>
      </c>
      <c r="C290" s="41"/>
      <c r="D290" s="41"/>
      <c r="E290" s="41"/>
      <c r="F290" s="41"/>
      <c r="H290" s="1297" t="s">
        <v>2379</v>
      </c>
      <c r="I290" s="1235"/>
      <c r="J290" s="1235"/>
      <c r="K290" s="1235"/>
      <c r="L290" s="1235"/>
      <c r="M290" s="1235"/>
      <c r="N290" s="1235"/>
      <c r="O290" s="1235"/>
      <c r="P290" s="1235"/>
      <c r="Q290" s="1235"/>
      <c r="R290" s="1235"/>
      <c r="T290" s="41" t="s">
        <v>735</v>
      </c>
      <c r="V290" s="41"/>
      <c r="W290" s="41"/>
      <c r="X290" s="41"/>
      <c r="Y290" s="41"/>
      <c r="AA290" s="1297" t="s">
        <v>2391</v>
      </c>
      <c r="AB290" s="1235"/>
      <c r="AC290" s="1235"/>
      <c r="AD290" s="1235"/>
      <c r="AE290" s="1235"/>
      <c r="AF290" s="1235"/>
      <c r="AG290" s="1235"/>
      <c r="AH290" s="1235"/>
      <c r="AI290" s="1235"/>
      <c r="AJ290" s="1235"/>
      <c r="AK290" s="1235"/>
      <c r="BA290" s="43"/>
    </row>
    <row r="291" spans="2:53" ht="12.95" customHeight="1">
      <c r="B291" s="41" t="s">
        <v>737</v>
      </c>
      <c r="C291" s="41"/>
      <c r="D291" s="41"/>
      <c r="E291" s="41"/>
      <c r="F291" s="41"/>
      <c r="H291" s="1297" t="s">
        <v>2389</v>
      </c>
      <c r="I291" s="1235"/>
      <c r="J291" s="1235"/>
      <c r="K291" s="1235"/>
      <c r="L291" s="1235"/>
      <c r="M291" s="1235"/>
      <c r="N291" s="1235"/>
      <c r="O291" s="1235"/>
      <c r="P291" s="1235"/>
      <c r="Q291" s="1235"/>
      <c r="R291" s="1235"/>
      <c r="T291" s="41" t="s">
        <v>736</v>
      </c>
      <c r="V291" s="41"/>
      <c r="W291" s="41"/>
      <c r="X291" s="41"/>
      <c r="Y291" s="41"/>
      <c r="AA291" s="1297" t="s">
        <v>2392</v>
      </c>
      <c r="AB291" s="1235"/>
      <c r="AC291" s="1235"/>
      <c r="AD291" s="1235"/>
      <c r="AE291" s="1235"/>
      <c r="AF291" s="1235"/>
      <c r="AG291" s="1235"/>
      <c r="AH291" s="1235"/>
      <c r="AI291" s="1235"/>
      <c r="AJ291" s="1235"/>
      <c r="AK291" s="1235"/>
      <c r="BA291" s="43"/>
    </row>
    <row r="292" spans="2:53" ht="12.95" customHeight="1">
      <c r="B292" s="41" t="s">
        <v>399</v>
      </c>
      <c r="C292" s="41"/>
      <c r="D292" s="41"/>
      <c r="E292" s="41"/>
      <c r="F292" s="41"/>
      <c r="H292" s="1297" t="s">
        <v>2381</v>
      </c>
      <c r="I292" s="1235"/>
      <c r="J292" s="1235"/>
      <c r="K292" s="1235"/>
      <c r="L292" s="1235"/>
      <c r="M292" s="1235"/>
      <c r="N292" s="1235"/>
      <c r="O292" s="1235"/>
      <c r="P292" s="1235"/>
      <c r="Q292" s="1235"/>
      <c r="R292" s="1235"/>
      <c r="T292" s="41" t="s">
        <v>399</v>
      </c>
      <c r="V292" s="41"/>
      <c r="W292" s="41"/>
      <c r="X292" s="41"/>
      <c r="Y292" s="41"/>
      <c r="AA292" s="1297" t="s">
        <v>2515</v>
      </c>
      <c r="AB292" s="1235"/>
      <c r="AC292" s="1235"/>
      <c r="AD292" s="1235"/>
      <c r="AE292" s="1235"/>
      <c r="AF292" s="1235"/>
      <c r="AG292" s="1235"/>
      <c r="AH292" s="1235"/>
      <c r="AI292" s="1235"/>
      <c r="AJ292" s="1235"/>
      <c r="AK292" s="1235"/>
      <c r="BA292" s="43"/>
    </row>
    <row r="293" spans="2:53" ht="12.95" customHeight="1">
      <c r="B293" s="41" t="s">
        <v>400</v>
      </c>
      <c r="C293" s="41"/>
      <c r="D293" s="41"/>
      <c r="E293" s="41"/>
      <c r="F293" s="41"/>
      <c r="G293" s="41"/>
      <c r="H293" s="1412" t="s">
        <v>2382</v>
      </c>
      <c r="I293" s="1413"/>
      <c r="J293" s="1413"/>
      <c r="K293" s="1413"/>
      <c r="L293" s="1413"/>
      <c r="M293" s="1413"/>
      <c r="N293" s="5" t="s">
        <v>859</v>
      </c>
      <c r="O293" s="5"/>
      <c r="P293" s="1406"/>
      <c r="Q293" s="1406"/>
      <c r="R293" s="1406"/>
      <c r="S293" s="41"/>
      <c r="T293" s="41" t="s">
        <v>400</v>
      </c>
      <c r="V293" s="41"/>
      <c r="W293" s="41"/>
      <c r="X293" s="41"/>
      <c r="Y293" s="41"/>
      <c r="AA293" s="1412" t="s">
        <v>2393</v>
      </c>
      <c r="AB293" s="1413"/>
      <c r="AC293" s="1413"/>
      <c r="AD293" s="1413"/>
      <c r="AE293" s="1413"/>
      <c r="AF293" s="1413"/>
      <c r="AG293" s="5" t="s">
        <v>859</v>
      </c>
      <c r="AH293" s="5"/>
      <c r="AI293" s="1406"/>
      <c r="AJ293" s="1406"/>
      <c r="AK293" s="1406"/>
      <c r="BA293" s="43"/>
    </row>
    <row r="294" spans="2:53" ht="12.95" customHeight="1">
      <c r="B294" s="41" t="s">
        <v>401</v>
      </c>
      <c r="C294" s="41"/>
      <c r="D294" s="41"/>
      <c r="E294" s="41"/>
      <c r="F294" s="41"/>
      <c r="G294" s="41"/>
      <c r="H294" s="1236"/>
      <c r="I294" s="1234"/>
      <c r="J294" s="1234"/>
      <c r="K294" s="1234"/>
      <c r="L294" s="1234"/>
      <c r="M294" s="1234"/>
      <c r="N294" s="5"/>
      <c r="O294" s="5"/>
      <c r="P294" s="44"/>
      <c r="Q294" s="44"/>
      <c r="R294" s="44"/>
      <c r="S294" s="41"/>
      <c r="T294" s="41" t="s">
        <v>401</v>
      </c>
      <c r="V294" s="41"/>
      <c r="W294" s="41"/>
      <c r="X294" s="41"/>
      <c r="Y294" s="41"/>
      <c r="AA294" s="1234"/>
      <c r="AB294" s="1234"/>
      <c r="AC294" s="1234"/>
      <c r="AD294" s="1234"/>
      <c r="AE294" s="1234"/>
      <c r="AF294" s="1234"/>
      <c r="AG294" s="5"/>
      <c r="AH294" s="5"/>
      <c r="AI294" s="44"/>
      <c r="AJ294" s="44"/>
      <c r="AK294" s="44"/>
      <c r="BA294" s="43"/>
    </row>
    <row r="295" spans="2:53" ht="12.95" customHeight="1">
      <c r="B295" s="41" t="s">
        <v>738</v>
      </c>
      <c r="C295" s="41"/>
      <c r="D295" s="41"/>
      <c r="E295" s="41"/>
      <c r="F295" s="41"/>
      <c r="G295" s="41"/>
      <c r="H295" s="1297" t="s">
        <v>2370</v>
      </c>
      <c r="I295" s="1235"/>
      <c r="J295" s="1235"/>
      <c r="K295" s="1235"/>
      <c r="L295" s="1235"/>
      <c r="M295" s="1235"/>
      <c r="N295" s="1233"/>
      <c r="O295" s="1233"/>
      <c r="P295" s="1233"/>
      <c r="Q295" s="1233"/>
      <c r="R295" s="1233"/>
      <c r="S295" s="41"/>
      <c r="T295" s="41" t="s">
        <v>738</v>
      </c>
      <c r="V295" s="41"/>
      <c r="W295" s="41"/>
      <c r="X295" s="41"/>
      <c r="Y295" s="41"/>
      <c r="AA295" s="1297" t="s">
        <v>2516</v>
      </c>
      <c r="AB295" s="1235"/>
      <c r="AC295" s="1235"/>
      <c r="AD295" s="1235"/>
      <c r="AE295" s="1235"/>
      <c r="AF295" s="1235"/>
      <c r="AG295" s="1233"/>
      <c r="AH295" s="1233"/>
      <c r="AI295" s="1233"/>
      <c r="AJ295" s="1233"/>
      <c r="AK295" s="123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355" t="s">
        <v>2394</v>
      </c>
      <c r="I297" s="1233"/>
      <c r="J297" s="1233"/>
      <c r="K297" s="1233"/>
      <c r="L297" s="1233"/>
      <c r="M297" s="1233"/>
      <c r="N297" s="1233"/>
      <c r="O297" s="1233"/>
      <c r="P297" s="1233"/>
      <c r="Q297" s="1233"/>
      <c r="R297" s="1233"/>
      <c r="T297" s="41" t="s">
        <v>39</v>
      </c>
      <c r="V297" s="41"/>
      <c r="W297" s="41"/>
      <c r="X297" s="41"/>
      <c r="Y297" s="41"/>
      <c r="AA297" s="1355" t="s">
        <v>2511</v>
      </c>
      <c r="AB297" s="1233"/>
      <c r="AC297" s="1233"/>
      <c r="AD297" s="1233"/>
      <c r="AE297" s="1233"/>
      <c r="AF297" s="1233"/>
      <c r="AG297" s="1233"/>
      <c r="AH297" s="1233"/>
      <c r="AI297" s="1233"/>
      <c r="AJ297" s="1233"/>
      <c r="AK297" s="1233"/>
      <c r="BA297" s="43"/>
    </row>
    <row r="298" spans="2:53" ht="12.95" customHeight="1">
      <c r="B298" s="41" t="s">
        <v>735</v>
      </c>
      <c r="C298" s="41"/>
      <c r="D298" s="41"/>
      <c r="E298" s="41"/>
      <c r="F298" s="41"/>
      <c r="H298" s="1297" t="s">
        <v>2395</v>
      </c>
      <c r="I298" s="1235"/>
      <c r="J298" s="1235"/>
      <c r="K298" s="1235"/>
      <c r="L298" s="1235"/>
      <c r="M298" s="1235"/>
      <c r="N298" s="1235"/>
      <c r="O298" s="1235"/>
      <c r="P298" s="1235"/>
      <c r="Q298" s="1235"/>
      <c r="R298" s="1235"/>
      <c r="T298" s="41" t="s">
        <v>735</v>
      </c>
      <c r="V298" s="41"/>
      <c r="W298" s="41"/>
      <c r="X298" s="41"/>
      <c r="Y298" s="41"/>
      <c r="AA298" s="1235"/>
      <c r="AB298" s="1235"/>
      <c r="AC298" s="1235"/>
      <c r="AD298" s="1235"/>
      <c r="AE298" s="1235"/>
      <c r="AF298" s="1235"/>
      <c r="AG298" s="1235"/>
      <c r="AH298" s="1235"/>
      <c r="AI298" s="1235"/>
      <c r="AJ298" s="1235"/>
      <c r="AK298" s="1235"/>
      <c r="BA298" s="43"/>
    </row>
    <row r="299" spans="2:53" ht="12.95" customHeight="1">
      <c r="B299" s="41" t="s">
        <v>737</v>
      </c>
      <c r="C299" s="41"/>
      <c r="D299" s="41"/>
      <c r="E299" s="41"/>
      <c r="F299" s="41"/>
      <c r="H299" s="1297" t="s">
        <v>2396</v>
      </c>
      <c r="I299" s="1235"/>
      <c r="J299" s="1235"/>
      <c r="K299" s="1235"/>
      <c r="L299" s="1235"/>
      <c r="M299" s="1235"/>
      <c r="N299" s="1235"/>
      <c r="O299" s="1235"/>
      <c r="P299" s="1235"/>
      <c r="Q299" s="1235"/>
      <c r="R299" s="1235"/>
      <c r="T299" s="41" t="s">
        <v>736</v>
      </c>
      <c r="V299" s="41"/>
      <c r="W299" s="41"/>
      <c r="X299" s="41"/>
      <c r="Y299" s="41"/>
      <c r="AA299" s="1235"/>
      <c r="AB299" s="1235"/>
      <c r="AC299" s="1235"/>
      <c r="AD299" s="1235"/>
      <c r="AE299" s="1235"/>
      <c r="AF299" s="1235"/>
      <c r="AG299" s="1235"/>
      <c r="AH299" s="1235"/>
      <c r="AI299" s="1235"/>
      <c r="AJ299" s="1235"/>
      <c r="AK299" s="1235"/>
      <c r="BA299" s="43"/>
    </row>
    <row r="300" spans="2:53" ht="12.95" customHeight="1">
      <c r="B300" s="41" t="s">
        <v>399</v>
      </c>
      <c r="C300" s="41"/>
      <c r="D300" s="41"/>
      <c r="E300" s="41"/>
      <c r="F300" s="41"/>
      <c r="H300" s="1297" t="s">
        <v>2397</v>
      </c>
      <c r="I300" s="1235"/>
      <c r="J300" s="1235"/>
      <c r="K300" s="1235"/>
      <c r="L300" s="1235"/>
      <c r="M300" s="1235"/>
      <c r="N300" s="1235"/>
      <c r="O300" s="1235"/>
      <c r="P300" s="1235"/>
      <c r="Q300" s="1235"/>
      <c r="R300" s="1235"/>
      <c r="T300" s="41" t="s">
        <v>399</v>
      </c>
      <c r="V300" s="41"/>
      <c r="W300" s="41"/>
      <c r="X300" s="41"/>
      <c r="Y300" s="41"/>
      <c r="AA300" s="1235"/>
      <c r="AB300" s="1235"/>
      <c r="AC300" s="1235"/>
      <c r="AD300" s="1235"/>
      <c r="AE300" s="1235"/>
      <c r="AF300" s="1235"/>
      <c r="AG300" s="1235"/>
      <c r="AH300" s="1235"/>
      <c r="AI300" s="1235"/>
      <c r="AJ300" s="1235"/>
      <c r="AK300" s="1235"/>
      <c r="BA300" s="43"/>
    </row>
    <row r="301" spans="2:53" ht="12.95" customHeight="1">
      <c r="B301" s="41" t="s">
        <v>400</v>
      </c>
      <c r="C301" s="41"/>
      <c r="D301" s="41"/>
      <c r="E301" s="41"/>
      <c r="F301" s="41"/>
      <c r="G301" s="41"/>
      <c r="H301" s="1412" t="s">
        <v>2398</v>
      </c>
      <c r="I301" s="1413"/>
      <c r="J301" s="1413"/>
      <c r="K301" s="1413"/>
      <c r="L301" s="1413"/>
      <c r="M301" s="1413"/>
      <c r="N301" s="5" t="s">
        <v>859</v>
      </c>
      <c r="O301" s="5"/>
      <c r="P301" s="1406"/>
      <c r="Q301" s="1406"/>
      <c r="R301" s="1406"/>
      <c r="S301" s="41"/>
      <c r="T301" s="41" t="s">
        <v>400</v>
      </c>
      <c r="V301" s="41"/>
      <c r="W301" s="41"/>
      <c r="X301" s="41"/>
      <c r="Y301" s="41"/>
      <c r="AA301" s="1413"/>
      <c r="AB301" s="1413"/>
      <c r="AC301" s="1413"/>
      <c r="AD301" s="1413"/>
      <c r="AE301" s="1413"/>
      <c r="AF301" s="1413"/>
      <c r="AG301" s="5" t="s">
        <v>859</v>
      </c>
      <c r="AH301" s="5"/>
      <c r="AI301" s="1406"/>
      <c r="AJ301" s="1406"/>
      <c r="AK301" s="1406"/>
      <c r="BA301" s="43"/>
    </row>
    <row r="302" spans="2:53" ht="12.95" customHeight="1">
      <c r="B302" s="41" t="s">
        <v>401</v>
      </c>
      <c r="C302" s="41"/>
      <c r="D302" s="41"/>
      <c r="E302" s="41"/>
      <c r="F302" s="41"/>
      <c r="G302" s="41"/>
      <c r="H302" s="1234"/>
      <c r="I302" s="1234"/>
      <c r="J302" s="1234"/>
      <c r="K302" s="1234"/>
      <c r="L302" s="1234"/>
      <c r="M302" s="1234"/>
      <c r="N302" s="5"/>
      <c r="O302" s="5"/>
      <c r="P302" s="44"/>
      <c r="Q302" s="44"/>
      <c r="R302" s="44"/>
      <c r="S302" s="41"/>
      <c r="T302" s="41" t="s">
        <v>401</v>
      </c>
      <c r="V302" s="41"/>
      <c r="W302" s="41"/>
      <c r="X302" s="41"/>
      <c r="Y302" s="41"/>
      <c r="AA302" s="1234"/>
      <c r="AB302" s="1234"/>
      <c r="AC302" s="1234"/>
      <c r="AD302" s="1234"/>
      <c r="AE302" s="1234"/>
      <c r="AF302" s="1234"/>
      <c r="AG302" s="5"/>
      <c r="AH302" s="5"/>
      <c r="AI302" s="44"/>
      <c r="AJ302" s="44"/>
      <c r="AK302" s="44"/>
      <c r="BA302" s="43"/>
    </row>
    <row r="303" spans="2:53" ht="12.95" customHeight="1">
      <c r="B303" s="41" t="s">
        <v>738</v>
      </c>
      <c r="C303" s="41"/>
      <c r="D303" s="41"/>
      <c r="E303" s="41"/>
      <c r="F303" s="41"/>
      <c r="G303" s="41"/>
      <c r="H303" s="1297" t="s">
        <v>2399</v>
      </c>
      <c r="I303" s="1235"/>
      <c r="J303" s="1235"/>
      <c r="K303" s="1235"/>
      <c r="L303" s="1235"/>
      <c r="M303" s="1235"/>
      <c r="N303" s="1233"/>
      <c r="O303" s="1233"/>
      <c r="P303" s="1233"/>
      <c r="Q303" s="1233"/>
      <c r="R303" s="1233"/>
      <c r="S303" s="41"/>
      <c r="T303" s="41" t="s">
        <v>738</v>
      </c>
      <c r="V303" s="41"/>
      <c r="W303" s="41"/>
      <c r="X303" s="41"/>
      <c r="Y303" s="41"/>
      <c r="AA303" s="1235"/>
      <c r="AB303" s="1235"/>
      <c r="AC303" s="1235"/>
      <c r="AD303" s="1235"/>
      <c r="AE303" s="1235"/>
      <c r="AF303" s="1235"/>
      <c r="AG303" s="1233"/>
      <c r="AH303" s="1233"/>
      <c r="AI303" s="1233"/>
      <c r="AJ303" s="1233"/>
      <c r="AK303" s="1233"/>
      <c r="BA303" s="43"/>
    </row>
    <row r="304" spans="2:53" ht="12.95" customHeight="1">
      <c r="BA304" s="43"/>
    </row>
    <row r="305" spans="2:53" ht="12.95" customHeight="1">
      <c r="B305" s="41" t="s">
        <v>739</v>
      </c>
      <c r="C305" s="41"/>
      <c r="D305" s="41"/>
      <c r="E305" s="41"/>
      <c r="F305" s="41"/>
      <c r="H305" s="1355" t="s">
        <v>2400</v>
      </c>
      <c r="I305" s="1233"/>
      <c r="J305" s="1233"/>
      <c r="K305" s="1233"/>
      <c r="L305" s="1233"/>
      <c r="M305" s="1233"/>
      <c r="N305" s="1233"/>
      <c r="O305" s="1233"/>
      <c r="P305" s="1233"/>
      <c r="Q305" s="1233"/>
      <c r="R305" s="1233"/>
      <c r="T305" s="5" t="s">
        <v>1152</v>
      </c>
      <c r="V305" s="41"/>
      <c r="W305" s="41"/>
      <c r="X305" s="41"/>
      <c r="Y305" s="41"/>
      <c r="AA305" s="1355" t="s">
        <v>2442</v>
      </c>
      <c r="AB305" s="1233"/>
      <c r="AC305" s="1233"/>
      <c r="AD305" s="1233"/>
      <c r="AE305" s="1233"/>
      <c r="AF305" s="1233"/>
      <c r="AG305" s="1233"/>
      <c r="AH305" s="1233"/>
      <c r="AI305" s="1233"/>
      <c r="AJ305" s="1233"/>
      <c r="AK305" s="1233"/>
      <c r="BA305" s="43"/>
    </row>
    <row r="306" spans="2:53" ht="12.95" customHeight="1">
      <c r="B306" s="41" t="s">
        <v>735</v>
      </c>
      <c r="C306" s="41"/>
      <c r="D306" s="41"/>
      <c r="E306" s="41"/>
      <c r="F306" s="41"/>
      <c r="H306" s="1297" t="s">
        <v>2401</v>
      </c>
      <c r="I306" s="1235"/>
      <c r="J306" s="1235"/>
      <c r="K306" s="1235"/>
      <c r="L306" s="1235"/>
      <c r="M306" s="1235"/>
      <c r="N306" s="1235"/>
      <c r="O306" s="1235"/>
      <c r="P306" s="1235"/>
      <c r="Q306" s="1235"/>
      <c r="R306" s="1235"/>
      <c r="T306" s="41" t="s">
        <v>735</v>
      </c>
      <c r="V306" s="41"/>
      <c r="W306" s="41"/>
      <c r="X306" s="41"/>
      <c r="Y306" s="41"/>
      <c r="AA306" s="1235" t="s">
        <v>2443</v>
      </c>
      <c r="AB306" s="1235"/>
      <c r="AC306" s="1235"/>
      <c r="AD306" s="1235"/>
      <c r="AE306" s="1235"/>
      <c r="AF306" s="1235"/>
      <c r="AG306" s="1235"/>
      <c r="AH306" s="1235"/>
      <c r="AI306" s="1235"/>
      <c r="AJ306" s="1235"/>
      <c r="AK306" s="1235"/>
      <c r="BA306" s="43"/>
    </row>
    <row r="307" spans="2:53" ht="12.95" customHeight="1">
      <c r="B307" s="41" t="s">
        <v>737</v>
      </c>
      <c r="C307" s="41"/>
      <c r="D307" s="41"/>
      <c r="E307" s="41"/>
      <c r="F307" s="41"/>
      <c r="H307" s="1297" t="s">
        <v>2402</v>
      </c>
      <c r="I307" s="1235"/>
      <c r="J307" s="1235"/>
      <c r="K307" s="1235"/>
      <c r="L307" s="1235"/>
      <c r="M307" s="1235"/>
      <c r="N307" s="1235"/>
      <c r="O307" s="1235"/>
      <c r="P307" s="1235"/>
      <c r="Q307" s="1235"/>
      <c r="R307" s="1235"/>
      <c r="T307" s="41" t="s">
        <v>736</v>
      </c>
      <c r="V307" s="41"/>
      <c r="W307" s="41"/>
      <c r="X307" s="41"/>
      <c r="Y307" s="41"/>
      <c r="AA307" s="1235" t="s">
        <v>2444</v>
      </c>
      <c r="AB307" s="1235"/>
      <c r="AC307" s="1235"/>
      <c r="AD307" s="1235"/>
      <c r="AE307" s="1235"/>
      <c r="AF307" s="1235"/>
      <c r="AG307" s="1235"/>
      <c r="AH307" s="1235"/>
      <c r="AI307" s="1235"/>
      <c r="AJ307" s="1235"/>
      <c r="AK307" s="1235"/>
      <c r="BA307" s="43"/>
    </row>
    <row r="308" spans="2:53" ht="12.95" customHeight="1">
      <c r="B308" s="41" t="s">
        <v>399</v>
      </c>
      <c r="C308" s="41"/>
      <c r="D308" s="41"/>
      <c r="E308" s="41"/>
      <c r="F308" s="41"/>
      <c r="H308" s="1297" t="s">
        <v>2403</v>
      </c>
      <c r="I308" s="1235"/>
      <c r="J308" s="1235"/>
      <c r="K308" s="1235"/>
      <c r="L308" s="1235"/>
      <c r="M308" s="1235"/>
      <c r="N308" s="1235"/>
      <c r="O308" s="1235"/>
      <c r="P308" s="1235"/>
      <c r="Q308" s="1235"/>
      <c r="R308" s="1235"/>
      <c r="T308" s="41" t="s">
        <v>399</v>
      </c>
      <c r="V308" s="41"/>
      <c r="W308" s="41"/>
      <c r="X308" s="41"/>
      <c r="Y308" s="41"/>
      <c r="AA308" s="1235" t="s">
        <v>2445</v>
      </c>
      <c r="AB308" s="1235"/>
      <c r="AC308" s="1235"/>
      <c r="AD308" s="1235"/>
      <c r="AE308" s="1235"/>
      <c r="AF308" s="1235"/>
      <c r="AG308" s="1235"/>
      <c r="AH308" s="1235"/>
      <c r="AI308" s="1235"/>
      <c r="AJ308" s="1235"/>
      <c r="AK308" s="1235"/>
      <c r="BA308" s="43"/>
    </row>
    <row r="309" spans="2:53" ht="12.95" customHeight="1">
      <c r="B309" s="41" t="s">
        <v>400</v>
      </c>
      <c r="C309" s="41"/>
      <c r="D309" s="41"/>
      <c r="E309" s="41"/>
      <c r="F309" s="41"/>
      <c r="G309" s="41"/>
      <c r="H309" s="1412" t="s">
        <v>2404</v>
      </c>
      <c r="I309" s="1413"/>
      <c r="J309" s="1413"/>
      <c r="K309" s="1413"/>
      <c r="L309" s="1413"/>
      <c r="M309" s="1413"/>
      <c r="N309" s="5" t="s">
        <v>859</v>
      </c>
      <c r="O309" s="5"/>
      <c r="P309" s="1406"/>
      <c r="Q309" s="1406"/>
      <c r="R309" s="1406"/>
      <c r="S309" s="41"/>
      <c r="T309" s="41" t="s">
        <v>400</v>
      </c>
      <c r="V309" s="41"/>
      <c r="W309" s="41"/>
      <c r="X309" s="41"/>
      <c r="Y309" s="41"/>
      <c r="AA309" s="1412" t="s">
        <v>2446</v>
      </c>
      <c r="AB309" s="1413"/>
      <c r="AC309" s="1413"/>
      <c r="AD309" s="1413"/>
      <c r="AE309" s="1413"/>
      <c r="AF309" s="1413"/>
      <c r="AG309" s="5" t="s">
        <v>859</v>
      </c>
      <c r="AH309" s="5"/>
      <c r="AI309" s="1406"/>
      <c r="AJ309" s="1406"/>
      <c r="AK309" s="1406"/>
      <c r="BA309" s="43"/>
    </row>
    <row r="310" spans="2:53" ht="12.95" customHeight="1">
      <c r="B310" s="41" t="s">
        <v>401</v>
      </c>
      <c r="C310" s="41"/>
      <c r="D310" s="41"/>
      <c r="E310" s="41"/>
      <c r="F310" s="41"/>
      <c r="G310" s="41"/>
      <c r="H310" s="1234"/>
      <c r="I310" s="1234"/>
      <c r="J310" s="1234"/>
      <c r="K310" s="1234"/>
      <c r="L310" s="1234"/>
      <c r="M310" s="1234"/>
      <c r="N310" s="5"/>
      <c r="O310" s="5"/>
      <c r="P310" s="44"/>
      <c r="Q310" s="44"/>
      <c r="R310" s="44"/>
      <c r="S310" s="41"/>
      <c r="T310" s="41" t="s">
        <v>401</v>
      </c>
      <c r="V310" s="41"/>
      <c r="W310" s="41"/>
      <c r="X310" s="41"/>
      <c r="Y310" s="41"/>
      <c r="AA310" s="1234"/>
      <c r="AB310" s="1234"/>
      <c r="AC310" s="1234"/>
      <c r="AD310" s="1234"/>
      <c r="AE310" s="1234"/>
      <c r="AF310" s="1234"/>
      <c r="AG310" s="5"/>
      <c r="AH310" s="5"/>
      <c r="AI310" s="44"/>
      <c r="AJ310" s="44"/>
      <c r="AK310" s="44"/>
      <c r="BA310" s="43"/>
    </row>
    <row r="311" spans="2:53" ht="12.95" customHeight="1">
      <c r="B311" s="41" t="s">
        <v>738</v>
      </c>
      <c r="C311" s="41"/>
      <c r="D311" s="41"/>
      <c r="E311" s="41"/>
      <c r="F311" s="41"/>
      <c r="G311" s="41"/>
      <c r="H311" s="1297" t="s">
        <v>2405</v>
      </c>
      <c r="I311" s="1235"/>
      <c r="J311" s="1235"/>
      <c r="K311" s="1235"/>
      <c r="L311" s="1235"/>
      <c r="M311" s="1235"/>
      <c r="N311" s="1233"/>
      <c r="O311" s="1233"/>
      <c r="P311" s="1233"/>
      <c r="Q311" s="1233"/>
      <c r="R311" s="1233"/>
      <c r="S311" s="41"/>
      <c r="T311" s="41" t="s">
        <v>738</v>
      </c>
      <c r="V311" s="41"/>
      <c r="W311" s="41"/>
      <c r="X311" s="41"/>
      <c r="Y311" s="41"/>
      <c r="AA311" s="1235" t="s">
        <v>2447</v>
      </c>
      <c r="AB311" s="1235"/>
      <c r="AC311" s="1235"/>
      <c r="AD311" s="1235"/>
      <c r="AE311" s="1235"/>
      <c r="AF311" s="1235"/>
      <c r="AG311" s="1233"/>
      <c r="AH311" s="1233"/>
      <c r="AI311" s="1233"/>
      <c r="AJ311" s="1233"/>
      <c r="AK311" s="1233"/>
      <c r="BA311" s="43"/>
    </row>
    <row r="312" spans="2:53" ht="12.95" customHeight="1">
      <c r="BA312" s="43"/>
    </row>
    <row r="313" spans="2:53" ht="12.95" customHeight="1">
      <c r="B313" s="5" t="s">
        <v>1194</v>
      </c>
      <c r="C313" s="41"/>
      <c r="D313" s="41"/>
      <c r="E313" s="41"/>
      <c r="F313" s="41"/>
      <c r="H313" s="1355" t="s">
        <v>2400</v>
      </c>
      <c r="I313" s="1233"/>
      <c r="J313" s="1233"/>
      <c r="K313" s="1233"/>
      <c r="L313" s="1233"/>
      <c r="M313" s="1233"/>
      <c r="N313" s="1233"/>
      <c r="O313" s="1233"/>
      <c r="P313" s="1233"/>
      <c r="Q313" s="1233"/>
      <c r="R313" s="1233"/>
      <c r="T313" s="41" t="s">
        <v>40</v>
      </c>
      <c r="V313" s="41"/>
      <c r="W313" s="41"/>
      <c r="X313" s="41"/>
      <c r="Y313" s="41"/>
      <c r="AA313" s="1233" t="s">
        <v>2448</v>
      </c>
      <c r="AB313" s="1233"/>
      <c r="AC313" s="1233"/>
      <c r="AD313" s="1233"/>
      <c r="AE313" s="1233"/>
      <c r="AF313" s="1233"/>
      <c r="AG313" s="1233"/>
      <c r="AH313" s="1233"/>
      <c r="AI313" s="1233"/>
      <c r="AJ313" s="1233"/>
      <c r="AK313" s="1233"/>
      <c r="BA313" s="43"/>
    </row>
    <row r="314" spans="2:53" ht="12.95" customHeight="1">
      <c r="B314" s="41" t="s">
        <v>735</v>
      </c>
      <c r="C314" s="41"/>
      <c r="D314" s="41"/>
      <c r="E314" s="41"/>
      <c r="F314" s="41"/>
      <c r="H314" s="1297" t="s">
        <v>2401</v>
      </c>
      <c r="I314" s="1235"/>
      <c r="J314" s="1235"/>
      <c r="K314" s="1235"/>
      <c r="L314" s="1235"/>
      <c r="M314" s="1235"/>
      <c r="N314" s="1235"/>
      <c r="O314" s="1235"/>
      <c r="P314" s="1235"/>
      <c r="Q314" s="1235"/>
      <c r="R314" s="1235"/>
      <c r="T314" s="41" t="s">
        <v>735</v>
      </c>
      <c r="V314" s="41"/>
      <c r="W314" s="41"/>
      <c r="X314" s="41"/>
      <c r="Y314" s="41"/>
      <c r="AA314" s="1235" t="s">
        <v>2449</v>
      </c>
      <c r="AB314" s="1235"/>
      <c r="AC314" s="1235"/>
      <c r="AD314" s="1235"/>
      <c r="AE314" s="1235"/>
      <c r="AF314" s="1235"/>
      <c r="AG314" s="1235"/>
      <c r="AH314" s="1235"/>
      <c r="AI314" s="1235"/>
      <c r="AJ314" s="1235"/>
      <c r="AK314" s="1235"/>
      <c r="BA314" s="43"/>
    </row>
    <row r="315" spans="2:53" ht="12.95" customHeight="1">
      <c r="B315" s="41" t="s">
        <v>737</v>
      </c>
      <c r="C315" s="41"/>
      <c r="D315" s="41"/>
      <c r="E315" s="41"/>
      <c r="F315" s="41"/>
      <c r="H315" s="1297" t="s">
        <v>2402</v>
      </c>
      <c r="I315" s="1235"/>
      <c r="J315" s="1235"/>
      <c r="K315" s="1235"/>
      <c r="L315" s="1235"/>
      <c r="M315" s="1235"/>
      <c r="N315" s="1235"/>
      <c r="O315" s="1235"/>
      <c r="P315" s="1235"/>
      <c r="Q315" s="1235"/>
      <c r="R315" s="1235"/>
      <c r="T315" s="41" t="s">
        <v>736</v>
      </c>
      <c r="V315" s="41"/>
      <c r="W315" s="41"/>
      <c r="X315" s="41"/>
      <c r="Y315" s="41"/>
      <c r="AA315" s="1235" t="s">
        <v>2450</v>
      </c>
      <c r="AB315" s="1235"/>
      <c r="AC315" s="1235"/>
      <c r="AD315" s="1235"/>
      <c r="AE315" s="1235"/>
      <c r="AF315" s="1235"/>
      <c r="AG315" s="1235"/>
      <c r="AH315" s="1235"/>
      <c r="AI315" s="1235"/>
      <c r="AJ315" s="1235"/>
      <c r="AK315" s="1235"/>
      <c r="BA315" s="43"/>
    </row>
    <row r="316" spans="2:53" ht="12.95" customHeight="1">
      <c r="B316" s="41" t="s">
        <v>399</v>
      </c>
      <c r="C316" s="41"/>
      <c r="D316" s="41"/>
      <c r="E316" s="41"/>
      <c r="F316" s="41"/>
      <c r="H316" s="1297" t="s">
        <v>2403</v>
      </c>
      <c r="I316" s="1235"/>
      <c r="J316" s="1235"/>
      <c r="K316" s="1235"/>
      <c r="L316" s="1235"/>
      <c r="M316" s="1235"/>
      <c r="N316" s="1235"/>
      <c r="O316" s="1235"/>
      <c r="P316" s="1235"/>
      <c r="Q316" s="1235"/>
      <c r="R316" s="1235"/>
      <c r="T316" s="41" t="s">
        <v>399</v>
      </c>
      <c r="V316" s="41"/>
      <c r="W316" s="41"/>
      <c r="X316" s="41"/>
      <c r="Y316" s="41"/>
      <c r="AA316" s="1235" t="s">
        <v>2451</v>
      </c>
      <c r="AB316" s="1235"/>
      <c r="AC316" s="1235"/>
      <c r="AD316" s="1235"/>
      <c r="AE316" s="1235"/>
      <c r="AF316" s="1235"/>
      <c r="AG316" s="1235"/>
      <c r="AH316" s="1235"/>
      <c r="AI316" s="1235"/>
      <c r="AJ316" s="1235"/>
      <c r="AK316" s="1235"/>
      <c r="BA316" s="43"/>
    </row>
    <row r="317" spans="2:53" ht="12.95" customHeight="1">
      <c r="B317" s="41" t="s">
        <v>400</v>
      </c>
      <c r="C317" s="41"/>
      <c r="D317" s="41"/>
      <c r="E317" s="41"/>
      <c r="F317" s="41"/>
      <c r="G317" s="41"/>
      <c r="H317" s="1412" t="s">
        <v>2404</v>
      </c>
      <c r="I317" s="1413"/>
      <c r="J317" s="1413"/>
      <c r="K317" s="1413"/>
      <c r="L317" s="1413"/>
      <c r="M317" s="1413"/>
      <c r="N317" s="5" t="s">
        <v>859</v>
      </c>
      <c r="O317" s="5"/>
      <c r="P317" s="1406"/>
      <c r="Q317" s="1406"/>
      <c r="R317" s="1406"/>
      <c r="S317" s="41"/>
      <c r="T317" s="41" t="s">
        <v>400</v>
      </c>
      <c r="V317" s="41"/>
      <c r="W317" s="41"/>
      <c r="X317" s="41"/>
      <c r="Y317" s="41"/>
      <c r="AA317" s="1412" t="s">
        <v>2452</v>
      </c>
      <c r="AB317" s="1413"/>
      <c r="AC317" s="1413"/>
      <c r="AD317" s="1413"/>
      <c r="AE317" s="1413"/>
      <c r="AF317" s="1413"/>
      <c r="AG317" s="5" t="s">
        <v>859</v>
      </c>
      <c r="AH317" s="5"/>
      <c r="AI317" s="1406"/>
      <c r="AJ317" s="1406"/>
      <c r="AK317" s="1406"/>
      <c r="BA317" s="43"/>
    </row>
    <row r="318" spans="2:53" ht="12.95" customHeight="1">
      <c r="B318" s="41" t="s">
        <v>401</v>
      </c>
      <c r="C318" s="41"/>
      <c r="D318" s="41"/>
      <c r="E318" s="41"/>
      <c r="F318" s="41"/>
      <c r="G318" s="41"/>
      <c r="H318" s="1234"/>
      <c r="I318" s="1234"/>
      <c r="J318" s="1234"/>
      <c r="K318" s="1234"/>
      <c r="L318" s="1234"/>
      <c r="M318" s="1234"/>
      <c r="N318" s="5"/>
      <c r="O318" s="5"/>
      <c r="P318" s="44"/>
      <c r="Q318" s="44"/>
      <c r="R318" s="44"/>
      <c r="S318" s="41"/>
      <c r="T318" s="41" t="s">
        <v>401</v>
      </c>
      <c r="V318" s="41"/>
      <c r="W318" s="41"/>
      <c r="X318" s="41"/>
      <c r="Y318" s="41"/>
      <c r="AA318" s="1234"/>
      <c r="AB318" s="1234"/>
      <c r="AC318" s="1234"/>
      <c r="AD318" s="1234"/>
      <c r="AE318" s="1234"/>
      <c r="AF318" s="1234"/>
      <c r="AG318" s="5"/>
      <c r="AH318" s="5"/>
      <c r="AI318" s="44"/>
      <c r="AJ318" s="44"/>
      <c r="AK318" s="44"/>
      <c r="BA318" s="43"/>
    </row>
    <row r="319" spans="2:53" ht="12.95" customHeight="1">
      <c r="B319" s="41" t="s">
        <v>738</v>
      </c>
      <c r="C319" s="41"/>
      <c r="D319" s="41"/>
      <c r="E319" s="41"/>
      <c r="F319" s="41"/>
      <c r="G319" s="41"/>
      <c r="H319" s="1297" t="s">
        <v>2405</v>
      </c>
      <c r="I319" s="1235"/>
      <c r="J319" s="1235"/>
      <c r="K319" s="1235"/>
      <c r="L319" s="1235"/>
      <c r="M319" s="1235"/>
      <c r="N319" s="1233"/>
      <c r="O319" s="1233"/>
      <c r="P319" s="1233"/>
      <c r="Q319" s="1233"/>
      <c r="R319" s="1233"/>
      <c r="S319" s="41"/>
      <c r="T319" s="41" t="s">
        <v>738</v>
      </c>
      <c r="V319" s="41"/>
      <c r="W319" s="41"/>
      <c r="X319" s="41"/>
      <c r="Y319" s="41"/>
      <c r="AA319" s="1235" t="s">
        <v>2453</v>
      </c>
      <c r="AB319" s="1235"/>
      <c r="AC319" s="1235"/>
      <c r="AD319" s="1235"/>
      <c r="AE319" s="1235"/>
      <c r="AF319" s="1235"/>
      <c r="AG319" s="1233"/>
      <c r="AH319" s="1233"/>
      <c r="AI319" s="1233"/>
      <c r="AJ319" s="1233"/>
      <c r="AK319" s="123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233"/>
      <c r="I321" s="1233"/>
      <c r="J321" s="1233"/>
      <c r="K321" s="1233"/>
      <c r="L321" s="1233"/>
      <c r="M321" s="1233"/>
      <c r="N321" s="1233"/>
      <c r="O321" s="1233"/>
      <c r="P321" s="1233"/>
      <c r="Q321" s="1233"/>
      <c r="R321" s="1233"/>
      <c r="T321" s="41" t="s">
        <v>41</v>
      </c>
      <c r="V321" s="41"/>
      <c r="W321" s="41"/>
      <c r="X321" s="41"/>
      <c r="Y321" s="41"/>
      <c r="AA321" s="1355" t="s">
        <v>2400</v>
      </c>
      <c r="AB321" s="1233"/>
      <c r="AC321" s="1233"/>
      <c r="AD321" s="1233"/>
      <c r="AE321" s="1233"/>
      <c r="AF321" s="1233"/>
      <c r="AG321" s="1233"/>
      <c r="AH321" s="1233"/>
      <c r="AI321" s="1233"/>
      <c r="AJ321" s="1233"/>
      <c r="AK321" s="1233"/>
      <c r="BA321" s="43"/>
    </row>
    <row r="322" spans="2:53" ht="12.95" customHeight="1">
      <c r="B322" s="41" t="s">
        <v>735</v>
      </c>
      <c r="C322" s="41"/>
      <c r="D322" s="41"/>
      <c r="E322" s="41"/>
      <c r="F322" s="41"/>
      <c r="H322" s="1235"/>
      <c r="I322" s="1235"/>
      <c r="J322" s="1235"/>
      <c r="K322" s="1235"/>
      <c r="L322" s="1235"/>
      <c r="M322" s="1235"/>
      <c r="N322" s="1235"/>
      <c r="O322" s="1235"/>
      <c r="P322" s="1235"/>
      <c r="Q322" s="1235"/>
      <c r="R322" s="1235"/>
      <c r="T322" s="41" t="s">
        <v>735</v>
      </c>
      <c r="V322" s="41"/>
      <c r="W322" s="41"/>
      <c r="X322" s="41"/>
      <c r="Y322" s="41"/>
      <c r="AA322" s="1297" t="s">
        <v>2406</v>
      </c>
      <c r="AB322" s="1235"/>
      <c r="AC322" s="1235"/>
      <c r="AD322" s="1235"/>
      <c r="AE322" s="1235"/>
      <c r="AF322" s="1235"/>
      <c r="AG322" s="1235"/>
      <c r="AH322" s="1235"/>
      <c r="AI322" s="1235"/>
      <c r="AJ322" s="1235"/>
      <c r="AK322" s="1235"/>
      <c r="BA322" s="43"/>
    </row>
    <row r="323" spans="2:53" ht="12.95" customHeight="1">
      <c r="B323" s="41" t="s">
        <v>737</v>
      </c>
      <c r="C323" s="41"/>
      <c r="D323" s="41"/>
      <c r="E323" s="41"/>
      <c r="F323" s="41"/>
      <c r="H323" s="1235"/>
      <c r="I323" s="1235"/>
      <c r="J323" s="1235"/>
      <c r="K323" s="1235"/>
      <c r="L323" s="1235"/>
      <c r="M323" s="1235"/>
      <c r="N323" s="1235"/>
      <c r="O323" s="1235"/>
      <c r="P323" s="1235"/>
      <c r="Q323" s="1235"/>
      <c r="R323" s="1235"/>
      <c r="T323" s="41" t="s">
        <v>736</v>
      </c>
      <c r="V323" s="41"/>
      <c r="W323" s="41"/>
      <c r="X323" s="41"/>
      <c r="Y323" s="41"/>
      <c r="AA323" s="1297" t="s">
        <v>2407</v>
      </c>
      <c r="AB323" s="1235"/>
      <c r="AC323" s="1235"/>
      <c r="AD323" s="1235"/>
      <c r="AE323" s="1235"/>
      <c r="AF323" s="1235"/>
      <c r="AG323" s="1235"/>
      <c r="AH323" s="1235"/>
      <c r="AI323" s="1235"/>
      <c r="AJ323" s="1235"/>
      <c r="AK323" s="1235"/>
      <c r="BA323" s="43"/>
    </row>
    <row r="324" spans="2:53" ht="12.95" customHeight="1">
      <c r="B324" s="41" t="s">
        <v>399</v>
      </c>
      <c r="C324" s="41"/>
      <c r="D324" s="41"/>
      <c r="E324" s="41"/>
      <c r="F324" s="41"/>
      <c r="H324" s="1235"/>
      <c r="I324" s="1235"/>
      <c r="J324" s="1235"/>
      <c r="K324" s="1235"/>
      <c r="L324" s="1235"/>
      <c r="M324" s="1235"/>
      <c r="N324" s="1235"/>
      <c r="O324" s="1235"/>
      <c r="P324" s="1235"/>
      <c r="Q324" s="1235"/>
      <c r="R324" s="1235"/>
      <c r="T324" s="41" t="s">
        <v>399</v>
      </c>
      <c r="V324" s="41"/>
      <c r="W324" s="41"/>
      <c r="X324" s="41"/>
      <c r="Y324" s="41"/>
      <c r="AA324" s="1297" t="s">
        <v>2408</v>
      </c>
      <c r="AB324" s="1235"/>
      <c r="AC324" s="1235"/>
      <c r="AD324" s="1235"/>
      <c r="AE324" s="1235"/>
      <c r="AF324" s="1235"/>
      <c r="AG324" s="1235"/>
      <c r="AH324" s="1235"/>
      <c r="AI324" s="1235"/>
      <c r="AJ324" s="1235"/>
      <c r="AK324" s="1235"/>
      <c r="BA324" s="43"/>
    </row>
    <row r="325" spans="2:53" ht="12.95" customHeight="1">
      <c r="B325" s="41" t="s">
        <v>400</v>
      </c>
      <c r="C325" s="41"/>
      <c r="D325" s="41"/>
      <c r="E325" s="41"/>
      <c r="F325" s="41"/>
      <c r="G325" s="41"/>
      <c r="H325" s="1413"/>
      <c r="I325" s="1413"/>
      <c r="J325" s="1413"/>
      <c r="K325" s="1413"/>
      <c r="L325" s="1413"/>
      <c r="M325" s="1413"/>
      <c r="N325" s="5" t="s">
        <v>859</v>
      </c>
      <c r="O325" s="5"/>
      <c r="P325" s="1406"/>
      <c r="Q325" s="1406"/>
      <c r="R325" s="1406"/>
      <c r="S325" s="41"/>
      <c r="T325" s="41" t="s">
        <v>400</v>
      </c>
      <c r="V325" s="41"/>
      <c r="W325" s="41"/>
      <c r="X325" s="41"/>
      <c r="Y325" s="41"/>
      <c r="AA325" s="1412" t="s">
        <v>2409</v>
      </c>
      <c r="AB325" s="1413"/>
      <c r="AC325" s="1413"/>
      <c r="AD325" s="1413"/>
      <c r="AE325" s="1413"/>
      <c r="AF325" s="1413"/>
      <c r="AG325" s="5" t="s">
        <v>859</v>
      </c>
      <c r="AH325" s="5"/>
      <c r="AI325" s="1406"/>
      <c r="AJ325" s="1406"/>
      <c r="AK325" s="1406"/>
      <c r="BA325" s="43"/>
    </row>
    <row r="326" spans="2:53" ht="12.95" customHeight="1">
      <c r="B326" s="41" t="s">
        <v>401</v>
      </c>
      <c r="C326" s="41"/>
      <c r="D326" s="41"/>
      <c r="E326" s="41"/>
      <c r="F326" s="41"/>
      <c r="G326" s="41"/>
      <c r="H326" s="1234"/>
      <c r="I326" s="1234"/>
      <c r="J326" s="1234"/>
      <c r="K326" s="1234"/>
      <c r="L326" s="1234"/>
      <c r="M326" s="1234"/>
      <c r="N326" s="5"/>
      <c r="O326" s="5"/>
      <c r="P326" s="44"/>
      <c r="Q326" s="44"/>
      <c r="R326" s="44"/>
      <c r="S326" s="41"/>
      <c r="T326" s="41" t="s">
        <v>401</v>
      </c>
      <c r="V326" s="41"/>
      <c r="W326" s="41"/>
      <c r="X326" s="41"/>
      <c r="Y326" s="41"/>
      <c r="AA326" s="1234"/>
      <c r="AB326" s="1234"/>
      <c r="AC326" s="1234"/>
      <c r="AD326" s="1234"/>
      <c r="AE326" s="1234"/>
      <c r="AF326" s="1234"/>
      <c r="AG326" s="5"/>
      <c r="AH326" s="5"/>
      <c r="AI326" s="44"/>
      <c r="AJ326" s="44"/>
      <c r="AK326" s="44"/>
      <c r="BA326" s="43"/>
    </row>
    <row r="327" spans="2:53" ht="12.95" customHeight="1">
      <c r="B327" s="41" t="s">
        <v>738</v>
      </c>
      <c r="C327" s="41"/>
      <c r="D327" s="41"/>
      <c r="E327" s="41"/>
      <c r="F327" s="41"/>
      <c r="G327" s="41"/>
      <c r="H327" s="1235"/>
      <c r="I327" s="1235"/>
      <c r="J327" s="1235"/>
      <c r="K327" s="1235"/>
      <c r="L327" s="1235"/>
      <c r="M327" s="1235"/>
      <c r="N327" s="1233"/>
      <c r="O327" s="1233"/>
      <c r="P327" s="1233"/>
      <c r="Q327" s="1233"/>
      <c r="R327" s="1233"/>
      <c r="S327" s="41"/>
      <c r="T327" s="41" t="s">
        <v>738</v>
      </c>
      <c r="V327" s="41"/>
      <c r="W327" s="41"/>
      <c r="X327" s="41"/>
      <c r="Y327" s="41"/>
      <c r="AA327" s="1297" t="s">
        <v>2410</v>
      </c>
      <c r="AB327" s="1235"/>
      <c r="AC327" s="1235"/>
      <c r="AD327" s="1235"/>
      <c r="AE327" s="1235"/>
      <c r="AF327" s="1235"/>
      <c r="AG327" s="1233"/>
      <c r="AH327" s="1233"/>
      <c r="AI327" s="1233"/>
      <c r="AJ327" s="1233"/>
      <c r="AK327" s="123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3"/>
      <c r="I329" s="1233"/>
      <c r="J329" s="1233"/>
      <c r="K329" s="1233"/>
      <c r="L329" s="1233"/>
      <c r="M329" s="1233"/>
      <c r="N329" s="1233"/>
      <c r="O329" s="1233"/>
      <c r="P329" s="1233"/>
      <c r="Q329" s="1233"/>
      <c r="R329" s="1233"/>
      <c r="T329" s="5" t="s">
        <v>1153</v>
      </c>
      <c r="V329" s="41"/>
      <c r="W329" s="41"/>
      <c r="X329" s="41"/>
      <c r="Y329" s="41"/>
      <c r="AA329" s="1355" t="s">
        <v>2411</v>
      </c>
      <c r="AB329" s="1233"/>
      <c r="AC329" s="1233"/>
      <c r="AD329" s="1233"/>
      <c r="AE329" s="1233"/>
      <c r="AF329" s="1233"/>
      <c r="AG329" s="1233"/>
      <c r="AH329" s="1233"/>
      <c r="AI329" s="1233"/>
      <c r="AJ329" s="1233"/>
      <c r="AK329" s="1233"/>
      <c r="BA329" s="43"/>
    </row>
    <row r="330" spans="2:53" ht="12.95" customHeight="1">
      <c r="B330" s="41" t="s">
        <v>735</v>
      </c>
      <c r="C330" s="41"/>
      <c r="D330" s="41"/>
      <c r="E330" s="41"/>
      <c r="F330" s="41"/>
      <c r="H330" s="1235"/>
      <c r="I330" s="1235"/>
      <c r="J330" s="1235"/>
      <c r="K330" s="1235"/>
      <c r="L330" s="1235"/>
      <c r="M330" s="1235"/>
      <c r="N330" s="1235"/>
      <c r="O330" s="1235"/>
      <c r="P330" s="1235"/>
      <c r="Q330" s="1235"/>
      <c r="R330" s="1235"/>
      <c r="T330" s="41" t="s">
        <v>735</v>
      </c>
      <c r="V330" s="41"/>
      <c r="W330" s="41"/>
      <c r="X330" s="41"/>
      <c r="Y330" s="41"/>
      <c r="AA330" s="1297" t="s">
        <v>2412</v>
      </c>
      <c r="AB330" s="1235"/>
      <c r="AC330" s="1235"/>
      <c r="AD330" s="1235"/>
      <c r="AE330" s="1235"/>
      <c r="AF330" s="1235"/>
      <c r="AG330" s="1235"/>
      <c r="AH330" s="1235"/>
      <c r="AI330" s="1235"/>
      <c r="AJ330" s="1235"/>
      <c r="AK330" s="1235"/>
      <c r="BA330" s="43"/>
    </row>
    <row r="331" spans="2:53" ht="12.95" customHeight="1">
      <c r="B331" s="41" t="s">
        <v>737</v>
      </c>
      <c r="C331" s="41"/>
      <c r="D331" s="41"/>
      <c r="E331" s="41"/>
      <c r="F331" s="41"/>
      <c r="G331" s="41"/>
      <c r="H331" s="1235"/>
      <c r="I331" s="1235"/>
      <c r="J331" s="1235"/>
      <c r="K331" s="1235"/>
      <c r="L331" s="1235"/>
      <c r="M331" s="1235"/>
      <c r="N331" s="1235"/>
      <c r="O331" s="1235"/>
      <c r="P331" s="1235"/>
      <c r="Q331" s="1235"/>
      <c r="R331" s="1235"/>
      <c r="T331" s="41" t="s">
        <v>736</v>
      </c>
      <c r="V331" s="41"/>
      <c r="W331" s="41"/>
      <c r="X331" s="41"/>
      <c r="Y331" s="41"/>
      <c r="AA331" s="1297" t="s">
        <v>2413</v>
      </c>
      <c r="AB331" s="1235"/>
      <c r="AC331" s="1235"/>
      <c r="AD331" s="1235"/>
      <c r="AE331" s="1235"/>
      <c r="AF331" s="1235"/>
      <c r="AG331" s="1235"/>
      <c r="AH331" s="1235"/>
      <c r="AI331" s="1235"/>
      <c r="AJ331" s="1235"/>
      <c r="AK331" s="1235"/>
      <c r="BA331" s="43"/>
    </row>
    <row r="332" spans="2:53" ht="12.95" customHeight="1">
      <c r="B332" s="41" t="s">
        <v>399</v>
      </c>
      <c r="C332" s="41"/>
      <c r="D332" s="41"/>
      <c r="E332" s="41"/>
      <c r="F332" s="41"/>
      <c r="H332" s="1235"/>
      <c r="I332" s="1235"/>
      <c r="J332" s="1235"/>
      <c r="K332" s="1235"/>
      <c r="L332" s="1235"/>
      <c r="M332" s="1235"/>
      <c r="N332" s="1235"/>
      <c r="O332" s="1235"/>
      <c r="P332" s="1235"/>
      <c r="Q332" s="1235"/>
      <c r="R332" s="1235"/>
      <c r="T332" s="41" t="s">
        <v>399</v>
      </c>
      <c r="V332" s="41"/>
      <c r="W332" s="41"/>
      <c r="X332" s="41"/>
      <c r="Y332" s="41"/>
      <c r="AA332" s="1297" t="s">
        <v>2414</v>
      </c>
      <c r="AB332" s="1235"/>
      <c r="AC332" s="1235"/>
      <c r="AD332" s="1235"/>
      <c r="AE332" s="1235"/>
      <c r="AF332" s="1235"/>
      <c r="AG332" s="1235"/>
      <c r="AH332" s="1235"/>
      <c r="AI332" s="1235"/>
      <c r="AJ332" s="1235"/>
      <c r="AK332" s="1235"/>
      <c r="BA332" s="43"/>
    </row>
    <row r="333" spans="2:53" ht="12.95" customHeight="1">
      <c r="B333" s="41" t="s">
        <v>400</v>
      </c>
      <c r="C333" s="41"/>
      <c r="D333" s="41"/>
      <c r="E333" s="41"/>
      <c r="F333" s="41"/>
      <c r="G333" s="41"/>
      <c r="H333" s="1413"/>
      <c r="I333" s="1413"/>
      <c r="J333" s="1413"/>
      <c r="K333" s="1413"/>
      <c r="L333" s="1413"/>
      <c r="M333" s="1413"/>
      <c r="N333" s="5" t="s">
        <v>859</v>
      </c>
      <c r="O333" s="5"/>
      <c r="P333" s="1406"/>
      <c r="Q333" s="1406"/>
      <c r="R333" s="1406"/>
      <c r="T333" s="41" t="s">
        <v>400</v>
      </c>
      <c r="V333" s="41"/>
      <c r="W333" s="41"/>
      <c r="X333" s="41"/>
      <c r="Y333" s="41"/>
      <c r="AA333" s="1412" t="s">
        <v>2415</v>
      </c>
      <c r="AB333" s="1413"/>
      <c r="AC333" s="1413"/>
      <c r="AD333" s="1413"/>
      <c r="AE333" s="1413"/>
      <c r="AF333" s="1413"/>
      <c r="AG333" s="5" t="s">
        <v>859</v>
      </c>
      <c r="AH333" s="5"/>
      <c r="AI333" s="1406"/>
      <c r="AJ333" s="1406"/>
      <c r="AK333" s="1406"/>
      <c r="BA333" s="43"/>
    </row>
    <row r="334" spans="2:53" ht="12.95" customHeight="1">
      <c r="B334" s="41" t="s">
        <v>401</v>
      </c>
      <c r="C334" s="41"/>
      <c r="D334" s="41"/>
      <c r="E334" s="41"/>
      <c r="F334" s="41"/>
      <c r="G334" s="41"/>
      <c r="H334" s="1234"/>
      <c r="I334" s="1234"/>
      <c r="J334" s="1234"/>
      <c r="K334" s="1234"/>
      <c r="L334" s="1234"/>
      <c r="M334" s="1234"/>
      <c r="N334" s="5"/>
      <c r="O334" s="5"/>
      <c r="P334" s="44"/>
      <c r="Q334" s="44"/>
      <c r="R334" s="44"/>
      <c r="T334" s="41" t="s">
        <v>401</v>
      </c>
      <c r="V334" s="41"/>
      <c r="W334" s="41"/>
      <c r="X334" s="41"/>
      <c r="Y334" s="41"/>
      <c r="AA334" s="1234"/>
      <c r="AB334" s="1234"/>
      <c r="AC334" s="1234"/>
      <c r="AD334" s="1234"/>
      <c r="AE334" s="1234"/>
      <c r="AF334" s="1234"/>
      <c r="AG334" s="5"/>
      <c r="AH334" s="5"/>
      <c r="AI334" s="44"/>
      <c r="AJ334" s="44"/>
      <c r="AK334" s="44"/>
      <c r="BA334" s="43"/>
    </row>
    <row r="335" spans="2:53" ht="12.95" customHeight="1">
      <c r="B335" s="41" t="s">
        <v>738</v>
      </c>
      <c r="C335" s="41"/>
      <c r="D335" s="41"/>
      <c r="E335" s="41"/>
      <c r="F335" s="41"/>
      <c r="G335" s="41"/>
      <c r="H335" s="1235"/>
      <c r="I335" s="1235"/>
      <c r="J335" s="1235"/>
      <c r="K335" s="1235"/>
      <c r="L335" s="1235"/>
      <c r="M335" s="1235"/>
      <c r="N335" s="1233"/>
      <c r="O335" s="1233"/>
      <c r="P335" s="1233"/>
      <c r="Q335" s="1233"/>
      <c r="R335" s="1233"/>
      <c r="T335" s="41" t="s">
        <v>738</v>
      </c>
      <c r="V335" s="41"/>
      <c r="W335" s="41"/>
      <c r="X335" s="41"/>
      <c r="Y335" s="41"/>
      <c r="AA335" s="1297" t="s">
        <v>2416</v>
      </c>
      <c r="AB335" s="1235"/>
      <c r="AC335" s="1235"/>
      <c r="AD335" s="1235"/>
      <c r="AE335" s="1235"/>
      <c r="AF335" s="1235"/>
      <c r="AG335" s="1233"/>
      <c r="AH335" s="1233"/>
      <c r="AI335" s="1233"/>
      <c r="AJ335" s="1233"/>
      <c r="AK335" s="123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3"/>
      <c r="I337" s="1233"/>
      <c r="J337" s="1233"/>
      <c r="K337" s="1233"/>
      <c r="L337" s="1233"/>
      <c r="M337" s="1233"/>
      <c r="N337" s="1233"/>
      <c r="O337" s="1233"/>
      <c r="P337" s="1233"/>
      <c r="Q337" s="1233"/>
      <c r="R337" s="1233"/>
      <c r="T337" s="365" t="s">
        <v>1193</v>
      </c>
      <c r="AA337" s="1233"/>
      <c r="AB337" s="1233"/>
      <c r="AC337" s="1233"/>
      <c r="AD337" s="1233"/>
      <c r="AE337" s="1233"/>
      <c r="AF337" s="1233"/>
      <c r="AG337" s="1233"/>
      <c r="AH337" s="1233"/>
      <c r="AI337" s="1233"/>
      <c r="AJ337" s="1233"/>
      <c r="AK337" s="1233"/>
      <c r="BA337" s="43"/>
    </row>
    <row r="338" spans="1:53" ht="12.95" customHeight="1">
      <c r="B338" s="365" t="s">
        <v>735</v>
      </c>
      <c r="C338" s="365"/>
      <c r="D338" s="365"/>
      <c r="E338" s="365"/>
      <c r="F338" s="365"/>
      <c r="G338" s="365"/>
      <c r="H338" s="1235"/>
      <c r="I338" s="1235"/>
      <c r="J338" s="1235"/>
      <c r="K338" s="1235"/>
      <c r="L338" s="1235"/>
      <c r="M338" s="1235"/>
      <c r="N338" s="1235"/>
      <c r="O338" s="1235"/>
      <c r="P338" s="1235"/>
      <c r="Q338" s="1235"/>
      <c r="R338" s="1235"/>
      <c r="T338" s="41" t="s">
        <v>735</v>
      </c>
      <c r="AA338" s="1235"/>
      <c r="AB338" s="1235"/>
      <c r="AC338" s="1235"/>
      <c r="AD338" s="1235"/>
      <c r="AE338" s="1235"/>
      <c r="AF338" s="1235"/>
      <c r="AG338" s="1235"/>
      <c r="AH338" s="1235"/>
      <c r="AI338" s="1235"/>
      <c r="AJ338" s="1235"/>
      <c r="AK338" s="1235"/>
      <c r="BA338" s="43"/>
    </row>
    <row r="339" spans="1:53" ht="12.95" customHeight="1">
      <c r="B339" s="365" t="s">
        <v>737</v>
      </c>
      <c r="C339" s="365"/>
      <c r="D339" s="365"/>
      <c r="E339" s="365"/>
      <c r="F339" s="365"/>
      <c r="G339" s="365"/>
      <c r="H339" s="1235"/>
      <c r="I339" s="1235"/>
      <c r="J339" s="1235"/>
      <c r="K339" s="1235"/>
      <c r="L339" s="1235"/>
      <c r="M339" s="1235"/>
      <c r="N339" s="1235"/>
      <c r="O339" s="1235"/>
      <c r="P339" s="1235"/>
      <c r="Q339" s="1235"/>
      <c r="R339" s="1235"/>
      <c r="T339" s="41" t="s">
        <v>736</v>
      </c>
      <c r="AA339" s="1235"/>
      <c r="AB339" s="1235"/>
      <c r="AC339" s="1235"/>
      <c r="AD339" s="1235"/>
      <c r="AE339" s="1235"/>
      <c r="AF339" s="1235"/>
      <c r="AG339" s="1235"/>
      <c r="AH339" s="1235"/>
      <c r="AI339" s="1235"/>
      <c r="AJ339" s="1235"/>
      <c r="AK339" s="1235"/>
    </row>
    <row r="340" spans="1:53" ht="12.95" customHeight="1">
      <c r="B340" s="365" t="s">
        <v>399</v>
      </c>
      <c r="C340" s="365"/>
      <c r="D340" s="365"/>
      <c r="E340" s="365"/>
      <c r="F340" s="365"/>
      <c r="G340" s="365"/>
      <c r="H340" s="1235"/>
      <c r="I340" s="1235"/>
      <c r="J340" s="1235"/>
      <c r="K340" s="1235"/>
      <c r="L340" s="1235"/>
      <c r="M340" s="1235"/>
      <c r="N340" s="1235"/>
      <c r="O340" s="1235"/>
      <c r="P340" s="1235"/>
      <c r="Q340" s="1235"/>
      <c r="R340" s="1235"/>
      <c r="T340" s="41" t="s">
        <v>399</v>
      </c>
      <c r="AA340" s="1235"/>
      <c r="AB340" s="1235"/>
      <c r="AC340" s="1235"/>
      <c r="AD340" s="1235"/>
      <c r="AE340" s="1235"/>
      <c r="AF340" s="1235"/>
      <c r="AG340" s="1235"/>
      <c r="AH340" s="1235"/>
      <c r="AI340" s="1235"/>
      <c r="AJ340" s="1235"/>
      <c r="AK340" s="1235"/>
    </row>
    <row r="341" spans="1:53" ht="12.95" customHeight="1">
      <c r="B341" s="365" t="s">
        <v>400</v>
      </c>
      <c r="C341" s="365"/>
      <c r="D341" s="365"/>
      <c r="E341" s="365"/>
      <c r="F341" s="365"/>
      <c r="G341" s="365"/>
      <c r="H341" s="1413"/>
      <c r="I341" s="1413"/>
      <c r="J341" s="1413"/>
      <c r="K341" s="1413"/>
      <c r="L341" s="1413"/>
      <c r="M341" s="1413"/>
      <c r="N341" s="5" t="s">
        <v>859</v>
      </c>
      <c r="O341" s="5"/>
      <c r="P341" s="1406"/>
      <c r="Q341" s="1406"/>
      <c r="R341" s="1406"/>
      <c r="T341" s="41" t="s">
        <v>400</v>
      </c>
      <c r="AA341" s="1413"/>
      <c r="AB341" s="1413"/>
      <c r="AC341" s="1413"/>
      <c r="AD341" s="1413"/>
      <c r="AE341" s="1413"/>
      <c r="AF341" s="1413"/>
      <c r="AG341" s="5" t="s">
        <v>859</v>
      </c>
      <c r="AH341" s="5"/>
      <c r="AI341" s="1406"/>
      <c r="AJ341" s="1406"/>
      <c r="AK341" s="1406"/>
    </row>
    <row r="342" spans="1:53" ht="12.95" customHeight="1">
      <c r="B342" s="365" t="s">
        <v>401</v>
      </c>
      <c r="C342" s="365"/>
      <c r="D342" s="365"/>
      <c r="E342" s="365"/>
      <c r="F342" s="365"/>
      <c r="G342" s="365"/>
      <c r="H342" s="1234"/>
      <c r="I342" s="1234"/>
      <c r="J342" s="1234"/>
      <c r="K342" s="1234"/>
      <c r="L342" s="1234"/>
      <c r="M342" s="1234"/>
      <c r="N342" s="5"/>
      <c r="O342" s="5"/>
      <c r="P342" s="44"/>
      <c r="Q342" s="44"/>
      <c r="R342" s="44"/>
      <c r="T342" s="41" t="s">
        <v>401</v>
      </c>
      <c r="AA342" s="1234"/>
      <c r="AB342" s="1234"/>
      <c r="AC342" s="1234"/>
      <c r="AD342" s="1234"/>
      <c r="AE342" s="1234"/>
      <c r="AF342" s="1234"/>
      <c r="AG342" s="5"/>
      <c r="AH342" s="5"/>
      <c r="AI342" s="44"/>
      <c r="AJ342" s="44"/>
      <c r="AK342" s="44"/>
    </row>
    <row r="343" spans="1:53" ht="12.95" customHeight="1">
      <c r="B343" s="365" t="s">
        <v>738</v>
      </c>
      <c r="C343" s="365"/>
      <c r="D343" s="365"/>
      <c r="E343" s="365"/>
      <c r="F343" s="365"/>
      <c r="G343" s="365"/>
      <c r="H343" s="1235"/>
      <c r="I343" s="1235"/>
      <c r="J343" s="1235"/>
      <c r="K343" s="1235"/>
      <c r="L343" s="1235"/>
      <c r="M343" s="1235"/>
      <c r="N343" s="1233"/>
      <c r="O343" s="1233"/>
      <c r="P343" s="1233"/>
      <c r="Q343" s="1233"/>
      <c r="R343" s="1233"/>
      <c r="T343" s="41" t="s">
        <v>738</v>
      </c>
      <c r="AA343" s="1235"/>
      <c r="AB343" s="1235"/>
      <c r="AC343" s="1235"/>
      <c r="AD343" s="1235"/>
      <c r="AE343" s="1235"/>
      <c r="AF343" s="1235"/>
      <c r="AG343" s="1233"/>
      <c r="AH343" s="1233"/>
      <c r="AI343" s="1233"/>
      <c r="AJ343" s="1233"/>
      <c r="AK343" s="123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8" t="s">
        <v>526</v>
      </c>
      <c r="B345" s="1418"/>
      <c r="C345" s="1418"/>
      <c r="D345" s="1418"/>
      <c r="E345" s="1418"/>
      <c r="F345" s="1418"/>
      <c r="G345" s="1418"/>
      <c r="H345" s="1418"/>
      <c r="I345" s="1418"/>
      <c r="J345" s="1418"/>
      <c r="K345" s="1418"/>
      <c r="L345" s="1418"/>
      <c r="M345" s="1418"/>
      <c r="N345" s="1418"/>
      <c r="O345" s="1418"/>
      <c r="P345" s="1418"/>
      <c r="Q345" s="1418"/>
      <c r="R345" s="1418"/>
      <c r="S345" s="1418"/>
      <c r="T345" s="1418"/>
      <c r="U345" s="1418"/>
      <c r="V345" s="1418"/>
      <c r="W345" s="1418"/>
      <c r="X345" s="1418"/>
      <c r="Y345" s="1418"/>
      <c r="Z345" s="1418"/>
      <c r="AA345" s="1418"/>
      <c r="AB345" s="1418"/>
      <c r="AC345" s="1418"/>
      <c r="AD345" s="1418"/>
      <c r="AE345" s="1418"/>
      <c r="AF345" s="1418"/>
      <c r="AG345" s="1418"/>
      <c r="AH345" s="1418"/>
      <c r="AI345" s="1418"/>
      <c r="AJ345" s="1418"/>
      <c r="AK345" s="1418"/>
      <c r="AL345" s="1418"/>
    </row>
    <row r="346" spans="1:53" ht="12.95" customHeight="1" thickBot="1">
      <c r="A346" s="1419"/>
      <c r="B346" s="1419"/>
      <c r="C346" s="1419"/>
      <c r="D346" s="1419"/>
      <c r="E346" s="1419"/>
      <c r="F346" s="1419"/>
      <c r="G346" s="1419"/>
      <c r="H346" s="1419"/>
      <c r="I346" s="1419"/>
      <c r="J346" s="1419"/>
      <c r="K346" s="1419"/>
      <c r="L346" s="1419"/>
      <c r="M346" s="1419"/>
      <c r="N346" s="1419"/>
      <c r="O346" s="1419"/>
      <c r="P346" s="1419"/>
      <c r="Q346" s="1419"/>
      <c r="R346" s="1419"/>
      <c r="S346" s="1419"/>
      <c r="T346" s="1419"/>
      <c r="U346" s="1419"/>
      <c r="V346" s="1419"/>
      <c r="W346" s="1419"/>
      <c r="X346" s="1419"/>
      <c r="Y346" s="1419"/>
      <c r="Z346" s="1419"/>
      <c r="AA346" s="1419"/>
      <c r="AB346" s="1419"/>
      <c r="AC346" s="1419"/>
      <c r="AD346" s="1419"/>
      <c r="AE346" s="1419"/>
      <c r="AF346" s="1419"/>
      <c r="AG346" s="1419"/>
      <c r="AH346" s="1419"/>
      <c r="AI346" s="1419"/>
      <c r="AJ346" s="1419"/>
      <c r="AK346" s="1419"/>
      <c r="AL346" s="1419"/>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232" t="s">
        <v>116</v>
      </c>
      <c r="N349" s="1232"/>
      <c r="P349" t="s">
        <v>2061</v>
      </c>
      <c r="AJ349" s="1232" t="s">
        <v>511</v>
      </c>
      <c r="AK349" s="1232"/>
    </row>
    <row r="350" spans="1:53" ht="12.95" customHeight="1">
      <c r="D350" s="41" t="s">
        <v>1984</v>
      </c>
      <c r="M350" s="1232" t="s">
        <v>132</v>
      </c>
      <c r="N350" s="1232"/>
      <c r="P350" s="41" t="s">
        <v>2062</v>
      </c>
      <c r="AJ350" s="1238"/>
      <c r="AK350" s="1238"/>
    </row>
    <row r="351" spans="1:53" ht="12.95" customHeight="1">
      <c r="D351" t="s">
        <v>334</v>
      </c>
      <c r="M351" s="1232" t="s">
        <v>132</v>
      </c>
      <c r="N351" s="1232"/>
      <c r="P351" t="s">
        <v>2063</v>
      </c>
      <c r="AJ351" s="1232" t="s">
        <v>511</v>
      </c>
      <c r="AK351" s="1232"/>
    </row>
    <row r="352" spans="1:53" ht="12.95" customHeight="1">
      <c r="D352" t="s">
        <v>335</v>
      </c>
      <c r="M352" s="1232" t="s">
        <v>132</v>
      </c>
      <c r="N352" s="1232"/>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769</v>
      </c>
      <c r="Y358" s="1232" t="s">
        <v>132</v>
      </c>
      <c r="Z358" s="1232"/>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2.95" customHeight="1">
      <c r="E363" s="5" t="s">
        <v>626</v>
      </c>
      <c r="F363" s="5"/>
      <c r="G363" s="5"/>
      <c r="H363" s="5"/>
      <c r="I363" s="5"/>
      <c r="J363" s="5"/>
      <c r="K363" s="5"/>
      <c r="L363" s="5"/>
      <c r="N363" s="1286"/>
      <c r="O363" s="1286"/>
      <c r="P363" s="1286"/>
      <c r="Q363" s="1286"/>
      <c r="R363" s="5"/>
      <c r="U363" s="5" t="s">
        <v>627</v>
      </c>
      <c r="V363" s="5"/>
      <c r="W363" s="5"/>
      <c r="X363" s="5"/>
      <c r="Y363" s="5"/>
      <c r="Z363" s="5"/>
      <c r="AA363" s="5"/>
      <c r="AB363" s="5"/>
      <c r="AC363" s="1286">
        <v>0</v>
      </c>
      <c r="AD363" s="1286"/>
      <c r="AE363" s="1286"/>
      <c r="AF363" s="1286"/>
      <c r="BE363" t="s">
        <v>116</v>
      </c>
    </row>
    <row r="364" spans="1:57" ht="12.95" customHeight="1">
      <c r="E364" s="5" t="s">
        <v>628</v>
      </c>
      <c r="F364" s="5"/>
      <c r="G364" s="5"/>
      <c r="H364" s="5"/>
      <c r="I364" s="5"/>
      <c r="J364" s="5"/>
      <c r="K364" s="5"/>
      <c r="L364" s="5"/>
      <c r="N364" s="1286"/>
      <c r="O364" s="1286"/>
      <c r="P364" s="1286"/>
      <c r="Q364" s="1286"/>
      <c r="R364" s="5"/>
      <c r="U364" s="5" t="s">
        <v>629</v>
      </c>
      <c r="V364" s="5"/>
      <c r="W364" s="5"/>
      <c r="X364" s="5"/>
      <c r="Y364" s="5"/>
      <c r="Z364" s="5"/>
      <c r="AA364" s="5"/>
      <c r="AB364" s="5"/>
      <c r="AC364" s="1286">
        <v>0</v>
      </c>
      <c r="AD364" s="1286"/>
      <c r="AE364" s="1286"/>
      <c r="AF364" s="1286"/>
    </row>
    <row r="365" spans="1:57" ht="12.95"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2.95" customHeight="1">
      <c r="E366" s="5" t="s">
        <v>69</v>
      </c>
      <c r="F366" s="5"/>
      <c r="G366" s="5"/>
      <c r="H366" s="5"/>
      <c r="I366" s="5"/>
      <c r="J366" s="5"/>
      <c r="K366" s="5"/>
      <c r="L366" s="5"/>
      <c r="N366" s="1486"/>
      <c r="O366" s="1486"/>
      <c r="P366" s="1486"/>
      <c r="Q366" s="1486"/>
      <c r="R366" s="1486"/>
      <c r="S366" s="1486"/>
      <c r="T366" s="1486"/>
      <c r="U366" s="1486"/>
      <c r="V366" s="1486"/>
      <c r="W366" s="1486"/>
      <c r="X366" s="1486"/>
      <c r="Y366" s="1486"/>
      <c r="Z366" s="1486"/>
      <c r="AA366" s="1486"/>
      <c r="AB366" s="1486"/>
      <c r="AC366" s="1486"/>
      <c r="AD366" s="1486"/>
      <c r="AE366" s="1486"/>
      <c r="AF366" s="1486"/>
    </row>
    <row r="367" spans="1:57" ht="12.95" customHeight="1">
      <c r="E367" s="5"/>
      <c r="F367" s="5"/>
      <c r="G367" s="5"/>
      <c r="H367" s="5"/>
      <c r="I367" s="5"/>
      <c r="J367" s="5"/>
      <c r="K367" s="5"/>
      <c r="L367" s="5"/>
      <c r="N367" s="1487"/>
      <c r="O367" s="1487"/>
      <c r="P367" s="1487"/>
      <c r="Q367" s="1487"/>
      <c r="R367" s="1487"/>
      <c r="S367" s="1487"/>
      <c r="T367" s="1487"/>
      <c r="U367" s="1487"/>
      <c r="V367" s="1487"/>
      <c r="W367" s="1487"/>
      <c r="X367" s="1487"/>
      <c r="Y367" s="1487"/>
      <c r="Z367" s="1487"/>
      <c r="AA367" s="1487"/>
      <c r="AB367" s="1487"/>
      <c r="AC367" s="1487"/>
      <c r="AD367" s="1487"/>
      <c r="AE367" s="1487"/>
      <c r="AF367" s="1487"/>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298"/>
      <c r="T370" s="1298"/>
      <c r="U370" s="374" t="s">
        <v>247</v>
      </c>
      <c r="V370" s="1298"/>
      <c r="W370" s="1298"/>
      <c r="X370" s="365"/>
      <c r="Z370" s="365"/>
      <c r="AA370" s="960" t="s">
        <v>2229</v>
      </c>
      <c r="AB370" s="365" t="s">
        <v>246</v>
      </c>
      <c r="AC370" s="365"/>
      <c r="AD370" s="1298"/>
      <c r="AE370" s="1298"/>
      <c r="AF370" s="374" t="s">
        <v>247</v>
      </c>
      <c r="AG370" s="1298"/>
      <c r="AH370" s="1298"/>
    </row>
    <row r="371" spans="1:36" ht="12.95" customHeight="1">
      <c r="D371" s="365"/>
      <c r="E371" s="365" t="s">
        <v>1288</v>
      </c>
      <c r="F371" s="365"/>
      <c r="G371" s="365"/>
      <c r="H371" s="365"/>
      <c r="I371" s="365"/>
      <c r="J371" s="365"/>
      <c r="K371" s="365"/>
      <c r="L371" s="365"/>
      <c r="M371" s="365"/>
      <c r="N371" s="1298"/>
      <c r="O371" s="1298"/>
      <c r="P371" s="129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1" t="s">
        <v>132</v>
      </c>
      <c r="AH372" s="1421"/>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1" t="s">
        <v>132</v>
      </c>
      <c r="AH373" s="1421"/>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421" t="s">
        <v>132</v>
      </c>
      <c r="W374" s="1421"/>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421" t="s">
        <v>132</v>
      </c>
      <c r="W375" s="1421"/>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355" t="s">
        <v>2417</v>
      </c>
      <c r="K378" s="1233"/>
      <c r="L378" s="1233"/>
      <c r="M378" s="1233"/>
      <c r="N378" s="1233"/>
      <c r="O378" s="1233"/>
      <c r="P378" s="1233"/>
      <c r="Q378" s="1233"/>
      <c r="R378" s="1233"/>
      <c r="S378" s="1233"/>
      <c r="T378" s="1233"/>
      <c r="U378" s="1233"/>
      <c r="V378" s="12" t="s">
        <v>746</v>
      </c>
      <c r="W378" s="12"/>
      <c r="X378" s="12"/>
      <c r="Y378" s="12"/>
      <c r="Z378" s="12"/>
      <c r="AA378" s="12"/>
      <c r="AB378" s="12"/>
      <c r="AC378" s="1355" t="s">
        <v>2418</v>
      </c>
      <c r="AD378" s="1233"/>
      <c r="AE378" s="1233"/>
      <c r="AF378" s="1233"/>
      <c r="AG378" s="1233"/>
      <c r="AH378" s="1233"/>
      <c r="AI378" s="1233"/>
      <c r="AJ378" s="1233"/>
    </row>
    <row r="379" spans="1:36" ht="12.95" customHeight="1">
      <c r="D379" s="41" t="s">
        <v>2064</v>
      </c>
      <c r="J379" s="1297" t="s">
        <v>2418</v>
      </c>
      <c r="K379" s="1235"/>
      <c r="L379" s="1235"/>
      <c r="M379" s="1235"/>
      <c r="N379" s="1235"/>
      <c r="O379" s="1235"/>
      <c r="P379" s="1235"/>
      <c r="Q379" s="1235"/>
      <c r="R379" s="1235"/>
      <c r="S379" s="1235"/>
      <c r="T379" s="1235"/>
      <c r="U379" s="1235"/>
      <c r="V379" s="41" t="s">
        <v>2064</v>
      </c>
      <c r="W379" s="12"/>
      <c r="X379" s="12"/>
      <c r="Y379" s="12"/>
      <c r="Z379" s="12"/>
      <c r="AA379" s="12"/>
      <c r="AB379" s="12"/>
      <c r="AC379" s="1233"/>
      <c r="AD379" s="1233"/>
      <c r="AE379" s="1233"/>
      <c r="AF379" s="1233"/>
      <c r="AG379" s="1233"/>
      <c r="AH379" s="1233"/>
      <c r="AI379" s="1233"/>
      <c r="AJ379" s="1233"/>
    </row>
    <row r="380" spans="1:36" ht="12.95" customHeight="1">
      <c r="D380" s="41" t="s">
        <v>575</v>
      </c>
      <c r="J380" s="1297" t="s">
        <v>2419</v>
      </c>
      <c r="K380" s="1235"/>
      <c r="L380" s="1235"/>
      <c r="M380" s="1235"/>
      <c r="N380" s="1235"/>
      <c r="O380" s="1235"/>
      <c r="P380" s="1235"/>
      <c r="Q380" s="1235"/>
      <c r="R380" s="1235"/>
      <c r="S380" s="1235"/>
      <c r="T380" s="1235"/>
      <c r="U380" s="1235"/>
      <c r="V380" s="41" t="s">
        <v>575</v>
      </c>
      <c r="W380" s="12"/>
      <c r="X380" s="12"/>
      <c r="Y380" s="12"/>
      <c r="Z380" s="12"/>
      <c r="AA380" s="12"/>
      <c r="AB380" s="12"/>
      <c r="AC380" s="1233"/>
      <c r="AD380" s="1233"/>
      <c r="AE380" s="1233"/>
      <c r="AF380" s="1233"/>
      <c r="AG380" s="1233"/>
      <c r="AH380" s="1233"/>
      <c r="AI380" s="1233"/>
      <c r="AJ380" s="1233"/>
    </row>
    <row r="381" spans="1:36" ht="12.95" customHeight="1">
      <c r="D381" t="s">
        <v>2065</v>
      </c>
      <c r="J381" s="1363" t="s">
        <v>2510</v>
      </c>
      <c r="K381" s="1146"/>
      <c r="L381" s="1146"/>
      <c r="M381" s="1146"/>
      <c r="N381" s="1146"/>
      <c r="O381" s="1146"/>
      <c r="P381" s="1146"/>
      <c r="Q381" s="1146"/>
      <c r="R381" s="1146"/>
      <c r="S381" s="1146"/>
      <c r="T381" s="1146"/>
      <c r="U381" s="1146"/>
      <c r="V381" s="1233" t="s">
        <v>2509</v>
      </c>
      <c r="W381" s="1233"/>
      <c r="X381" s="1233"/>
      <c r="Y381" s="1233"/>
      <c r="Z381" s="1233"/>
      <c r="AA381" s="1233"/>
      <c r="AB381" s="1233"/>
      <c r="AC381" s="1233"/>
      <c r="AD381" s="1233"/>
      <c r="AE381" s="1233"/>
      <c r="AF381" s="1233"/>
      <c r="AG381" s="1233"/>
      <c r="AH381" s="1233"/>
      <c r="AI381" s="1233"/>
      <c r="AJ381" s="1233"/>
    </row>
    <row r="382" spans="1:36" ht="12.95" customHeight="1">
      <c r="D382" t="s">
        <v>585</v>
      </c>
      <c r="Q382" s="1388">
        <v>44995</v>
      </c>
      <c r="R382" s="1388"/>
      <c r="S382" s="1388"/>
      <c r="T382" s="1388"/>
      <c r="U382" s="1388"/>
      <c r="V382" t="s">
        <v>179</v>
      </c>
      <c r="AI382" s="1232" t="s">
        <v>511</v>
      </c>
      <c r="AJ382" s="1232"/>
    </row>
    <row r="383" spans="1:36" ht="12.95" customHeight="1">
      <c r="D383" t="s">
        <v>586</v>
      </c>
      <c r="Q383" s="1381">
        <v>45055</v>
      </c>
      <c r="R383" s="1149"/>
      <c r="S383" s="1149"/>
      <c r="T383" s="1149"/>
      <c r="U383" s="1149"/>
      <c r="W383" s="29" t="s">
        <v>20</v>
      </c>
      <c r="AG383" s="1346"/>
      <c r="AH383" s="1346"/>
      <c r="AI383" s="1346"/>
      <c r="AJ383" s="1346"/>
    </row>
    <row r="384" spans="1:36" ht="12.95" customHeight="1">
      <c r="D384" t="s">
        <v>289</v>
      </c>
      <c r="Q384" s="1170">
        <v>5726000</v>
      </c>
      <c r="R384" s="1170"/>
      <c r="S384" s="1170"/>
      <c r="T384" s="1170"/>
      <c r="U384" s="1170"/>
      <c r="V384" s="41" t="s">
        <v>2066</v>
      </c>
      <c r="AG384" s="1518">
        <v>45055</v>
      </c>
      <c r="AH384" s="1518"/>
      <c r="AI384" s="1518"/>
      <c r="AJ384" s="1518"/>
    </row>
    <row r="385" spans="4:36" ht="12.95" customHeight="1">
      <c r="D385" t="s">
        <v>400</v>
      </c>
      <c r="I385" s="1412" t="s">
        <v>2420</v>
      </c>
      <c r="J385" s="1412"/>
      <c r="K385" s="1412"/>
      <c r="L385" s="1412"/>
      <c r="M385" s="1412"/>
      <c r="N385" s="1412"/>
      <c r="Q385" s="41" t="s">
        <v>859</v>
      </c>
      <c r="S385" s="1531"/>
      <c r="T385" s="1531"/>
      <c r="U385" s="1531"/>
      <c r="V385" t="s">
        <v>19</v>
      </c>
      <c r="AI385" s="1232" t="s">
        <v>511</v>
      </c>
      <c r="AJ385" s="1232"/>
    </row>
    <row r="386" spans="4:36" ht="12.95" customHeight="1">
      <c r="D386" t="s">
        <v>180</v>
      </c>
      <c r="Q386" s="1144">
        <v>25000</v>
      </c>
      <c r="R386" s="1144"/>
      <c r="S386" s="1144"/>
      <c r="T386" s="1144"/>
      <c r="U386" s="1144"/>
      <c r="V386" t="s">
        <v>181</v>
      </c>
      <c r="AG386" s="1346">
        <v>355444.44444444444</v>
      </c>
      <c r="AH386" s="1346"/>
      <c r="AI386" s="1346"/>
      <c r="AJ386" s="1346"/>
    </row>
    <row r="387" spans="4:36" ht="12.95" customHeight="1">
      <c r="D387" t="s">
        <v>28</v>
      </c>
      <c r="Q387" s="1401">
        <v>0.01</v>
      </c>
      <c r="R387" s="1401"/>
      <c r="S387" s="1401"/>
      <c r="T387" s="1401"/>
      <c r="U387" s="1401"/>
      <c r="V387" t="s">
        <v>1757</v>
      </c>
      <c r="AG387" s="1346"/>
      <c r="AH387" s="1346"/>
      <c r="AI387" s="1346"/>
      <c r="AJ387" s="1346"/>
    </row>
    <row r="388" spans="4:36" ht="12.95" customHeight="1">
      <c r="D388" t="s">
        <v>2067</v>
      </c>
      <c r="AG388" s="1346"/>
      <c r="AH388" s="1346"/>
      <c r="AI388" s="1346"/>
      <c r="AJ388" s="1346"/>
    </row>
    <row r="389" spans="4:36" ht="12.95" customHeight="1">
      <c r="AG389" s="852"/>
      <c r="AH389" s="852"/>
      <c r="AI389" s="852"/>
      <c r="AJ389" s="852"/>
    </row>
    <row r="390" spans="4:36" ht="12.95" customHeight="1">
      <c r="D390" s="41" t="s">
        <v>2342</v>
      </c>
      <c r="AG390" s="852"/>
      <c r="AH390" s="852"/>
      <c r="AI390" s="1232" t="s">
        <v>511</v>
      </c>
      <c r="AJ390" s="1232"/>
    </row>
    <row r="391" spans="4:36" ht="12.95" customHeight="1">
      <c r="D391" s="41" t="s">
        <v>2068</v>
      </c>
      <c r="T391" s="1299"/>
      <c r="U391" s="1299"/>
      <c r="V391" s="1299"/>
      <c r="W391" s="1299"/>
      <c r="X391" s="1299"/>
      <c r="Y391" s="1299"/>
      <c r="Z391" s="1299"/>
      <c r="AA391" s="1299"/>
      <c r="AB391" s="1299"/>
      <c r="AC391" s="1299"/>
      <c r="AD391" s="1299"/>
      <c r="AE391" s="1299"/>
      <c r="AF391" s="1299"/>
      <c r="AG391" s="1299"/>
      <c r="AH391" s="1299"/>
      <c r="AI391" s="1299"/>
      <c r="AJ391" s="1299"/>
    </row>
    <row r="392" spans="4:36" ht="12.95" customHeight="1">
      <c r="D392" s="41" t="s">
        <v>2069</v>
      </c>
      <c r="T392" s="1299"/>
      <c r="U392" s="1299"/>
      <c r="V392" s="1299"/>
      <c r="W392" s="1299"/>
      <c r="X392" s="1299"/>
      <c r="Y392" s="1299"/>
      <c r="Z392" s="1299"/>
      <c r="AA392" s="1299"/>
      <c r="AB392" s="1299"/>
      <c r="AC392" s="1299"/>
      <c r="AD392" s="1299"/>
      <c r="AE392" s="1299"/>
      <c r="AF392" s="1299"/>
      <c r="AG392" s="1299"/>
      <c r="AH392" s="1299"/>
      <c r="AI392" s="1299"/>
      <c r="AJ392" s="1299"/>
    </row>
    <row r="393" spans="4:36" ht="12.95" customHeight="1">
      <c r="AG393" s="852"/>
      <c r="AH393" s="852"/>
      <c r="AI393" s="852"/>
      <c r="AJ393" s="852"/>
    </row>
    <row r="394" spans="4:36" ht="12.95" customHeight="1">
      <c r="D394" s="41" t="s">
        <v>2070</v>
      </c>
      <c r="S394" s="1299" t="s">
        <v>511</v>
      </c>
      <c r="T394" s="1299"/>
      <c r="U394" s="1299"/>
      <c r="V394" t="s">
        <v>2071</v>
      </c>
      <c r="AG394" s="1375"/>
      <c r="AH394" s="1375"/>
      <c r="AI394" s="1375"/>
      <c r="AJ394" s="1375"/>
    </row>
    <row r="395" spans="4:36" ht="12.95" customHeight="1">
      <c r="D395" s="41" t="s">
        <v>2072</v>
      </c>
      <c r="S395" s="1299" t="s">
        <v>132</v>
      </c>
      <c r="T395" s="1299"/>
      <c r="U395" s="1299"/>
      <c r="V395" t="s">
        <v>2073</v>
      </c>
      <c r="AE395" s="1345"/>
      <c r="AF395" s="1345"/>
      <c r="AG395" s="1345"/>
      <c r="AH395" s="1345"/>
      <c r="AI395" s="1345"/>
      <c r="AJ395" s="1345"/>
    </row>
    <row r="396" spans="4:36" ht="12.95" customHeight="1">
      <c r="D396" s="41" t="s">
        <v>2074</v>
      </c>
      <c r="K396" s="1374"/>
      <c r="L396" s="1374"/>
      <c r="M396" s="1374"/>
      <c r="N396" s="1374"/>
      <c r="O396" s="1374"/>
      <c r="P396" s="1374"/>
      <c r="Q396" s="1374"/>
      <c r="R396" s="1374"/>
      <c r="S396" s="1374"/>
      <c r="T396" s="1374"/>
      <c r="U396" s="1374"/>
      <c r="V396" s="1374"/>
      <c r="W396" s="1374"/>
      <c r="X396" s="1374"/>
      <c r="Y396" s="1374"/>
      <c r="Z396" s="1374"/>
      <c r="AA396" s="1374"/>
      <c r="AB396" s="1374"/>
      <c r="AC396" s="1374"/>
      <c r="AD396" s="1374"/>
      <c r="AE396" s="1374"/>
      <c r="AF396" s="1374"/>
      <c r="AG396" s="1374"/>
      <c r="AH396" s="1374"/>
      <c r="AI396" s="1374"/>
      <c r="AJ396" s="1374"/>
    </row>
    <row r="397" spans="4:36" ht="12.95" customHeight="1">
      <c r="D397" s="41" t="s">
        <v>2075</v>
      </c>
      <c r="K397" s="1374"/>
      <c r="L397" s="1374"/>
      <c r="M397" s="1374"/>
      <c r="N397" s="1374"/>
      <c r="O397" s="1374"/>
      <c r="P397" s="1374"/>
      <c r="Q397" s="1374"/>
      <c r="R397" s="1374"/>
      <c r="S397" s="1374"/>
      <c r="T397" s="1374"/>
      <c r="U397" s="1374"/>
      <c r="V397" s="1374"/>
      <c r="W397" s="1374"/>
      <c r="X397" s="1374"/>
      <c r="Y397" s="1374"/>
      <c r="Z397" s="1374"/>
      <c r="AA397" s="1374"/>
      <c r="AB397" s="1374"/>
      <c r="AC397" s="1374"/>
      <c r="AD397" s="1374"/>
      <c r="AE397" s="1374"/>
      <c r="AF397" s="1374"/>
      <c r="AG397" s="1374"/>
      <c r="AH397" s="1374"/>
      <c r="AI397" s="1374"/>
      <c r="AJ397" s="1374"/>
    </row>
    <row r="398" spans="4:36" ht="12.95" customHeight="1">
      <c r="D398" s="41" t="s">
        <v>2076</v>
      </c>
      <c r="E398" s="833"/>
      <c r="F398" s="833"/>
      <c r="G398" s="833"/>
      <c r="H398" s="833"/>
      <c r="I398" s="833"/>
      <c r="J398" s="833"/>
      <c r="K398" s="833"/>
      <c r="L398" s="833"/>
      <c r="M398" s="833"/>
      <c r="N398" s="833"/>
      <c r="O398" s="833"/>
      <c r="P398" s="833"/>
      <c r="Q398" s="833"/>
      <c r="R398" s="833"/>
      <c r="S398" s="1389" t="s">
        <v>2077</v>
      </c>
      <c r="T398" s="1389"/>
      <c r="U398" s="1389"/>
      <c r="V398" s="1389"/>
      <c r="W398" s="1389"/>
      <c r="X398" s="1389"/>
      <c r="Y398" s="1389"/>
      <c r="Z398" s="1389"/>
      <c r="AA398" s="1389"/>
      <c r="AB398" s="1389"/>
      <c r="AC398" s="1389"/>
      <c r="AD398" s="1389"/>
      <c r="AE398" s="1389"/>
      <c r="AF398" s="1389"/>
      <c r="AG398" s="1389"/>
      <c r="AH398" s="1389"/>
      <c r="AI398" s="1389"/>
      <c r="AJ398" s="1389"/>
    </row>
    <row r="399" spans="4:36" ht="12.95" customHeight="1">
      <c r="D399" s="976" t="s">
        <v>2078</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2"/>
      <c r="AH401" s="852"/>
      <c r="AI401" s="852"/>
      <c r="AJ401" s="852"/>
    </row>
    <row r="402" spans="1:36" ht="12.95" customHeight="1">
      <c r="A402" s="3" t="s">
        <v>130</v>
      </c>
      <c r="B402" s="3"/>
      <c r="C402" s="3" t="s">
        <v>943</v>
      </c>
    </row>
    <row r="403" spans="1:36" ht="12.95" customHeight="1">
      <c r="D403" s="3" t="s">
        <v>1812</v>
      </c>
      <c r="I403" s="1355" t="s">
        <v>2421</v>
      </c>
      <c r="J403" s="1355"/>
      <c r="K403" s="1355"/>
      <c r="L403" s="1355"/>
      <c r="M403" s="1355"/>
      <c r="N403" s="1355"/>
      <c r="O403" s="1355"/>
      <c r="P403" s="1355"/>
      <c r="Q403" s="1355"/>
      <c r="R403" s="1355"/>
      <c r="S403" s="1355"/>
      <c r="T403" s="1355"/>
      <c r="U403" s="1355"/>
      <c r="V403" s="1355"/>
      <c r="W403" s="1355"/>
      <c r="X403" s="1355"/>
      <c r="Y403" s="1355"/>
      <c r="Z403" s="1355"/>
      <c r="AA403" s="1355"/>
      <c r="AB403" s="1355"/>
      <c r="AC403" s="1355"/>
      <c r="AD403" s="1355"/>
    </row>
    <row r="404" spans="1:36" ht="12.95" customHeight="1">
      <c r="E404" t="s">
        <v>896</v>
      </c>
      <c r="R404" s="1232" t="s">
        <v>116</v>
      </c>
      <c r="S404" s="1232"/>
      <c r="T404" t="s">
        <v>306</v>
      </c>
      <c r="AD404" s="1286">
        <v>5</v>
      </c>
      <c r="AE404" s="1286"/>
    </row>
    <row r="405" spans="1:36" ht="12.95" customHeight="1">
      <c r="E405" t="s">
        <v>897</v>
      </c>
      <c r="R405" s="1232" t="s">
        <v>132</v>
      </c>
      <c r="S405" s="1232"/>
      <c r="T405" t="s">
        <v>306</v>
      </c>
      <c r="AD405" s="1286">
        <v>0</v>
      </c>
      <c r="AE405" s="1286"/>
    </row>
    <row r="406" spans="1:36" ht="12.95" customHeight="1">
      <c r="E406" t="s">
        <v>898</v>
      </c>
      <c r="S406" s="1232" t="s">
        <v>132</v>
      </c>
      <c r="T406" s="1232"/>
    </row>
    <row r="407" spans="1:36" ht="12.95" customHeight="1">
      <c r="E407" t="s">
        <v>298</v>
      </c>
      <c r="H407" s="1353" t="s">
        <v>593</v>
      </c>
      <c r="I407" s="1353"/>
      <c r="J407" s="1353"/>
      <c r="K407" s="1353"/>
      <c r="L407" s="1353"/>
      <c r="M407" s="1353"/>
      <c r="N407" s="1353"/>
      <c r="O407" s="1353"/>
      <c r="P407" s="1353"/>
      <c r="Q407" s="1353"/>
      <c r="R407" s="1353"/>
      <c r="S407" s="1353"/>
      <c r="T407" s="1353"/>
      <c r="U407" s="1353"/>
      <c r="V407" s="1353"/>
      <c r="W407" s="1353"/>
      <c r="X407" s="1353"/>
      <c r="Y407" s="1353"/>
      <c r="Z407" s="1353"/>
      <c r="AA407" s="1353"/>
      <c r="AB407" s="1353"/>
      <c r="AC407" s="1353"/>
      <c r="AD407" s="1353"/>
      <c r="AE407" s="1353"/>
      <c r="AF407" s="1353"/>
      <c r="AG407" s="1353"/>
      <c r="AH407" s="1353"/>
      <c r="AI407" s="1353"/>
      <c r="AJ407" s="1353"/>
    </row>
    <row r="408" spans="1:36" ht="12.95" customHeight="1">
      <c r="H408" s="1354"/>
      <c r="I408" s="1354"/>
      <c r="J408" s="1354"/>
      <c r="K408" s="1354"/>
      <c r="L408" s="1354"/>
      <c r="M408" s="1354"/>
      <c r="N408" s="1354"/>
      <c r="O408" s="1354"/>
      <c r="P408" s="1354"/>
      <c r="Q408" s="1354"/>
      <c r="R408" s="1354"/>
      <c r="S408" s="1354"/>
      <c r="T408" s="1354"/>
      <c r="U408" s="1354"/>
      <c r="V408" s="1354"/>
      <c r="W408" s="1354"/>
      <c r="X408" s="1354"/>
      <c r="Y408" s="1354"/>
      <c r="Z408" s="1354"/>
      <c r="AA408" s="1354"/>
      <c r="AB408" s="1354"/>
      <c r="AC408" s="1354"/>
      <c r="AD408" s="1354"/>
      <c r="AE408" s="1354"/>
      <c r="AF408" s="1354"/>
      <c r="AG408" s="1354"/>
      <c r="AH408" s="1354"/>
      <c r="AI408" s="1354"/>
      <c r="AJ408" s="1354"/>
    </row>
    <row r="409" spans="1:36" ht="12.95" customHeight="1"/>
    <row r="410" spans="1:36" ht="12.95" customHeight="1">
      <c r="A410" s="3" t="s">
        <v>131</v>
      </c>
      <c r="B410" s="3"/>
      <c r="C410" s="3"/>
      <c r="D410" s="3" t="s">
        <v>946</v>
      </c>
      <c r="AE410" s="5"/>
      <c r="AF410" s="3" t="s">
        <v>1266</v>
      </c>
    </row>
    <row r="411" spans="1:36" ht="12.95" customHeight="1">
      <c r="E411" s="1304"/>
      <c r="F411" s="1304"/>
      <c r="G411" s="1304"/>
      <c r="H411" s="18" t="s">
        <v>947</v>
      </c>
      <c r="I411" s="1304"/>
      <c r="J411" s="1304"/>
      <c r="K411" s="1304"/>
      <c r="L411" t="s">
        <v>948</v>
      </c>
      <c r="N411" s="34" t="s">
        <v>892</v>
      </c>
      <c r="P411" s="1357">
        <v>1.3224977</v>
      </c>
      <c r="Q411" s="1357"/>
      <c r="R411" s="1357"/>
      <c r="S411" t="s">
        <v>949</v>
      </c>
      <c r="W411" s="1358">
        <f>IF(E411&gt;0,(E411*I411),(P411*43560))</f>
        <v>57607.999812000002</v>
      </c>
      <c r="X411" s="1358"/>
      <c r="Y411" s="1358"/>
      <c r="Z411" t="s">
        <v>950</v>
      </c>
      <c r="AF411" s="1305">
        <f>IF(P411&gt;0,(AG430/P411),(AG430/(W411/43560)))</f>
        <v>46.124843922223832</v>
      </c>
      <c r="AG411" s="1305"/>
      <c r="AH411" s="1305"/>
    </row>
    <row r="412" spans="1:36" ht="12.95" customHeight="1">
      <c r="E412" t="s">
        <v>215</v>
      </c>
    </row>
    <row r="413" spans="1:36" ht="12.95" customHeight="1">
      <c r="E413" s="1373"/>
      <c r="F413" s="1373"/>
      <c r="G413" s="1373"/>
      <c r="H413" s="1373"/>
      <c r="I413" s="1373"/>
      <c r="J413" s="1373"/>
      <c r="K413" s="1373"/>
      <c r="L413" s="1373"/>
      <c r="M413" s="1373"/>
      <c r="N413" s="1373"/>
      <c r="O413" s="1373"/>
      <c r="P413" s="1373"/>
      <c r="Q413" s="1373"/>
      <c r="R413" s="1373"/>
      <c r="S413" s="1373"/>
      <c r="T413" s="1373"/>
      <c r="U413" s="1373"/>
      <c r="V413" s="1373"/>
      <c r="W413" s="1373"/>
      <c r="X413" s="1373"/>
      <c r="Y413" s="1373"/>
      <c r="Z413" s="1373"/>
      <c r="AA413" s="1373"/>
      <c r="AB413" s="1373"/>
      <c r="AC413" s="1373"/>
      <c r="AD413" s="1373"/>
      <c r="AE413" s="1373"/>
      <c r="AF413" s="1373"/>
      <c r="AG413" s="1373"/>
      <c r="AH413" s="1373"/>
      <c r="AI413" s="1373"/>
      <c r="AJ413" s="1373"/>
    </row>
    <row r="414" spans="1:36" ht="12.95" customHeight="1">
      <c r="E414" s="270" t="s">
        <v>2079</v>
      </c>
      <c r="F414" s="29"/>
      <c r="G414" s="29"/>
      <c r="H414" s="29"/>
      <c r="I414" s="1368">
        <v>1.3224977</v>
      </c>
      <c r="J414" s="1368"/>
      <c r="K414" s="1368"/>
      <c r="L414" s="29"/>
      <c r="M414" s="270"/>
      <c r="N414" s="29"/>
      <c r="O414" s="29"/>
      <c r="P414" s="1303">
        <f>(CQ615+CS620+CQ634)/I414</f>
        <v>106.6164425087469</v>
      </c>
      <c r="Q414" s="1303"/>
      <c r="R414" s="1303"/>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232">
        <v>1</v>
      </c>
      <c r="Q417" s="1232"/>
      <c r="S417" t="s">
        <v>144</v>
      </c>
      <c r="AE417" s="1232">
        <v>1</v>
      </c>
      <c r="AF417" s="1232"/>
    </row>
    <row r="418" spans="1:36" ht="12.95" customHeight="1">
      <c r="E418" t="s">
        <v>145</v>
      </c>
      <c r="P418" s="1232">
        <v>0</v>
      </c>
      <c r="Q418" s="1232"/>
      <c r="S418" t="s">
        <v>762</v>
      </c>
      <c r="AE418" s="1232" t="s">
        <v>116</v>
      </c>
      <c r="AF418" s="1232"/>
    </row>
    <row r="419" spans="1:36" ht="12.95" customHeight="1">
      <c r="F419" s="36" t="s">
        <v>236</v>
      </c>
    </row>
    <row r="420" spans="1:36" ht="12.95" customHeight="1">
      <c r="F420" s="1365" t="s">
        <v>2386</v>
      </c>
      <c r="G420" s="1366"/>
      <c r="H420" s="1366"/>
      <c r="I420" s="1366"/>
      <c r="J420" s="1366"/>
      <c r="K420" s="1366"/>
      <c r="L420" s="1366"/>
      <c r="M420" s="1366"/>
      <c r="N420" s="1366"/>
      <c r="O420" s="1366"/>
      <c r="P420" s="1366"/>
      <c r="Q420" s="1366"/>
      <c r="R420" s="1366"/>
      <c r="S420" s="1366"/>
      <c r="T420" s="1366"/>
      <c r="U420" s="1366"/>
      <c r="V420" s="1366"/>
      <c r="W420" s="1366"/>
      <c r="X420" s="1366"/>
      <c r="Y420" s="1366"/>
      <c r="Z420" s="1366"/>
      <c r="AA420" s="1366"/>
      <c r="AB420" s="1366"/>
      <c r="AC420" s="1366"/>
      <c r="AD420" s="1366"/>
      <c r="AE420" s="1366"/>
      <c r="AF420" s="1366"/>
      <c r="AG420" s="1366"/>
      <c r="AH420" s="1366"/>
    </row>
    <row r="421" spans="1:36" ht="12.95" customHeight="1">
      <c r="F421" s="1367"/>
      <c r="G421" s="1367"/>
      <c r="H421" s="1367"/>
      <c r="I421" s="1367"/>
      <c r="J421" s="1367"/>
      <c r="K421" s="1367"/>
      <c r="L421" s="1367"/>
      <c r="M421" s="1367"/>
      <c r="N421" s="1367"/>
      <c r="O421" s="1367"/>
      <c r="P421" s="1367"/>
      <c r="Q421" s="1367"/>
      <c r="R421" s="1367"/>
      <c r="S421" s="1367"/>
      <c r="T421" s="1367"/>
      <c r="U421" s="1367"/>
      <c r="V421" s="1367"/>
      <c r="W421" s="1367"/>
      <c r="X421" s="1367"/>
      <c r="Y421" s="1367"/>
      <c r="Z421" s="1367"/>
      <c r="AA421" s="1367"/>
      <c r="AB421" s="1367"/>
      <c r="AC421" s="1367"/>
      <c r="AD421" s="1367"/>
      <c r="AE421" s="1367"/>
      <c r="AF421" s="1367"/>
      <c r="AG421" s="1367"/>
      <c r="AH421" s="1367"/>
    </row>
    <row r="422" spans="1:36" ht="12.95" customHeight="1">
      <c r="E422" t="s">
        <v>899</v>
      </c>
      <c r="P422" s="1"/>
      <c r="Q422" s="1232" t="s">
        <v>116</v>
      </c>
      <c r="R422" s="1232"/>
      <c r="AE422" s="1"/>
      <c r="AF422" s="1"/>
    </row>
    <row r="423" spans="1:36" ht="12.95" customHeight="1">
      <c r="F423" t="s">
        <v>900</v>
      </c>
      <c r="P423" s="1"/>
      <c r="Q423" s="1"/>
      <c r="AE423" s="1232" t="s">
        <v>132</v>
      </c>
      <c r="AF423" s="1356"/>
    </row>
    <row r="424" spans="1:36" ht="12.95" customHeight="1"/>
    <row r="425" spans="1:36" ht="12.95" customHeight="1">
      <c r="A425" s="3"/>
      <c r="B425" s="3"/>
      <c r="C425" s="3"/>
      <c r="E425" s="5" t="s">
        <v>85</v>
      </c>
      <c r="Z425" s="1232" t="s">
        <v>511</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132</v>
      </c>
      <c r="AA427" s="1232"/>
    </row>
    <row r="428" spans="1:36" ht="12.95" customHeight="1"/>
    <row r="429" spans="1:36" ht="12.95" customHeight="1">
      <c r="A429" s="3" t="s">
        <v>392</v>
      </c>
      <c r="B429" s="3"/>
      <c r="C429" s="3"/>
      <c r="D429" s="3" t="s">
        <v>183</v>
      </c>
      <c r="AF429" s="54"/>
    </row>
    <row r="430" spans="1:36" ht="12.95"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6"/>
      <c r="AG430" s="1347">
        <v>61</v>
      </c>
      <c r="AH430" s="1347"/>
      <c r="AI430" s="1347"/>
      <c r="AJ430" s="1347"/>
    </row>
    <row r="431" spans="1:36" ht="12.95" customHeight="1">
      <c r="D431" s="1190" t="s">
        <v>1432</v>
      </c>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c r="AA431" s="1301"/>
      <c r="AB431" s="1301"/>
      <c r="AC431" s="1301"/>
      <c r="AD431" s="1301"/>
      <c r="AE431" s="1301"/>
      <c r="AF431" s="1302"/>
      <c r="AG431" s="1351">
        <v>1</v>
      </c>
      <c r="AH431" s="1352"/>
      <c r="AI431" s="1352"/>
      <c r="AJ431" s="1352"/>
    </row>
    <row r="432" spans="1:36" ht="12.95" customHeight="1">
      <c r="D432" s="1190" t="s">
        <v>1433</v>
      </c>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c r="AA432" s="1301"/>
      <c r="AB432" s="1301"/>
      <c r="AC432" s="1301"/>
      <c r="AD432" s="1301"/>
      <c r="AE432" s="1301"/>
      <c r="AF432" s="1302"/>
      <c r="AG432" s="1347">
        <v>60</v>
      </c>
      <c r="AH432" s="1347"/>
      <c r="AI432" s="1347"/>
      <c r="AJ432" s="1347"/>
    </row>
    <row r="433" spans="4:36" ht="12.95" customHeight="1">
      <c r="D433" s="1190" t="s">
        <v>1429</v>
      </c>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c r="AA433" s="1301"/>
      <c r="AB433" s="1301"/>
      <c r="AC433" s="1301"/>
      <c r="AD433" s="1301"/>
      <c r="AE433" s="1301"/>
      <c r="AF433" s="1302"/>
      <c r="AG433" s="1347">
        <v>60</v>
      </c>
      <c r="AH433" s="1347"/>
      <c r="AI433" s="1347"/>
      <c r="AJ433" s="1347"/>
    </row>
    <row r="434" spans="4:36" ht="12.95" customHeight="1">
      <c r="D434" s="1190" t="s">
        <v>1434</v>
      </c>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c r="AA434" s="1301"/>
      <c r="AB434" s="1301"/>
      <c r="AC434" s="1301"/>
      <c r="AD434" s="1301"/>
      <c r="AE434" s="1301"/>
      <c r="AF434" s="1302"/>
      <c r="AG434" s="1337">
        <f>IF(ISERROR(AG433/AG432),"",AG433/AG432)</f>
        <v>1</v>
      </c>
      <c r="AH434" s="1337"/>
      <c r="AI434" s="1337"/>
      <c r="AJ434" s="1337"/>
    </row>
    <row r="435" spans="4:36" ht="12.95" customHeight="1">
      <c r="D435" s="1190" t="s">
        <v>1431</v>
      </c>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c r="AA435" s="1301"/>
      <c r="AB435" s="1301"/>
      <c r="AC435" s="1301"/>
      <c r="AD435" s="1301"/>
      <c r="AE435" s="1301"/>
      <c r="AF435" s="1302"/>
      <c r="AG435" s="1284">
        <v>52700</v>
      </c>
      <c r="AH435" s="1284"/>
      <c r="AI435" s="1284"/>
      <c r="AJ435" s="1284"/>
    </row>
    <row r="436" spans="4:36" ht="12.95" customHeight="1">
      <c r="D436" s="1190" t="s">
        <v>1430</v>
      </c>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c r="AA436" s="1301"/>
      <c r="AB436" s="1301"/>
      <c r="AC436" s="1301"/>
      <c r="AD436" s="1301"/>
      <c r="AE436" s="1301"/>
      <c r="AF436" s="1302"/>
      <c r="AG436" s="1284">
        <v>52700</v>
      </c>
      <c r="AH436" s="1284"/>
      <c r="AI436" s="1284"/>
      <c r="AJ436" s="1284"/>
    </row>
    <row r="437" spans="4:36" ht="12.95" customHeight="1">
      <c r="D437" s="1190" t="s">
        <v>1437</v>
      </c>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c r="AA437" s="1301"/>
      <c r="AB437" s="1301"/>
      <c r="AC437" s="1301"/>
      <c r="AD437" s="1301"/>
      <c r="AE437" s="1301"/>
      <c r="AF437" s="1302"/>
      <c r="AG437" s="1337">
        <f>IF(ISERROR(AG436/AG435),"",AG436/AG435)</f>
        <v>1</v>
      </c>
      <c r="AH437" s="1337"/>
      <c r="AI437" s="1337"/>
      <c r="AJ437" s="1337"/>
    </row>
    <row r="438" spans="4:36" ht="12.95" customHeight="1">
      <c r="D438" s="1190" t="s">
        <v>1435</v>
      </c>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c r="AA438" s="1301"/>
      <c r="AB438" s="1301"/>
      <c r="AC438" s="1301"/>
      <c r="AD438" s="1301"/>
      <c r="AE438" s="1301"/>
      <c r="AF438" s="1302"/>
      <c r="AG438" s="1337">
        <f>MIN(IF(AG434&gt;AG437,AG437,AG434),1)</f>
        <v>1</v>
      </c>
      <c r="AH438" s="1337"/>
      <c r="AI438" s="1337"/>
      <c r="AJ438" s="1337"/>
    </row>
    <row r="439" spans="4:36" ht="12.95" customHeight="1">
      <c r="D439" s="1300" t="s">
        <v>2236</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6"/>
      <c r="AG439" s="1284">
        <v>6342</v>
      </c>
      <c r="AH439" s="1284"/>
      <c r="AI439" s="1284"/>
      <c r="AJ439" s="1284"/>
    </row>
    <row r="440" spans="4:36" ht="12.95" customHeight="1">
      <c r="D440" s="1190" t="s">
        <v>222</v>
      </c>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c r="AA440" s="1301"/>
      <c r="AB440" s="1301"/>
      <c r="AC440" s="1301"/>
      <c r="AD440" s="1301"/>
      <c r="AE440" s="1301"/>
      <c r="AF440" s="1302"/>
      <c r="AG440" s="1284">
        <v>0</v>
      </c>
      <c r="AH440" s="1284"/>
      <c r="AI440" s="1284"/>
      <c r="AJ440" s="1284"/>
    </row>
    <row r="441" spans="4:36" ht="12.95" customHeight="1">
      <c r="D441" s="1300" t="s">
        <v>1813</v>
      </c>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c r="AA441" s="1301"/>
      <c r="AB441" s="1301"/>
      <c r="AC441" s="1301"/>
      <c r="AD441" s="1301"/>
      <c r="AE441" s="1301"/>
      <c r="AF441" s="1302"/>
      <c r="AG441" s="1284">
        <v>778</v>
      </c>
      <c r="AH441" s="1284"/>
      <c r="AI441" s="1284"/>
      <c r="AJ441" s="1284"/>
    </row>
    <row r="442" spans="4:36" ht="12.95" customHeight="1">
      <c r="D442" s="1190" t="s">
        <v>1436</v>
      </c>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c r="AA442" s="1301"/>
      <c r="AB442" s="1301"/>
      <c r="AC442" s="1301"/>
      <c r="AD442" s="1301"/>
      <c r="AE442" s="1301"/>
      <c r="AF442" s="1302"/>
      <c r="AG442" s="1284">
        <v>0</v>
      </c>
      <c r="AH442" s="1284"/>
      <c r="AI442" s="1284"/>
      <c r="AJ442" s="1284"/>
    </row>
    <row r="443" spans="4:36" ht="12.95" customHeight="1">
      <c r="D443" s="1190" t="s">
        <v>1438</v>
      </c>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c r="AA443" s="1301"/>
      <c r="AB443" s="1301"/>
      <c r="AC443" s="1301"/>
      <c r="AD443" s="1301"/>
      <c r="AE443" s="1301"/>
      <c r="AF443" s="1302"/>
      <c r="AG443" s="1364">
        <f>AG435+AG439+AG441+AG442</f>
        <v>59820</v>
      </c>
      <c r="AH443" s="1364"/>
      <c r="AI443" s="1364"/>
      <c r="AJ443" s="1364"/>
    </row>
    <row r="444" spans="4:36" ht="12.95" customHeight="1">
      <c r="D444" s="1371" t="s">
        <v>1814</v>
      </c>
      <c r="E444" s="1371"/>
      <c r="F444" s="1371"/>
      <c r="G444" s="1371"/>
      <c r="H444" s="1371"/>
      <c r="I444" s="1371"/>
      <c r="J444" s="1371"/>
      <c r="K444" s="1371"/>
      <c r="L444" s="1371"/>
      <c r="M444" s="1371"/>
      <c r="N444" s="1371"/>
      <c r="O444" s="1371"/>
      <c r="P444" s="1371"/>
      <c r="Q444" s="1371"/>
      <c r="R444" s="1371"/>
      <c r="S444" s="1371"/>
      <c r="T444" s="1371"/>
      <c r="U444" s="1371"/>
      <c r="V444" s="1371"/>
      <c r="W444" s="1371"/>
      <c r="X444" s="1371"/>
      <c r="Y444" s="1371"/>
      <c r="Z444" s="1371"/>
      <c r="AA444" s="1371"/>
      <c r="AB444" s="1371"/>
      <c r="AC444" s="1371"/>
      <c r="AD444" s="1371"/>
      <c r="AE444" s="1371"/>
      <c r="AF444" s="1371"/>
      <c r="AG444" s="1371"/>
      <c r="AH444" s="1371"/>
      <c r="AI444" s="1371"/>
      <c r="AJ444" s="1371"/>
    </row>
    <row r="445" spans="4:36" ht="12.95" customHeight="1">
      <c r="D445" s="1372"/>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2"/>
      <c r="AG445" s="1372"/>
      <c r="AH445" s="1372"/>
      <c r="AI445" s="1372"/>
      <c r="AJ445" s="1372"/>
    </row>
    <row r="446" spans="4:36" ht="12.95" customHeight="1">
      <c r="D446" s="1397"/>
      <c r="E446" s="1397"/>
      <c r="F446" s="1397"/>
      <c r="G446" s="1397"/>
      <c r="H446" s="1397"/>
      <c r="I446" s="1397"/>
      <c r="J446" s="1397"/>
      <c r="K446" s="1397"/>
      <c r="L446" s="1397"/>
      <c r="M446" s="1397"/>
      <c r="N446" s="1397"/>
      <c r="O446" s="1397"/>
      <c r="P446" s="1397"/>
      <c r="Q446" s="1397"/>
      <c r="R446" s="1397"/>
      <c r="S446" s="1397"/>
      <c r="T446" s="1397"/>
      <c r="U446" s="1397"/>
      <c r="V446" s="1397"/>
      <c r="W446" s="1397"/>
      <c r="X446" s="1397"/>
      <c r="Y446" s="1397"/>
      <c r="Z446" s="1397"/>
      <c r="AA446" s="1397"/>
      <c r="AB446" s="1397"/>
      <c r="AC446" s="1397"/>
      <c r="AD446" s="1397"/>
      <c r="AE446" s="1397"/>
      <c r="AF446" s="1397"/>
      <c r="AG446" s="1397"/>
      <c r="AH446" s="1397"/>
      <c r="AI446" s="1397"/>
      <c r="AJ446" s="1397"/>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5">
        <f>'Sources and Uses Budget'!B104/Application!AG430</f>
        <v>636261.70014800446</v>
      </c>
      <c r="AD447" s="1335"/>
      <c r="AE447" s="1335"/>
      <c r="AF447" s="1335"/>
      <c r="AG447" s="1396"/>
      <c r="AH447" s="1396"/>
      <c r="AI447" s="1396"/>
      <c r="AJ447" s="1396"/>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5">
        <f>'Sources and Uses Budget'!C104/Application!AG430</f>
        <v>636261.70014800446</v>
      </c>
      <c r="AD448" s="1335"/>
      <c r="AE448" s="1335"/>
      <c r="AF448" s="1335"/>
      <c r="AG448" s="1396"/>
      <c r="AH448" s="1396"/>
      <c r="AI448" s="1396"/>
      <c r="AJ448" s="1396"/>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5">
        <f>('Sources and Uses Budget'!S106+'Sources and Uses Budget'!T106)/Application!AG430</f>
        <v>517552.25654424937</v>
      </c>
      <c r="AD449" s="1335"/>
      <c r="AE449" s="1335"/>
      <c r="AF449" s="1335"/>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6" t="s">
        <v>2209</v>
      </c>
      <c r="E458" s="1327"/>
      <c r="F458" s="1327"/>
      <c r="G458" s="1327"/>
      <c r="H458" s="1327"/>
      <c r="I458" s="1327"/>
      <c r="J458" s="1327"/>
      <c r="K458" s="1327"/>
      <c r="L458" s="1327"/>
      <c r="M458" s="1327"/>
      <c r="N458" s="1327"/>
      <c r="O458" s="1327"/>
      <c r="P458" s="1327"/>
      <c r="Q458" s="1327"/>
      <c r="R458" s="1327"/>
      <c r="S458" s="1327"/>
      <c r="T458" s="1327"/>
      <c r="U458" s="1327"/>
      <c r="V458" s="1328"/>
      <c r="W458" s="1294" t="s">
        <v>132</v>
      </c>
      <c r="X458" s="1295"/>
      <c r="Y458" s="1296"/>
      <c r="Z458" s="311"/>
      <c r="AA458" s="311"/>
      <c r="AB458" s="311"/>
      <c r="AC458" s="311"/>
      <c r="AD458" s="311"/>
      <c r="AE458" s="311"/>
      <c r="AF458" s="311"/>
      <c r="AG458" s="311"/>
      <c r="AH458" s="311"/>
      <c r="AI458" s="311"/>
      <c r="AJ458" s="41"/>
      <c r="AK458" s="41"/>
      <c r="AL458" s="41"/>
    </row>
    <row r="459" spans="1:38" ht="12.95" customHeight="1">
      <c r="A459" s="41"/>
      <c r="B459" s="41"/>
      <c r="C459" s="41"/>
      <c r="D459" s="1326" t="s">
        <v>227</v>
      </c>
      <c r="E459" s="1327"/>
      <c r="F459" s="1327"/>
      <c r="G459" s="1327"/>
      <c r="H459" s="1327"/>
      <c r="I459" s="1327"/>
      <c r="J459" s="1327"/>
      <c r="K459" s="1327"/>
      <c r="L459" s="1327"/>
      <c r="M459" s="1327"/>
      <c r="N459" s="1327"/>
      <c r="O459" s="1327"/>
      <c r="P459" s="1327"/>
      <c r="Q459" s="1327"/>
      <c r="R459" s="1327"/>
      <c r="S459" s="1327"/>
      <c r="T459" s="1327"/>
      <c r="U459" s="1327"/>
      <c r="V459" s="1328"/>
      <c r="W459" s="1294" t="s">
        <v>132</v>
      </c>
      <c r="X459" s="1295"/>
      <c r="Y459" s="1296"/>
      <c r="Z459" s="311"/>
      <c r="AA459" s="311"/>
      <c r="AB459" s="311"/>
      <c r="AC459" s="311"/>
      <c r="AD459" s="311"/>
      <c r="AE459" s="311"/>
      <c r="AF459" s="311"/>
      <c r="AG459" s="311"/>
      <c r="AH459" s="311"/>
      <c r="AI459" s="311"/>
      <c r="AJ459" s="41"/>
      <c r="AK459" s="41"/>
      <c r="AL459" s="41"/>
    </row>
    <row r="460" spans="1:38" ht="12.95" customHeight="1">
      <c r="A460" s="41"/>
      <c r="B460" s="41"/>
      <c r="C460" s="41"/>
      <c r="D460" s="1326" t="s">
        <v>228</v>
      </c>
      <c r="E460" s="1327"/>
      <c r="F460" s="1327"/>
      <c r="G460" s="1327"/>
      <c r="H460" s="1327"/>
      <c r="I460" s="1327"/>
      <c r="J460" s="1327"/>
      <c r="K460" s="1327"/>
      <c r="L460" s="1327"/>
      <c r="M460" s="1327"/>
      <c r="N460" s="1327"/>
      <c r="O460" s="1327"/>
      <c r="P460" s="1327"/>
      <c r="Q460" s="1327"/>
      <c r="R460" s="1327"/>
      <c r="S460" s="1327"/>
      <c r="T460" s="1327"/>
      <c r="U460" s="1327"/>
      <c r="V460" s="1328"/>
      <c r="W460" s="1294" t="s">
        <v>132</v>
      </c>
      <c r="X460" s="1295"/>
      <c r="Y460" s="1296"/>
      <c r="Z460" s="311"/>
      <c r="AA460" s="311"/>
      <c r="AB460" s="311"/>
      <c r="AC460" s="311"/>
      <c r="AD460" s="311"/>
      <c r="AE460" s="311"/>
      <c r="AF460" s="311"/>
      <c r="AG460" s="311"/>
      <c r="AH460" s="311"/>
      <c r="AI460" s="311"/>
      <c r="AJ460" s="41"/>
      <c r="AK460" s="41"/>
      <c r="AL460" s="41"/>
    </row>
    <row r="461" spans="1:38" ht="12.95" customHeight="1">
      <c r="A461" s="41"/>
      <c r="B461" s="41"/>
      <c r="C461" s="41"/>
      <c r="D461" s="1326" t="s">
        <v>231</v>
      </c>
      <c r="E461" s="1327"/>
      <c r="F461" s="1327"/>
      <c r="G461" s="1327"/>
      <c r="H461" s="1327"/>
      <c r="I461" s="1327"/>
      <c r="J461" s="1327"/>
      <c r="K461" s="1327"/>
      <c r="L461" s="1327"/>
      <c r="M461" s="1327"/>
      <c r="N461" s="1327"/>
      <c r="O461" s="1327"/>
      <c r="P461" s="1327"/>
      <c r="Q461" s="1327"/>
      <c r="R461" s="1327"/>
      <c r="S461" s="1327"/>
      <c r="T461" s="1327"/>
      <c r="U461" s="1327"/>
      <c r="V461" s="1328"/>
      <c r="W461" s="1294" t="s">
        <v>132</v>
      </c>
      <c r="X461" s="1295"/>
      <c r="Y461" s="1296"/>
      <c r="Z461" s="311"/>
      <c r="AA461" s="311"/>
      <c r="AB461" s="311"/>
      <c r="AC461" s="311"/>
      <c r="AD461" s="311"/>
      <c r="AE461" s="311"/>
      <c r="AF461" s="311"/>
      <c r="AG461" s="311"/>
      <c r="AH461" s="311"/>
      <c r="AI461" s="311"/>
      <c r="AJ461" s="41"/>
      <c r="AK461" s="41"/>
      <c r="AL461" s="41"/>
    </row>
    <row r="462" spans="1:38" ht="12.95" customHeight="1">
      <c r="A462" s="41"/>
      <c r="B462" s="41"/>
      <c r="C462" s="41"/>
      <c r="D462" s="1348" t="s">
        <v>1156</v>
      </c>
      <c r="E462" s="1327"/>
      <c r="F462" s="1327"/>
      <c r="G462" s="1327"/>
      <c r="H462" s="1327"/>
      <c r="I462" s="1327"/>
      <c r="J462" s="1327"/>
      <c r="K462" s="1327"/>
      <c r="L462" s="1327"/>
      <c r="M462" s="1327"/>
      <c r="N462" s="1327"/>
      <c r="O462" s="1327"/>
      <c r="P462" s="1327"/>
      <c r="Q462" s="1327"/>
      <c r="R462" s="1327"/>
      <c r="S462" s="1327"/>
      <c r="T462" s="1327"/>
      <c r="U462" s="1327"/>
      <c r="V462" s="1328"/>
      <c r="W462" s="1294" t="s">
        <v>132</v>
      </c>
      <c r="X462" s="1295"/>
      <c r="Y462" s="1296"/>
      <c r="Z462" s="311"/>
      <c r="AA462" s="311"/>
      <c r="AB462" s="311"/>
      <c r="AC462" s="311"/>
      <c r="AD462" s="311"/>
      <c r="AE462" s="311"/>
      <c r="AF462" s="311"/>
      <c r="AG462" s="311"/>
      <c r="AH462" s="311"/>
      <c r="AI462" s="311"/>
      <c r="AJ462" s="41"/>
      <c r="AK462" s="41"/>
      <c r="AL462" s="41"/>
    </row>
    <row r="463" spans="1:38" ht="12.95" customHeight="1">
      <c r="A463" s="41"/>
      <c r="B463" s="41"/>
      <c r="C463" s="41"/>
      <c r="D463" s="1326" t="s">
        <v>235</v>
      </c>
      <c r="E463" s="1327"/>
      <c r="F463" s="1327"/>
      <c r="G463" s="1327"/>
      <c r="H463" s="1327"/>
      <c r="I463" s="1327"/>
      <c r="J463" s="1327"/>
      <c r="K463" s="1327"/>
      <c r="L463" s="1327"/>
      <c r="M463" s="1327"/>
      <c r="N463" s="1327"/>
      <c r="O463" s="1327"/>
      <c r="P463" s="1327"/>
      <c r="Q463" s="1327"/>
      <c r="R463" s="1327"/>
      <c r="S463" s="1327"/>
      <c r="T463" s="1327"/>
      <c r="U463" s="1327"/>
      <c r="V463" s="1328"/>
      <c r="W463" s="1294" t="s">
        <v>132</v>
      </c>
      <c r="X463" s="1295"/>
      <c r="Y463" s="1296"/>
      <c r="Z463" s="311"/>
      <c r="AA463" s="311"/>
      <c r="AB463" s="311"/>
      <c r="AC463" s="311"/>
      <c r="AD463" s="311"/>
      <c r="AE463" s="311"/>
      <c r="AF463" s="311"/>
      <c r="AG463" s="311"/>
      <c r="AH463" s="311"/>
      <c r="AI463" s="311"/>
      <c r="AJ463" s="41"/>
      <c r="AK463" s="41"/>
      <c r="AL463" s="41"/>
    </row>
    <row r="464" spans="1:38" ht="12.95" customHeight="1">
      <c r="A464" s="572"/>
      <c r="B464" s="572"/>
      <c r="C464" s="572"/>
      <c r="D464" s="1348" t="s">
        <v>1361</v>
      </c>
      <c r="E464" s="1349"/>
      <c r="F464" s="1349"/>
      <c r="G464" s="1349"/>
      <c r="H464" s="1349"/>
      <c r="I464" s="1349"/>
      <c r="J464" s="1349"/>
      <c r="K464" s="1349"/>
      <c r="L464" s="1349"/>
      <c r="M464" s="1349"/>
      <c r="N464" s="1349"/>
      <c r="O464" s="1349"/>
      <c r="P464" s="1349"/>
      <c r="Q464" s="1349"/>
      <c r="R464" s="1349"/>
      <c r="S464" s="1349"/>
      <c r="T464" s="1349"/>
      <c r="U464" s="1349"/>
      <c r="V464" s="1350"/>
      <c r="W464" s="1398" t="s">
        <v>132</v>
      </c>
      <c r="X464" s="1399"/>
      <c r="Y464" s="1400"/>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9"/>
      <c r="H465" s="1330"/>
      <c r="I465" s="1330"/>
      <c r="J465" s="1330"/>
      <c r="K465" s="1330"/>
      <c r="L465" s="1330"/>
      <c r="M465" s="1330"/>
      <c r="N465" s="1330"/>
      <c r="O465" s="1330"/>
      <c r="P465" s="1330"/>
      <c r="Q465" s="1330"/>
      <c r="R465" s="1330"/>
      <c r="S465" s="1330"/>
      <c r="T465" s="1330"/>
      <c r="U465" s="1330"/>
      <c r="V465" s="1331"/>
      <c r="W465" s="1294" t="s">
        <v>132</v>
      </c>
      <c r="X465" s="1295"/>
      <c r="Y465" s="12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9" t="s">
        <v>229</v>
      </c>
      <c r="E469" s="1370"/>
      <c r="F469" s="1370"/>
      <c r="G469" s="1370"/>
      <c r="H469" s="1370"/>
      <c r="I469" s="1370"/>
      <c r="J469" s="1370"/>
      <c r="K469" s="1370"/>
      <c r="L469" s="1370"/>
      <c r="M469" s="1370"/>
      <c r="N469" s="1370"/>
      <c r="O469" s="1370"/>
      <c r="P469" s="1370"/>
      <c r="Q469" s="1370"/>
      <c r="R469" s="1370"/>
      <c r="S469" s="1370"/>
      <c r="T469" s="1370"/>
      <c r="U469" s="1370"/>
      <c r="V469" s="1370"/>
      <c r="W469" s="1322"/>
      <c r="X469" s="1322"/>
      <c r="Y469" s="132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6" t="s">
        <v>2237</v>
      </c>
      <c r="E470" s="1327"/>
      <c r="F470" s="1327"/>
      <c r="G470" s="1327"/>
      <c r="H470" s="1327"/>
      <c r="I470" s="1327"/>
      <c r="J470" s="1327"/>
      <c r="K470" s="1327"/>
      <c r="L470" s="1327"/>
      <c r="M470" s="1327"/>
      <c r="N470" s="1327"/>
      <c r="O470" s="1327"/>
      <c r="P470" s="1327"/>
      <c r="Q470" s="1327"/>
      <c r="R470" s="1327"/>
      <c r="S470" s="1327"/>
      <c r="T470" s="1327"/>
      <c r="U470" s="1327"/>
      <c r="V470" s="1328"/>
      <c r="W470" s="1294" t="s">
        <v>132</v>
      </c>
      <c r="X470" s="1295"/>
      <c r="Y470" s="12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8" t="s">
        <v>1073</v>
      </c>
      <c r="B473" s="1418"/>
      <c r="C473" s="1418"/>
      <c r="D473" s="1418"/>
      <c r="E473" s="1418"/>
      <c r="F473" s="1418"/>
      <c r="G473" s="1418"/>
      <c r="H473" s="1418"/>
      <c r="I473" s="1418"/>
      <c r="J473" s="1418"/>
      <c r="K473" s="1418"/>
      <c r="L473" s="1418"/>
      <c r="M473" s="1418"/>
      <c r="N473" s="1418"/>
      <c r="O473" s="1418"/>
      <c r="P473" s="1418"/>
      <c r="Q473" s="1418"/>
      <c r="R473" s="1418"/>
      <c r="S473" s="1418"/>
      <c r="T473" s="1418"/>
      <c r="U473" s="1418"/>
      <c r="V473" s="1418"/>
      <c r="W473" s="1418"/>
      <c r="X473" s="1418"/>
      <c r="Y473" s="1418"/>
      <c r="Z473" s="1418"/>
      <c r="AA473" s="1418"/>
      <c r="AB473" s="1418"/>
      <c r="AC473" s="1418"/>
      <c r="AD473" s="1418"/>
      <c r="AE473" s="1418"/>
      <c r="AF473" s="1418"/>
      <c r="AG473" s="1418"/>
      <c r="AH473" s="1418"/>
      <c r="AI473" s="1418"/>
      <c r="AJ473" s="1418"/>
      <c r="AK473" s="1418"/>
      <c r="AL473" s="1418"/>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9"/>
      <c r="B474" s="1419"/>
      <c r="C474" s="1419"/>
      <c r="D474" s="1419"/>
      <c r="E474" s="1419"/>
      <c r="F474" s="1419"/>
      <c r="G474" s="1419"/>
      <c r="H474" s="1419"/>
      <c r="I474" s="1419"/>
      <c r="J474" s="1419"/>
      <c r="K474" s="1419"/>
      <c r="L474" s="1419"/>
      <c r="M474" s="1419"/>
      <c r="N474" s="1419"/>
      <c r="O474" s="1419"/>
      <c r="P474" s="1419"/>
      <c r="Q474" s="1419"/>
      <c r="R474" s="1419"/>
      <c r="S474" s="1419"/>
      <c r="T474" s="1419"/>
      <c r="U474" s="1419"/>
      <c r="V474" s="1419"/>
      <c r="W474" s="1419"/>
      <c r="X474" s="1419"/>
      <c r="Y474" s="1419"/>
      <c r="Z474" s="1419"/>
      <c r="AA474" s="1419"/>
      <c r="AB474" s="1419"/>
      <c r="AC474" s="1419"/>
      <c r="AD474" s="1419"/>
      <c r="AE474" s="1419"/>
      <c r="AF474" s="1419"/>
      <c r="AG474" s="1419"/>
      <c r="AH474" s="1419"/>
      <c r="AI474" s="1419"/>
      <c r="AJ474" s="1419"/>
      <c r="AK474" s="1419"/>
      <c r="AL474" s="1419"/>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2" t="s">
        <v>253</v>
      </c>
      <c r="R478" s="1333"/>
      <c r="S478" s="1333"/>
      <c r="T478" s="1333"/>
      <c r="U478" s="1333"/>
      <c r="V478" s="1333"/>
      <c r="W478" s="1333"/>
      <c r="X478" s="1333"/>
      <c r="Y478" s="1333"/>
      <c r="Z478" s="1333"/>
      <c r="AA478" s="1333"/>
      <c r="AB478" s="1333"/>
      <c r="AC478" s="1333"/>
      <c r="AD478" s="1333"/>
      <c r="AE478" s="1333"/>
      <c r="AF478" s="1333"/>
      <c r="AG478" s="1333"/>
      <c r="AH478" s="1333"/>
      <c r="AI478" s="1333"/>
      <c r="AJ478" s="1333"/>
      <c r="AK478" s="133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44" t="s">
        <v>2422</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32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44" t="s">
        <v>2423</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32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44" t="s">
        <v>2439</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32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90" t="s">
        <v>257</v>
      </c>
      <c r="C482" s="1391"/>
      <c r="D482" s="1391"/>
      <c r="E482" s="1391"/>
      <c r="F482" s="1391"/>
      <c r="G482" s="1391"/>
      <c r="H482" s="1391"/>
      <c r="I482" s="1391"/>
      <c r="J482" s="1391"/>
      <c r="K482" s="1391"/>
      <c r="L482" s="1391"/>
      <c r="M482" s="1391"/>
      <c r="N482" s="1391"/>
      <c r="O482" s="1391"/>
      <c r="P482" s="1392"/>
      <c r="Q482" s="1306" t="s">
        <v>511</v>
      </c>
      <c r="R482" s="1307"/>
      <c r="S482" s="1310" t="s">
        <v>57</v>
      </c>
      <c r="T482" s="1311"/>
      <c r="U482" s="1311"/>
      <c r="V482" s="1311"/>
      <c r="W482" s="1311"/>
      <c r="X482" s="1311"/>
      <c r="Y482" s="1311"/>
      <c r="Z482" s="1311"/>
      <c r="AA482" s="1311"/>
      <c r="AB482" s="1311"/>
      <c r="AC482" s="1311"/>
      <c r="AD482" s="1311"/>
      <c r="AE482" s="1311"/>
      <c r="AF482" s="1311"/>
      <c r="AG482" s="1311"/>
      <c r="AH482" s="1311"/>
      <c r="AI482" s="1311"/>
      <c r="AJ482" s="1311"/>
      <c r="AK482" s="131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93"/>
      <c r="C483" s="1394"/>
      <c r="D483" s="1394"/>
      <c r="E483" s="1394"/>
      <c r="F483" s="1394"/>
      <c r="G483" s="1394"/>
      <c r="H483" s="1394"/>
      <c r="I483" s="1394"/>
      <c r="J483" s="1394"/>
      <c r="K483" s="1394"/>
      <c r="L483" s="1394"/>
      <c r="M483" s="1394"/>
      <c r="N483" s="1394"/>
      <c r="O483" s="1394"/>
      <c r="P483" s="1395"/>
      <c r="Q483" s="1308"/>
      <c r="R483" s="1309"/>
      <c r="S483" s="1313"/>
      <c r="T483" s="1314"/>
      <c r="U483" s="1314"/>
      <c r="V483" s="1314"/>
      <c r="W483" s="1314"/>
      <c r="X483" s="1314"/>
      <c r="Y483" s="1314"/>
      <c r="Z483" s="1314"/>
      <c r="AA483" s="1314"/>
      <c r="AB483" s="1314"/>
      <c r="AC483" s="1314"/>
      <c r="AD483" s="1314"/>
      <c r="AE483" s="1314"/>
      <c r="AF483" s="1314"/>
      <c r="AG483" s="1314"/>
      <c r="AH483" s="1314"/>
      <c r="AI483" s="1314"/>
      <c r="AJ483" s="1314"/>
      <c r="AK483" s="131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2349</v>
      </c>
      <c r="C484" s="834"/>
      <c r="D484" s="834"/>
      <c r="E484" s="834"/>
      <c r="F484" s="834"/>
      <c r="G484" s="834"/>
      <c r="H484" s="834"/>
      <c r="I484" s="834"/>
      <c r="J484" s="834"/>
      <c r="K484" s="834"/>
      <c r="L484" s="834"/>
      <c r="M484" s="834"/>
      <c r="N484" s="834"/>
      <c r="O484" s="834"/>
      <c r="P484" s="834"/>
      <c r="Q484" s="1316" t="s">
        <v>132</v>
      </c>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31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44" t="s">
        <v>2424</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344" t="s">
        <v>2425</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319">
        <v>59</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32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321">
        <v>0</v>
      </c>
      <c r="N488" s="1238"/>
      <c r="O488" s="1238"/>
      <c r="P488" s="1239"/>
      <c r="Q488" s="214" t="s">
        <v>2084</v>
      </c>
      <c r="R488" s="9"/>
      <c r="S488" s="9"/>
      <c r="T488" s="9"/>
      <c r="U488" s="9"/>
      <c r="V488" s="9"/>
      <c r="W488" s="9"/>
      <c r="X488" s="9"/>
      <c r="Y488" s="9"/>
      <c r="Z488" s="9"/>
      <c r="AA488" s="9"/>
      <c r="AB488" s="9"/>
      <c r="AC488" s="9"/>
      <c r="AD488" s="9"/>
      <c r="AE488" s="9"/>
      <c r="AF488" s="9"/>
      <c r="AG488" s="9"/>
      <c r="AH488" s="1237">
        <v>59</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2" t="s">
        <v>261</v>
      </c>
      <c r="AD492" s="1333"/>
      <c r="AE492" s="1333"/>
      <c r="AF492" s="1333"/>
      <c r="AG492" s="1333"/>
      <c r="AH492" s="1333"/>
      <c r="AI492" s="1333"/>
      <c r="AJ492" s="1333"/>
      <c r="AK492" s="133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2" t="s">
        <v>262</v>
      </c>
      <c r="AD493" s="1333"/>
      <c r="AE493" s="1333"/>
      <c r="AF493" s="1333"/>
      <c r="AG493" s="56" t="s">
        <v>263</v>
      </c>
      <c r="AH493" s="1333" t="s">
        <v>264</v>
      </c>
      <c r="AI493" s="1333"/>
      <c r="AJ493" s="1333"/>
      <c r="AK493" s="133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8" t="s">
        <v>265</v>
      </c>
      <c r="C494" s="1339"/>
      <c r="D494" s="1339"/>
      <c r="E494" s="1339"/>
      <c r="F494" s="1339"/>
      <c r="G494" s="1339"/>
      <c r="H494" s="1340"/>
      <c r="I494" s="7" t="s">
        <v>707</v>
      </c>
      <c r="J494" s="7"/>
      <c r="K494" s="7"/>
      <c r="L494" s="7"/>
      <c r="M494" s="7"/>
      <c r="N494" s="7"/>
      <c r="O494" s="7"/>
      <c r="P494" s="7"/>
      <c r="Q494" s="7"/>
      <c r="R494" s="7"/>
      <c r="S494" s="7"/>
      <c r="T494" s="7"/>
      <c r="U494" s="7"/>
      <c r="V494" s="7"/>
      <c r="W494" s="7"/>
      <c r="AC494" s="1285">
        <v>3</v>
      </c>
      <c r="AD494" s="1286"/>
      <c r="AE494" s="1286"/>
      <c r="AF494" s="1286"/>
      <c r="AG494" s="18" t="s">
        <v>263</v>
      </c>
      <c r="AH494" s="1146">
        <v>2023</v>
      </c>
      <c r="AI494" s="1146"/>
      <c r="AJ494" s="1146"/>
      <c r="AK494" s="114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1"/>
      <c r="C495" s="1342"/>
      <c r="D495" s="1342"/>
      <c r="E495" s="1342"/>
      <c r="F495" s="1342"/>
      <c r="G495" s="1342"/>
      <c r="H495" s="1343"/>
      <c r="I495" s="54" t="s">
        <v>708</v>
      </c>
      <c r="J495" s="54"/>
      <c r="K495" s="54"/>
      <c r="L495" s="54"/>
      <c r="M495" s="54"/>
      <c r="N495" s="54"/>
      <c r="O495" s="54"/>
      <c r="P495" s="54"/>
      <c r="Q495" s="54"/>
      <c r="R495" s="54"/>
      <c r="S495" s="54"/>
      <c r="T495" s="54"/>
      <c r="U495" s="54"/>
      <c r="V495" s="54"/>
      <c r="W495" s="54"/>
      <c r="X495" s="54"/>
      <c r="Y495" s="54"/>
      <c r="Z495" s="54"/>
      <c r="AA495" s="54"/>
      <c r="AB495" s="54"/>
      <c r="AC495" s="1285">
        <v>5</v>
      </c>
      <c r="AD495" s="1286"/>
      <c r="AE495" s="1286"/>
      <c r="AF495" s="1286"/>
      <c r="AG495" s="47" t="s">
        <v>263</v>
      </c>
      <c r="AH495" s="1146">
        <v>2023</v>
      </c>
      <c r="AI495" s="1146"/>
      <c r="AJ495" s="1146"/>
      <c r="AK495" s="114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8" t="s">
        <v>709</v>
      </c>
      <c r="C496" s="1339"/>
      <c r="D496" s="1339"/>
      <c r="E496" s="1339"/>
      <c r="F496" s="1339"/>
      <c r="G496" s="1339"/>
      <c r="H496" s="1340"/>
      <c r="I496" s="7" t="s">
        <v>710</v>
      </c>
      <c r="J496" s="7"/>
      <c r="K496" s="7"/>
      <c r="L496" s="7"/>
      <c r="M496" s="7"/>
      <c r="N496" s="7"/>
      <c r="O496" s="7"/>
      <c r="P496" s="7"/>
      <c r="Q496" s="7"/>
      <c r="R496" s="7"/>
      <c r="S496" s="7"/>
      <c r="T496" s="7"/>
      <c r="U496" s="7"/>
      <c r="V496" s="7"/>
      <c r="W496" s="7"/>
      <c r="AC496" s="1285" t="s">
        <v>132</v>
      </c>
      <c r="AD496" s="1286"/>
      <c r="AE496" s="1286"/>
      <c r="AF496" s="1286"/>
      <c r="AG496" s="18" t="s">
        <v>263</v>
      </c>
      <c r="AH496" s="1146"/>
      <c r="AI496" s="1146"/>
      <c r="AJ496" s="1146"/>
      <c r="AK496" s="114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1"/>
      <c r="C497" s="1342"/>
      <c r="D497" s="1342"/>
      <c r="E497" s="1342"/>
      <c r="F497" s="1342"/>
      <c r="G497" s="1342"/>
      <c r="H497" s="1343"/>
      <c r="I497" t="s">
        <v>711</v>
      </c>
      <c r="AC497" s="1285" t="s">
        <v>132</v>
      </c>
      <c r="AD497" s="1286"/>
      <c r="AE497" s="1286"/>
      <c r="AF497" s="1286"/>
      <c r="AG497" s="18" t="s">
        <v>263</v>
      </c>
      <c r="AH497" s="1146"/>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1"/>
      <c r="C498" s="1342"/>
      <c r="D498" s="1342"/>
      <c r="E498" s="1342"/>
      <c r="F498" s="1342"/>
      <c r="G498" s="1342"/>
      <c r="H498" s="1343"/>
      <c r="I498" t="s">
        <v>712</v>
      </c>
      <c r="AC498" s="1285">
        <v>4</v>
      </c>
      <c r="AD498" s="1286"/>
      <c r="AE498" s="1286"/>
      <c r="AF498" s="1286"/>
      <c r="AG498" s="18" t="s">
        <v>263</v>
      </c>
      <c r="AH498" s="1146">
        <v>2023</v>
      </c>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1"/>
      <c r="C499" s="1342"/>
      <c r="D499" s="1342"/>
      <c r="E499" s="1342"/>
      <c r="F499" s="1342"/>
      <c r="G499" s="1342"/>
      <c r="H499" s="1343"/>
      <c r="I499" t="s">
        <v>713</v>
      </c>
      <c r="AC499" s="1285">
        <v>12</v>
      </c>
      <c r="AD499" s="1286"/>
      <c r="AE499" s="1286"/>
      <c r="AF499" s="1286"/>
      <c r="AG499" s="18" t="s">
        <v>263</v>
      </c>
      <c r="AH499" s="1146">
        <v>2023</v>
      </c>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1"/>
      <c r="C500" s="1342"/>
      <c r="D500" s="1342"/>
      <c r="E500" s="1342"/>
      <c r="F500" s="1342"/>
      <c r="G500" s="1342"/>
      <c r="H500" s="1343"/>
      <c r="I500" s="41" t="s">
        <v>714</v>
      </c>
      <c r="AC500" s="1287">
        <v>12</v>
      </c>
      <c r="AD500" s="1288"/>
      <c r="AE500" s="1288"/>
      <c r="AF500" s="1288"/>
      <c r="AG500" s="18" t="s">
        <v>263</v>
      </c>
      <c r="AH500" s="1146">
        <v>2023</v>
      </c>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1"/>
      <c r="C501" s="1342"/>
      <c r="D501" s="1342"/>
      <c r="E501" s="1342"/>
      <c r="F501" s="1342"/>
      <c r="G501" s="1342"/>
      <c r="H501" s="1343"/>
      <c r="I501" s="414" t="s">
        <v>298</v>
      </c>
      <c r="J501" s="54"/>
      <c r="K501" s="54"/>
      <c r="L501" s="1324" t="s">
        <v>593</v>
      </c>
      <c r="M501" s="1299"/>
      <c r="N501" s="1299"/>
      <c r="O501" s="1299"/>
      <c r="P501" s="1299"/>
      <c r="Q501" s="1299"/>
      <c r="R501" s="1299"/>
      <c r="S501" s="1299"/>
      <c r="T501" s="1299"/>
      <c r="U501" s="1299"/>
      <c r="V501" s="1299"/>
      <c r="W501" s="1299"/>
      <c r="X501" s="1299"/>
      <c r="Y501" s="1299"/>
      <c r="Z501" s="1299"/>
      <c r="AA501" s="1299"/>
      <c r="AB501" s="1325"/>
      <c r="AC501" s="1386" t="s">
        <v>132</v>
      </c>
      <c r="AD501" s="1387"/>
      <c r="AE501" s="1387"/>
      <c r="AF501" s="1387"/>
      <c r="AG501" s="47" t="s">
        <v>263</v>
      </c>
      <c r="AH501" s="1146"/>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1"/>
      <c r="C502" s="1342"/>
      <c r="D502" s="1342"/>
      <c r="E502" s="1342"/>
      <c r="F502" s="1342"/>
      <c r="G502" s="1342"/>
      <c r="H502" s="1343"/>
      <c r="I502" s="41" t="s">
        <v>2085</v>
      </c>
      <c r="AC502" s="1424" t="s">
        <v>511</v>
      </c>
      <c r="AD502" s="1424"/>
      <c r="AE502" s="1424"/>
      <c r="AF502" s="1424"/>
      <c r="AG502" s="18"/>
      <c r="AH502" s="1046"/>
      <c r="AI502" s="1046"/>
      <c r="AJ502" s="1046"/>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1"/>
      <c r="C503" s="1342"/>
      <c r="D503" s="1342"/>
      <c r="E503" s="1342"/>
      <c r="F503" s="1342"/>
      <c r="G503" s="1342"/>
      <c r="H503" s="1343"/>
      <c r="I503" t="s">
        <v>2086</v>
      </c>
      <c r="AC503" s="1287"/>
      <c r="AD503" s="1288"/>
      <c r="AE503" s="1288"/>
      <c r="AF503" s="1289"/>
      <c r="AG503" s="18"/>
      <c r="AH503" s="1046"/>
      <c r="AI503" s="1046"/>
      <c r="AJ503" s="1046"/>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1"/>
      <c r="C504" s="1342"/>
      <c r="D504" s="1342"/>
      <c r="E504" s="1342"/>
      <c r="F504" s="1342"/>
      <c r="G504" s="1342"/>
      <c r="H504" s="1343"/>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1"/>
      <c r="C505" s="1342"/>
      <c r="D505" s="1342"/>
      <c r="E505" s="1342"/>
      <c r="F505" s="1342"/>
      <c r="G505" s="1342"/>
      <c r="H505" s="1343"/>
      <c r="I505" s="858" t="s">
        <v>2088</v>
      </c>
      <c r="J505" s="54"/>
      <c r="K505" s="54"/>
      <c r="L505" s="54"/>
      <c r="M505" s="54"/>
      <c r="N505" s="54"/>
      <c r="O505" s="54"/>
      <c r="P505" s="54"/>
      <c r="Q505" s="54"/>
      <c r="R505" s="54"/>
      <c r="S505" s="54"/>
      <c r="T505" s="54"/>
      <c r="U505" s="54"/>
      <c r="V505" s="54"/>
      <c r="W505" s="54"/>
      <c r="X505" s="54"/>
      <c r="Y505" s="54"/>
      <c r="Z505" s="54"/>
      <c r="AA505" s="54"/>
      <c r="AB505" s="54"/>
      <c r="AC505" s="1291"/>
      <c r="AD505" s="1292"/>
      <c r="AE505" s="1292"/>
      <c r="AF505" s="1293"/>
      <c r="AG505" s="47"/>
      <c r="AH505" s="1361"/>
      <c r="AI505" s="1361"/>
      <c r="AJ505" s="1361"/>
      <c r="AK505" s="13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8" t="s">
        <v>715</v>
      </c>
      <c r="C506" s="1339"/>
      <c r="D506" s="1339"/>
      <c r="E506" s="1339"/>
      <c r="F506" s="1339"/>
      <c r="G506" s="1339"/>
      <c r="H506" s="1340"/>
      <c r="I506" s="7" t="s">
        <v>716</v>
      </c>
      <c r="J506" s="7"/>
      <c r="K506" s="7"/>
      <c r="L506" s="7"/>
      <c r="M506" s="7"/>
      <c r="N506" s="7"/>
      <c r="O506" s="7"/>
      <c r="P506" s="7"/>
      <c r="Q506" s="7"/>
      <c r="R506" s="7"/>
      <c r="S506" s="7"/>
      <c r="T506" s="7"/>
      <c r="U506" s="7"/>
      <c r="V506" s="7"/>
      <c r="W506" s="7"/>
      <c r="AC506" s="1285">
        <v>4</v>
      </c>
      <c r="AD506" s="1286"/>
      <c r="AE506" s="1286"/>
      <c r="AF506" s="1286"/>
      <c r="AG506" s="18" t="s">
        <v>263</v>
      </c>
      <c r="AH506" s="1146">
        <v>2023</v>
      </c>
      <c r="AI506" s="1146"/>
      <c r="AJ506" s="1146"/>
      <c r="AK506" s="114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1"/>
      <c r="C507" s="1342"/>
      <c r="D507" s="1342"/>
      <c r="E507" s="1342"/>
      <c r="F507" s="1342"/>
      <c r="G507" s="1342"/>
      <c r="H507" s="1343"/>
      <c r="I507" t="s">
        <v>717</v>
      </c>
      <c r="AC507" s="1285">
        <v>4</v>
      </c>
      <c r="AD507" s="1286"/>
      <c r="AE507" s="1286"/>
      <c r="AF507" s="1286"/>
      <c r="AG507" s="18" t="s">
        <v>263</v>
      </c>
      <c r="AH507" s="1146">
        <v>2023</v>
      </c>
      <c r="AI507" s="1146"/>
      <c r="AJ507" s="1146"/>
      <c r="AK507" s="114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1"/>
      <c r="C508" s="1342"/>
      <c r="D508" s="1342"/>
      <c r="E508" s="1342"/>
      <c r="F508" s="1342"/>
      <c r="G508" s="1342"/>
      <c r="H508" s="1343"/>
      <c r="I508" s="54" t="s">
        <v>718</v>
      </c>
      <c r="J508" s="54"/>
      <c r="K508" s="54"/>
      <c r="L508" s="54"/>
      <c r="M508" s="54"/>
      <c r="N508" s="54"/>
      <c r="O508" s="54"/>
      <c r="P508" s="54"/>
      <c r="Q508" s="54"/>
      <c r="R508" s="54"/>
      <c r="S508" s="54"/>
      <c r="T508" s="54"/>
      <c r="U508" s="54"/>
      <c r="V508" s="54"/>
      <c r="W508" s="54"/>
      <c r="X508" s="54"/>
      <c r="Y508" s="54"/>
      <c r="Z508" s="54"/>
      <c r="AA508" s="54"/>
      <c r="AB508" s="54"/>
      <c r="AC508" s="1285">
        <v>1</v>
      </c>
      <c r="AD508" s="1286"/>
      <c r="AE508" s="1286"/>
      <c r="AF508" s="1286"/>
      <c r="AG508" s="47" t="s">
        <v>263</v>
      </c>
      <c r="AH508" s="1146">
        <v>2024</v>
      </c>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8" t="s">
        <v>719</v>
      </c>
      <c r="C509" s="1339"/>
      <c r="D509" s="1339"/>
      <c r="E509" s="1339"/>
      <c r="F509" s="1339"/>
      <c r="G509" s="1339"/>
      <c r="H509" s="1340"/>
      <c r="I509" s="7" t="s">
        <v>716</v>
      </c>
      <c r="J509" s="7"/>
      <c r="K509" s="7"/>
      <c r="L509" s="7"/>
      <c r="M509" s="7"/>
      <c r="N509" s="7"/>
      <c r="O509" s="7"/>
      <c r="P509" s="7"/>
      <c r="Q509" s="7"/>
      <c r="R509" s="7"/>
      <c r="S509" s="7"/>
      <c r="T509" s="7"/>
      <c r="U509" s="7"/>
      <c r="V509" s="7"/>
      <c r="W509" s="7"/>
      <c r="X509" s="7"/>
      <c r="Y509" s="7"/>
      <c r="Z509" s="7"/>
      <c r="AA509" s="7"/>
      <c r="AB509" s="7"/>
      <c r="AC509" s="1359">
        <v>4</v>
      </c>
      <c r="AD509" s="1360"/>
      <c r="AE509" s="1360"/>
      <c r="AF509" s="1360"/>
      <c r="AG509" s="230" t="s">
        <v>263</v>
      </c>
      <c r="AH509" s="1146">
        <v>2023</v>
      </c>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1"/>
      <c r="C510" s="1342"/>
      <c r="D510" s="1342"/>
      <c r="E510" s="1342"/>
      <c r="F510" s="1342"/>
      <c r="G510" s="1342"/>
      <c r="H510" s="1343"/>
      <c r="I510" t="s">
        <v>717</v>
      </c>
      <c r="AC510" s="1285">
        <v>4</v>
      </c>
      <c r="AD510" s="1286"/>
      <c r="AE510" s="1286"/>
      <c r="AF510" s="1286"/>
      <c r="AG510" s="18" t="s">
        <v>263</v>
      </c>
      <c r="AH510" s="1146">
        <v>2023</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6"/>
      <c r="C511" s="1377"/>
      <c r="D511" s="1377"/>
      <c r="E511" s="1377"/>
      <c r="F511" s="1377"/>
      <c r="G511" s="1377"/>
      <c r="H511" s="1378"/>
      <c r="I511" s="54" t="s">
        <v>718</v>
      </c>
      <c r="J511" s="54"/>
      <c r="K511" s="54"/>
      <c r="L511" s="54"/>
      <c r="M511" s="54"/>
      <c r="N511" s="54"/>
      <c r="O511" s="54"/>
      <c r="P511" s="54"/>
      <c r="Q511" s="54"/>
      <c r="R511" s="54"/>
      <c r="S511" s="54"/>
      <c r="T511" s="54"/>
      <c r="U511" s="54"/>
      <c r="V511" s="54"/>
      <c r="W511" s="54"/>
      <c r="X511" s="54"/>
      <c r="Y511" s="54"/>
      <c r="Z511" s="54"/>
      <c r="AA511" s="54"/>
      <c r="AB511" s="54"/>
      <c r="AC511" s="1285">
        <v>1</v>
      </c>
      <c r="AD511" s="1286"/>
      <c r="AE511" s="1286"/>
      <c r="AF511" s="1286"/>
      <c r="AG511" s="47" t="s">
        <v>263</v>
      </c>
      <c r="AH511" s="1146">
        <v>2024</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8" t="s">
        <v>720</v>
      </c>
      <c r="C512" s="1339"/>
      <c r="D512" s="1339"/>
      <c r="E512" s="1339"/>
      <c r="F512" s="1339"/>
      <c r="G512" s="1339"/>
      <c r="H512" s="1340"/>
      <c r="I512" s="6" t="s">
        <v>721</v>
      </c>
      <c r="J512" s="7"/>
      <c r="K512" s="7"/>
      <c r="L512" s="7"/>
      <c r="M512" s="7"/>
      <c r="N512" s="7"/>
      <c r="O512" s="1324" t="s">
        <v>593</v>
      </c>
      <c r="P512" s="1299"/>
      <c r="Q512" s="1299"/>
      <c r="R512" s="1299"/>
      <c r="S512" s="1299"/>
      <c r="T512" s="1299"/>
      <c r="U512" s="1299"/>
      <c r="V512" s="1299"/>
      <c r="W512" s="1299"/>
      <c r="X512" s="1299"/>
      <c r="Y512" s="1299"/>
      <c r="Z512" s="1299"/>
      <c r="AA512" s="1299"/>
      <c r="AB512" s="64"/>
      <c r="AC512" s="1359" t="s">
        <v>132</v>
      </c>
      <c r="AD512" s="1360"/>
      <c r="AE512" s="1360"/>
      <c r="AF512" s="1360"/>
      <c r="AG512" s="230" t="s">
        <v>263</v>
      </c>
      <c r="AH512" s="1146"/>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1"/>
      <c r="C513" s="1342"/>
      <c r="D513" s="1342"/>
      <c r="E513" s="1342"/>
      <c r="F513" s="1342"/>
      <c r="G513" s="1342"/>
      <c r="H513" s="1343"/>
      <c r="I513" s="204" t="s">
        <v>722</v>
      </c>
      <c r="AB513" s="71"/>
      <c r="AC513" s="1285" t="s">
        <v>132</v>
      </c>
      <c r="AD513" s="1286"/>
      <c r="AE513" s="1286"/>
      <c r="AF513" s="1286"/>
      <c r="AG513" s="18" t="s">
        <v>263</v>
      </c>
      <c r="AH513" s="1146"/>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1"/>
      <c r="C514" s="1342"/>
      <c r="D514" s="1342"/>
      <c r="E514" s="1342"/>
      <c r="F514" s="1342"/>
      <c r="G514" s="1342"/>
      <c r="H514" s="1343"/>
      <c r="I514" s="53" t="s">
        <v>723</v>
      </c>
      <c r="J514" s="54"/>
      <c r="K514" s="54"/>
      <c r="L514" s="54"/>
      <c r="M514" s="54"/>
      <c r="N514" s="54"/>
      <c r="O514" s="54"/>
      <c r="P514" s="54"/>
      <c r="Q514" s="54"/>
      <c r="R514" s="54"/>
      <c r="S514" s="54"/>
      <c r="T514" s="54"/>
      <c r="U514" s="54"/>
      <c r="V514" s="54"/>
      <c r="W514" s="54"/>
      <c r="X514" s="54"/>
      <c r="Y514" s="54"/>
      <c r="Z514" s="54"/>
      <c r="AA514" s="54"/>
      <c r="AB514" s="55"/>
      <c r="AC514" s="1285" t="s">
        <v>132</v>
      </c>
      <c r="AD514" s="1286"/>
      <c r="AE514" s="1286"/>
      <c r="AF514" s="1286"/>
      <c r="AG514" s="47" t="s">
        <v>263</v>
      </c>
      <c r="AH514" s="1146"/>
      <c r="AI514" s="1146"/>
      <c r="AJ514" s="1146"/>
      <c r="AK514" s="1147"/>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1"/>
      <c r="C515" s="1342"/>
      <c r="D515" s="1342"/>
      <c r="E515" s="1342"/>
      <c r="F515" s="1342"/>
      <c r="G515" s="1342"/>
      <c r="H515" s="1343"/>
      <c r="I515" s="7" t="s">
        <v>724</v>
      </c>
      <c r="J515" s="7"/>
      <c r="K515" s="7"/>
      <c r="L515" s="7"/>
      <c r="M515" s="7"/>
      <c r="N515" s="7"/>
      <c r="O515" s="1324" t="s">
        <v>593</v>
      </c>
      <c r="P515" s="1299"/>
      <c r="Q515" s="1299"/>
      <c r="R515" s="1299"/>
      <c r="S515" s="1299"/>
      <c r="T515" s="1299"/>
      <c r="U515" s="1299"/>
      <c r="V515" s="1299"/>
      <c r="W515" s="1299"/>
      <c r="X515" s="1299"/>
      <c r="Y515" s="1299"/>
      <c r="Z515" s="1299"/>
      <c r="AA515" s="1299"/>
      <c r="AC515" s="1285" t="s">
        <v>132</v>
      </c>
      <c r="AD515" s="1286"/>
      <c r="AE515" s="1286"/>
      <c r="AF515" s="1286"/>
      <c r="AG515" s="18" t="s">
        <v>263</v>
      </c>
      <c r="AH515" s="1146"/>
      <c r="AI515" s="1146"/>
      <c r="AJ515" s="1146"/>
      <c r="AK515" s="1147"/>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1"/>
      <c r="C516" s="1342"/>
      <c r="D516" s="1342"/>
      <c r="E516" s="1342"/>
      <c r="F516" s="1342"/>
      <c r="G516" s="1342"/>
      <c r="H516" s="1343"/>
      <c r="I516" t="s">
        <v>722</v>
      </c>
      <c r="AC516" s="1285" t="s">
        <v>132</v>
      </c>
      <c r="AD516" s="1286"/>
      <c r="AE516" s="1286"/>
      <c r="AF516" s="1286"/>
      <c r="AG516" s="18" t="s">
        <v>263</v>
      </c>
      <c r="AH516" s="1146"/>
      <c r="AI516" s="1146"/>
      <c r="AJ516" s="1146"/>
      <c r="AK516" s="1147"/>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1"/>
      <c r="C517" s="1342"/>
      <c r="D517" s="1342"/>
      <c r="E517" s="1342"/>
      <c r="F517" s="1342"/>
      <c r="G517" s="1342"/>
      <c r="H517" s="1343"/>
      <c r="I517" s="54" t="s">
        <v>723</v>
      </c>
      <c r="J517" s="54"/>
      <c r="K517" s="54"/>
      <c r="L517" s="54"/>
      <c r="M517" s="54"/>
      <c r="N517" s="54"/>
      <c r="O517" s="54"/>
      <c r="P517" s="54"/>
      <c r="Q517" s="54"/>
      <c r="R517" s="54"/>
      <c r="S517" s="54"/>
      <c r="T517" s="54"/>
      <c r="U517" s="54"/>
      <c r="V517" s="54"/>
      <c r="W517" s="54"/>
      <c r="X517" s="54"/>
      <c r="Y517" s="54"/>
      <c r="Z517" s="54"/>
      <c r="AA517" s="54"/>
      <c r="AB517" s="54"/>
      <c r="AC517" s="1285" t="s">
        <v>132</v>
      </c>
      <c r="AD517" s="1286"/>
      <c r="AE517" s="1286"/>
      <c r="AF517" s="1286"/>
      <c r="AG517" s="47" t="s">
        <v>263</v>
      </c>
      <c r="AH517" s="1146"/>
      <c r="AI517" s="1146"/>
      <c r="AJ517" s="1146"/>
      <c r="AK517" s="1147"/>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1"/>
      <c r="C518" s="1342"/>
      <c r="D518" s="1342"/>
      <c r="E518" s="1342"/>
      <c r="F518" s="1342"/>
      <c r="G518" s="1342"/>
      <c r="H518" s="1343"/>
      <c r="I518" s="7" t="s">
        <v>724</v>
      </c>
      <c r="J518" s="7"/>
      <c r="K518" s="7"/>
      <c r="L518" s="7"/>
      <c r="M518" s="7"/>
      <c r="N518" s="7"/>
      <c r="O518" s="1324" t="s">
        <v>593</v>
      </c>
      <c r="P518" s="1299"/>
      <c r="Q518" s="1299"/>
      <c r="R518" s="1299"/>
      <c r="S518" s="1299"/>
      <c r="T518" s="1299"/>
      <c r="U518" s="1299"/>
      <c r="V518" s="1299"/>
      <c r="W518" s="1299"/>
      <c r="X518" s="1299"/>
      <c r="Y518" s="1299"/>
      <c r="Z518" s="1299"/>
      <c r="AA518" s="1299"/>
      <c r="AC518" s="1285" t="s">
        <v>132</v>
      </c>
      <c r="AD518" s="1286"/>
      <c r="AE518" s="1286"/>
      <c r="AF518" s="1286"/>
      <c r="AG518" s="18" t="s">
        <v>263</v>
      </c>
      <c r="AH518" s="1146"/>
      <c r="AI518" s="1146"/>
      <c r="AJ518" s="1146"/>
      <c r="AK518" s="1147"/>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1"/>
      <c r="C519" s="1342"/>
      <c r="D519" s="1342"/>
      <c r="E519" s="1342"/>
      <c r="F519" s="1342"/>
      <c r="G519" s="1342"/>
      <c r="H519" s="1343"/>
      <c r="I519" t="s">
        <v>722</v>
      </c>
      <c r="AC519" s="1285" t="s">
        <v>132</v>
      </c>
      <c r="AD519" s="1286"/>
      <c r="AE519" s="1286"/>
      <c r="AF519" s="1286"/>
      <c r="AG519" s="18" t="s">
        <v>263</v>
      </c>
      <c r="AH519" s="1146"/>
      <c r="AI519" s="1146"/>
      <c r="AJ519" s="1146"/>
      <c r="AK519" s="1147"/>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1"/>
      <c r="C520" s="1342"/>
      <c r="D520" s="1342"/>
      <c r="E520" s="1342"/>
      <c r="F520" s="1342"/>
      <c r="G520" s="1342"/>
      <c r="H520" s="1343"/>
      <c r="I520" s="54" t="s">
        <v>723</v>
      </c>
      <c r="J520" s="54"/>
      <c r="K520" s="54"/>
      <c r="L520" s="54"/>
      <c r="M520" s="54"/>
      <c r="N520" s="54"/>
      <c r="O520" s="54"/>
      <c r="P520" s="54"/>
      <c r="Q520" s="54"/>
      <c r="R520" s="54"/>
      <c r="S520" s="54"/>
      <c r="T520" s="54"/>
      <c r="U520" s="54"/>
      <c r="V520" s="54"/>
      <c r="W520" s="54"/>
      <c r="X520" s="54"/>
      <c r="Y520" s="54"/>
      <c r="Z520" s="54"/>
      <c r="AA520" s="54"/>
      <c r="AB520" s="54"/>
      <c r="AC520" s="1285" t="s">
        <v>132</v>
      </c>
      <c r="AD520" s="1286"/>
      <c r="AE520" s="1286"/>
      <c r="AF520" s="1286"/>
      <c r="AG520" s="47" t="s">
        <v>263</v>
      </c>
      <c r="AH520" s="1146"/>
      <c r="AI520" s="1146"/>
      <c r="AJ520" s="1146"/>
      <c r="AK520" s="1147"/>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1"/>
      <c r="C521" s="1342"/>
      <c r="D521" s="1342"/>
      <c r="E521" s="1342"/>
      <c r="F521" s="1342"/>
      <c r="G521" s="1342"/>
      <c r="H521" s="1343"/>
      <c r="I521" s="7" t="s">
        <v>724</v>
      </c>
      <c r="J521" s="7"/>
      <c r="K521" s="7"/>
      <c r="L521" s="7"/>
      <c r="M521" s="7"/>
      <c r="N521" s="7"/>
      <c r="O521" s="1324" t="s">
        <v>593</v>
      </c>
      <c r="P521" s="1299"/>
      <c r="Q521" s="1299"/>
      <c r="R521" s="1299"/>
      <c r="S521" s="1299"/>
      <c r="T521" s="1299"/>
      <c r="U521" s="1299"/>
      <c r="V521" s="1299"/>
      <c r="W521" s="1299"/>
      <c r="X521" s="1299"/>
      <c r="Y521" s="1299"/>
      <c r="Z521" s="1299"/>
      <c r="AA521" s="1299"/>
      <c r="AC521" s="1285" t="s">
        <v>132</v>
      </c>
      <c r="AD521" s="1286"/>
      <c r="AE521" s="1286"/>
      <c r="AF521" s="1286"/>
      <c r="AG521" s="18" t="s">
        <v>263</v>
      </c>
      <c r="AH521" s="1146"/>
      <c r="AI521" s="1146"/>
      <c r="AJ521" s="1146"/>
      <c r="AK521" s="1147"/>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1"/>
      <c r="C522" s="1342"/>
      <c r="D522" s="1342"/>
      <c r="E522" s="1342"/>
      <c r="F522" s="1342"/>
      <c r="G522" s="1342"/>
      <c r="H522" s="1343"/>
      <c r="I522" t="s">
        <v>722</v>
      </c>
      <c r="AC522" s="1285" t="s">
        <v>132</v>
      </c>
      <c r="AD522" s="1286"/>
      <c r="AE522" s="1286"/>
      <c r="AF522" s="1286"/>
      <c r="AG522" s="18" t="s">
        <v>263</v>
      </c>
      <c r="AH522" s="1146"/>
      <c r="AI522" s="1146"/>
      <c r="AJ522" s="1146"/>
      <c r="AK522" s="1147"/>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1"/>
      <c r="C523" s="1342"/>
      <c r="D523" s="1342"/>
      <c r="E523" s="1342"/>
      <c r="F523" s="1342"/>
      <c r="G523" s="1342"/>
      <c r="H523" s="1343"/>
      <c r="I523" s="54" t="s">
        <v>723</v>
      </c>
      <c r="J523" s="54"/>
      <c r="K523" s="54"/>
      <c r="L523" s="54"/>
      <c r="M523" s="54"/>
      <c r="N523" s="54"/>
      <c r="O523" s="54"/>
      <c r="P523" s="54"/>
      <c r="Q523" s="54"/>
      <c r="R523" s="54"/>
      <c r="S523" s="54"/>
      <c r="T523" s="54"/>
      <c r="U523" s="54"/>
      <c r="V523" s="54"/>
      <c r="W523" s="54"/>
      <c r="X523" s="54"/>
      <c r="Y523" s="54"/>
      <c r="Z523" s="54"/>
      <c r="AA523" s="54"/>
      <c r="AB523" s="54"/>
      <c r="AC523" s="1285" t="s">
        <v>132</v>
      </c>
      <c r="AD523" s="1286"/>
      <c r="AE523" s="1286"/>
      <c r="AF523" s="1286"/>
      <c r="AG523" s="47" t="s">
        <v>263</v>
      </c>
      <c r="AH523" s="1146"/>
      <c r="AI523" s="1146"/>
      <c r="AJ523" s="1146"/>
      <c r="AK523" s="1147"/>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1"/>
      <c r="C524" s="1342"/>
      <c r="D524" s="1342"/>
      <c r="E524" s="1342"/>
      <c r="F524" s="1342"/>
      <c r="G524" s="1342"/>
      <c r="H524" s="1343"/>
      <c r="I524" s="7" t="s">
        <v>724</v>
      </c>
      <c r="J524" s="7"/>
      <c r="K524" s="7"/>
      <c r="L524" s="7"/>
      <c r="M524" s="7"/>
      <c r="N524" s="7"/>
      <c r="O524" s="1324" t="s">
        <v>593</v>
      </c>
      <c r="P524" s="1299"/>
      <c r="Q524" s="1299"/>
      <c r="R524" s="1299"/>
      <c r="S524" s="1299"/>
      <c r="T524" s="1299"/>
      <c r="U524" s="1299"/>
      <c r="V524" s="1299"/>
      <c r="W524" s="1299"/>
      <c r="X524" s="1299"/>
      <c r="Y524" s="1299"/>
      <c r="Z524" s="1299"/>
      <c r="AA524" s="1299"/>
      <c r="AC524" s="1285" t="s">
        <v>132</v>
      </c>
      <c r="AD524" s="1286"/>
      <c r="AE524" s="1286"/>
      <c r="AF524" s="1286"/>
      <c r="AG524" s="18" t="s">
        <v>263</v>
      </c>
      <c r="AH524" s="1146"/>
      <c r="AI524" s="1146"/>
      <c r="AJ524" s="1146"/>
      <c r="AK524" s="1147"/>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1"/>
      <c r="C525" s="1342"/>
      <c r="D525" s="1342"/>
      <c r="E525" s="1342"/>
      <c r="F525" s="1342"/>
      <c r="G525" s="1342"/>
      <c r="H525" s="1343"/>
      <c r="I525" t="s">
        <v>722</v>
      </c>
      <c r="AC525" s="1285" t="s">
        <v>132</v>
      </c>
      <c r="AD525" s="1286"/>
      <c r="AE525" s="1286"/>
      <c r="AF525" s="1286"/>
      <c r="AG525" s="47" t="s">
        <v>263</v>
      </c>
      <c r="AH525" s="1146"/>
      <c r="AI525" s="1146"/>
      <c r="AJ525" s="1146"/>
      <c r="AK525" s="1147"/>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1"/>
      <c r="C526" s="1342"/>
      <c r="D526" s="1342"/>
      <c r="E526" s="1342"/>
      <c r="F526" s="1342"/>
      <c r="G526" s="1342"/>
      <c r="H526" s="1343"/>
      <c r="I526" s="54" t="s">
        <v>723</v>
      </c>
      <c r="J526" s="54"/>
      <c r="K526" s="54"/>
      <c r="L526" s="54"/>
      <c r="M526" s="54"/>
      <c r="N526" s="54"/>
      <c r="O526" s="54"/>
      <c r="P526" s="54"/>
      <c r="Q526" s="54"/>
      <c r="R526" s="54"/>
      <c r="S526" s="54"/>
      <c r="T526" s="54"/>
      <c r="U526" s="54"/>
      <c r="V526" s="54"/>
      <c r="W526" s="54"/>
      <c r="X526" s="54"/>
      <c r="Y526" s="54"/>
      <c r="Z526" s="54"/>
      <c r="AA526" s="54"/>
      <c r="AB526" s="54"/>
      <c r="AC526" s="1285" t="s">
        <v>132</v>
      </c>
      <c r="AD526" s="1286"/>
      <c r="AE526" s="1286"/>
      <c r="AF526" s="1286"/>
      <c r="AG526" s="18" t="s">
        <v>263</v>
      </c>
      <c r="AH526" s="1146"/>
      <c r="AI526" s="1146"/>
      <c r="AJ526" s="1146"/>
      <c r="AK526" s="1147"/>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1"/>
      <c r="C527" s="1342"/>
      <c r="D527" s="1342"/>
      <c r="E527" s="1342"/>
      <c r="F527" s="1342"/>
      <c r="G527" s="1342"/>
      <c r="H527" s="1343"/>
      <c r="I527" s="7" t="s">
        <v>724</v>
      </c>
      <c r="J527" s="7"/>
      <c r="K527" s="7"/>
      <c r="L527" s="7"/>
      <c r="M527" s="7"/>
      <c r="N527" s="7"/>
      <c r="O527" s="1324" t="s">
        <v>593</v>
      </c>
      <c r="P527" s="1299"/>
      <c r="Q527" s="1299"/>
      <c r="R527" s="1299"/>
      <c r="S527" s="1299"/>
      <c r="T527" s="1299"/>
      <c r="U527" s="1299"/>
      <c r="V527" s="1299"/>
      <c r="W527" s="1299"/>
      <c r="X527" s="1299"/>
      <c r="Y527" s="1299"/>
      <c r="Z527" s="1299"/>
      <c r="AA527" s="1299"/>
      <c r="AC527" s="1285" t="s">
        <v>132</v>
      </c>
      <c r="AD527" s="1286"/>
      <c r="AE527" s="1286"/>
      <c r="AF527" s="1286"/>
      <c r="AG527" s="47" t="s">
        <v>263</v>
      </c>
      <c r="AH527" s="1146"/>
      <c r="AI527" s="1146"/>
      <c r="AJ527" s="1146"/>
      <c r="AK527" s="1147"/>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1"/>
      <c r="C528" s="1342"/>
      <c r="D528" s="1342"/>
      <c r="E528" s="1342"/>
      <c r="F528" s="1342"/>
      <c r="G528" s="1342"/>
      <c r="H528" s="1343"/>
      <c r="I528" t="s">
        <v>722</v>
      </c>
      <c r="AC528" s="1285" t="s">
        <v>132</v>
      </c>
      <c r="AD528" s="1286"/>
      <c r="AE528" s="1286"/>
      <c r="AF528" s="1286"/>
      <c r="AG528" s="18" t="s">
        <v>263</v>
      </c>
      <c r="AH528" s="1146"/>
      <c r="AI528" s="1146"/>
      <c r="AJ528" s="1146"/>
      <c r="AK528" s="1147"/>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1"/>
      <c r="C529" s="1342"/>
      <c r="D529" s="1342"/>
      <c r="E529" s="1342"/>
      <c r="F529" s="1342"/>
      <c r="G529" s="1342"/>
      <c r="H529" s="1343"/>
      <c r="I529" s="54" t="s">
        <v>723</v>
      </c>
      <c r="J529" s="54"/>
      <c r="K529" s="54"/>
      <c r="L529" s="54"/>
      <c r="M529" s="54"/>
      <c r="N529" s="54"/>
      <c r="O529" s="54"/>
      <c r="P529" s="54"/>
      <c r="Q529" s="54"/>
      <c r="R529" s="54"/>
      <c r="S529" s="54"/>
      <c r="T529" s="54"/>
      <c r="U529" s="54"/>
      <c r="V529" s="54"/>
      <c r="W529" s="54"/>
      <c r="X529" s="54"/>
      <c r="Y529" s="54"/>
      <c r="Z529" s="54"/>
      <c r="AA529" s="54"/>
      <c r="AB529" s="54"/>
      <c r="AC529" s="1285" t="s">
        <v>132</v>
      </c>
      <c r="AD529" s="1286"/>
      <c r="AE529" s="1286"/>
      <c r="AF529" s="1286"/>
      <c r="AG529" s="47" t="s">
        <v>263</v>
      </c>
      <c r="AH529" s="1146"/>
      <c r="AI529" s="1146"/>
      <c r="AJ529" s="1146"/>
      <c r="AK529" s="1147"/>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1"/>
      <c r="C530" s="1342"/>
      <c r="D530" s="1342"/>
      <c r="E530" s="1342"/>
      <c r="F530" s="1342"/>
      <c r="G530" s="1342"/>
      <c r="H530" s="1343"/>
      <c r="I530" s="7" t="s">
        <v>771</v>
      </c>
      <c r="J530" s="7"/>
      <c r="K530" s="7"/>
      <c r="L530" s="7"/>
      <c r="M530" s="7"/>
      <c r="N530" s="7"/>
      <c r="O530" s="7"/>
      <c r="P530" s="7"/>
      <c r="Q530" s="7"/>
      <c r="R530" s="7"/>
      <c r="S530" s="7"/>
      <c r="T530" s="7"/>
      <c r="U530" s="7"/>
      <c r="V530" s="7"/>
      <c r="W530" s="7"/>
      <c r="AC530" s="1285">
        <v>1</v>
      </c>
      <c r="AD530" s="1286"/>
      <c r="AE530" s="1286"/>
      <c r="AF530" s="1286"/>
      <c r="AG530" s="47" t="s">
        <v>263</v>
      </c>
      <c r="AH530" s="1146">
        <v>2024</v>
      </c>
      <c r="AI530" s="1146"/>
      <c r="AJ530" s="1146"/>
      <c r="AK530" s="1147"/>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1"/>
      <c r="C531" s="1342"/>
      <c r="D531" s="1342"/>
      <c r="E531" s="1342"/>
      <c r="F531" s="1342"/>
      <c r="G531" s="1342"/>
      <c r="H531" s="1343"/>
      <c r="I531" t="s">
        <v>772</v>
      </c>
      <c r="AC531" s="1285">
        <v>1</v>
      </c>
      <c r="AD531" s="1286"/>
      <c r="AE531" s="1286"/>
      <c r="AF531" s="1286"/>
      <c r="AG531" s="18" t="s">
        <v>263</v>
      </c>
      <c r="AH531" s="1146">
        <v>2024</v>
      </c>
      <c r="AI531" s="1146"/>
      <c r="AJ531" s="1146"/>
      <c r="AK531" s="1147"/>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1"/>
      <c r="C532" s="1342"/>
      <c r="D532" s="1342"/>
      <c r="E532" s="1342"/>
      <c r="F532" s="1342"/>
      <c r="G532" s="1342"/>
      <c r="H532" s="1343"/>
      <c r="I532" t="s">
        <v>773</v>
      </c>
      <c r="AC532" s="1285">
        <v>9</v>
      </c>
      <c r="AD532" s="1286"/>
      <c r="AE532" s="1286"/>
      <c r="AF532" s="1286"/>
      <c r="AG532" s="47" t="s">
        <v>263</v>
      </c>
      <c r="AH532" s="1146">
        <v>2025</v>
      </c>
      <c r="AI532" s="1146"/>
      <c r="AJ532" s="1146"/>
      <c r="AK532" s="1147"/>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1"/>
      <c r="C533" s="1342"/>
      <c r="D533" s="1342"/>
      <c r="E533" s="1342"/>
      <c r="F533" s="1342"/>
      <c r="G533" s="1342"/>
      <c r="H533" s="1343"/>
      <c r="I533" t="s">
        <v>774</v>
      </c>
      <c r="AC533" s="1285">
        <v>9</v>
      </c>
      <c r="AD533" s="1286"/>
      <c r="AE533" s="1286"/>
      <c r="AF533" s="1286"/>
      <c r="AG533" s="47" t="s">
        <v>263</v>
      </c>
      <c r="AH533" s="1146">
        <v>2025</v>
      </c>
      <c r="AI533" s="1146"/>
      <c r="AJ533" s="1146"/>
      <c r="AK533" s="1147"/>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6"/>
      <c r="C534" s="1377"/>
      <c r="D534" s="1377"/>
      <c r="E534" s="1377"/>
      <c r="F534" s="1377"/>
      <c r="G534" s="1377"/>
      <c r="H534" s="1378"/>
      <c r="I534" s="54" t="s">
        <v>1428</v>
      </c>
      <c r="J534" s="54"/>
      <c r="K534" s="54"/>
      <c r="L534" s="54"/>
      <c r="M534" s="54"/>
      <c r="N534" s="54"/>
      <c r="O534" s="54"/>
      <c r="P534" s="54"/>
      <c r="Q534" s="54"/>
      <c r="R534" s="54"/>
      <c r="S534" s="54"/>
      <c r="T534" s="54"/>
      <c r="U534" s="54"/>
      <c r="V534" s="54"/>
      <c r="W534" s="54"/>
      <c r="X534" s="54"/>
      <c r="Y534" s="54"/>
      <c r="Z534" s="54"/>
      <c r="AA534" s="54"/>
      <c r="AB534" s="54"/>
      <c r="AC534" s="1285">
        <v>11</v>
      </c>
      <c r="AD534" s="1286"/>
      <c r="AE534" s="1286"/>
      <c r="AF534" s="1286"/>
      <c r="AG534" s="47" t="s">
        <v>263</v>
      </c>
      <c r="AH534" s="1146">
        <v>2025</v>
      </c>
      <c r="AI534" s="1146"/>
      <c r="AJ534" s="1146"/>
      <c r="AK534" s="1147"/>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8" t="s">
        <v>2325</v>
      </c>
      <c r="C543" s="1339"/>
      <c r="D543" s="1339"/>
      <c r="E543" s="1339"/>
      <c r="F543" s="1339"/>
      <c r="G543" s="1339"/>
      <c r="H543" s="1339"/>
      <c r="I543" s="1339"/>
      <c r="J543" s="1339"/>
      <c r="K543" s="1339"/>
      <c r="L543" s="1339"/>
      <c r="M543" s="1430" t="s">
        <v>2299</v>
      </c>
      <c r="N543" s="1430"/>
      <c r="O543" s="1430"/>
      <c r="P543" s="1430"/>
      <c r="Q543" s="1338" t="s">
        <v>469</v>
      </c>
      <c r="R543" s="1339"/>
      <c r="S543" s="1340"/>
      <c r="T543" s="1338" t="s">
        <v>2089</v>
      </c>
      <c r="U543" s="1339"/>
      <c r="V543" s="1340"/>
      <c r="W543" s="1338" t="s">
        <v>776</v>
      </c>
      <c r="X543" s="1339"/>
      <c r="Y543" s="1340"/>
      <c r="Z543" s="1338" t="s">
        <v>2091</v>
      </c>
      <c r="AA543" s="1339"/>
      <c r="AB543" s="1339"/>
      <c r="AC543" s="1339"/>
      <c r="AD543" s="1340"/>
      <c r="AE543" s="1338" t="s">
        <v>2090</v>
      </c>
      <c r="AF543" s="1339"/>
      <c r="AG543" s="1339"/>
      <c r="AH543" s="1340"/>
      <c r="AI543" s="1338" t="s">
        <v>2092</v>
      </c>
      <c r="AJ543" s="1339"/>
      <c r="AK543" s="1339"/>
      <c r="AL543" s="1340"/>
      <c r="AM543" s="1338" t="s">
        <v>777</v>
      </c>
      <c r="AN543" s="1339"/>
      <c r="AO543" s="1339"/>
      <c r="AP543" s="1339"/>
      <c r="AQ543" s="1339"/>
      <c r="AR543" s="1339"/>
      <c r="AS543" s="134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1"/>
      <c r="C544" s="1342"/>
      <c r="D544" s="1342"/>
      <c r="E544" s="1342"/>
      <c r="F544" s="1342"/>
      <c r="G544" s="1342"/>
      <c r="H544" s="1342"/>
      <c r="I544" s="1342"/>
      <c r="J544" s="1342"/>
      <c r="K544" s="1342"/>
      <c r="L544" s="1342"/>
      <c r="M544" s="1430"/>
      <c r="N544" s="1430"/>
      <c r="O544" s="1430"/>
      <c r="P544" s="1430"/>
      <c r="Q544" s="1341"/>
      <c r="R544" s="1342"/>
      <c r="S544" s="1343"/>
      <c r="T544" s="1341"/>
      <c r="U544" s="1342"/>
      <c r="V544" s="1343"/>
      <c r="W544" s="1341"/>
      <c r="X544" s="1342"/>
      <c r="Y544" s="1343"/>
      <c r="Z544" s="1341"/>
      <c r="AA544" s="1342"/>
      <c r="AB544" s="1342"/>
      <c r="AC544" s="1342"/>
      <c r="AD544" s="1343"/>
      <c r="AE544" s="1341"/>
      <c r="AF544" s="1342"/>
      <c r="AG544" s="1342"/>
      <c r="AH544" s="1343"/>
      <c r="AI544" s="1341"/>
      <c r="AJ544" s="1342"/>
      <c r="AK544" s="1342"/>
      <c r="AL544" s="1343"/>
      <c r="AM544" s="1341"/>
      <c r="AN544" s="1342"/>
      <c r="AO544" s="1342"/>
      <c r="AP544" s="1342"/>
      <c r="AQ544" s="1342"/>
      <c r="AR544" s="1342"/>
      <c r="AS544" s="134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6"/>
      <c r="C545" s="1377"/>
      <c r="D545" s="1377"/>
      <c r="E545" s="1377"/>
      <c r="F545" s="1377"/>
      <c r="G545" s="1377"/>
      <c r="H545" s="1377"/>
      <c r="I545" s="1377"/>
      <c r="J545" s="1377"/>
      <c r="K545" s="1377"/>
      <c r="L545" s="1377"/>
      <c r="M545" s="1430"/>
      <c r="N545" s="1430"/>
      <c r="O545" s="1430"/>
      <c r="P545" s="1430"/>
      <c r="Q545" s="1376"/>
      <c r="R545" s="1377"/>
      <c r="S545" s="1378"/>
      <c r="T545" s="1376"/>
      <c r="U545" s="1377"/>
      <c r="V545" s="1378"/>
      <c r="W545" s="1376"/>
      <c r="X545" s="1377"/>
      <c r="Y545" s="1378"/>
      <c r="Z545" s="1376"/>
      <c r="AA545" s="1377"/>
      <c r="AB545" s="1377"/>
      <c r="AC545" s="1377"/>
      <c r="AD545" s="1378"/>
      <c r="AE545" s="1376"/>
      <c r="AF545" s="1377"/>
      <c r="AG545" s="1377"/>
      <c r="AH545" s="1378"/>
      <c r="AI545" s="1376"/>
      <c r="AJ545" s="1377"/>
      <c r="AK545" s="1377"/>
      <c r="AL545" s="1378"/>
      <c r="AM545" s="1376"/>
      <c r="AN545" s="1377"/>
      <c r="AO545" s="1377"/>
      <c r="AP545" s="1377"/>
      <c r="AQ545" s="1377"/>
      <c r="AR545" s="1377"/>
      <c r="AS545" s="13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425" t="s">
        <v>2474</v>
      </c>
      <c r="D546" s="1425"/>
      <c r="E546" s="1425"/>
      <c r="F546" s="1425"/>
      <c r="G546" s="1425"/>
      <c r="H546" s="1425"/>
      <c r="I546" s="1425"/>
      <c r="J546" s="1425"/>
      <c r="K546" s="1425"/>
      <c r="L546" s="1425"/>
      <c r="M546" s="1426" t="s">
        <v>2315</v>
      </c>
      <c r="N546" s="1426"/>
      <c r="O546" s="1426"/>
      <c r="P546" s="1426"/>
      <c r="Q546" s="1272">
        <v>26</v>
      </c>
      <c r="R546" s="1272"/>
      <c r="S546" s="1273"/>
      <c r="T546" s="1271"/>
      <c r="U546" s="1272"/>
      <c r="V546" s="1273"/>
      <c r="W546" s="1274">
        <v>0.08</v>
      </c>
      <c r="X546" s="1275"/>
      <c r="Y546" s="1276"/>
      <c r="Z546" s="1277" t="s">
        <v>2475</v>
      </c>
      <c r="AA546" s="1277"/>
      <c r="AB546" s="1277"/>
      <c r="AC546" s="1277"/>
      <c r="AD546" s="1277"/>
      <c r="AE546" s="1278">
        <v>1</v>
      </c>
      <c r="AF546" s="1279"/>
      <c r="AG546" s="1279"/>
      <c r="AH546" s="1280"/>
      <c r="AI546" s="1281"/>
      <c r="AJ546" s="1282"/>
      <c r="AK546" s="1282"/>
      <c r="AL546" s="1283"/>
      <c r="AM546" s="1165">
        <v>32000000</v>
      </c>
      <c r="AN546" s="1166"/>
      <c r="AO546" s="1166"/>
      <c r="AP546" s="1166"/>
      <c r="AQ546" s="1166"/>
      <c r="AR546" s="1166"/>
      <c r="AS546" s="1167"/>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425" t="s">
        <v>2454</v>
      </c>
      <c r="D547" s="1425"/>
      <c r="E547" s="1425"/>
      <c r="F547" s="1425"/>
      <c r="G547" s="1425"/>
      <c r="H547" s="1425"/>
      <c r="I547" s="1425"/>
      <c r="J547" s="1425"/>
      <c r="K547" s="1425"/>
      <c r="L547" s="1425"/>
      <c r="M547" s="1426" t="s">
        <v>2306</v>
      </c>
      <c r="N547" s="1426"/>
      <c r="O547" s="1426"/>
      <c r="P547" s="1426"/>
      <c r="Q547" s="1271"/>
      <c r="R547" s="1272"/>
      <c r="S547" s="1273"/>
      <c r="T547" s="1271"/>
      <c r="U547" s="1272"/>
      <c r="V547" s="1273"/>
      <c r="W547" s="1274"/>
      <c r="X547" s="1275"/>
      <c r="Y547" s="1276"/>
      <c r="Z547" s="1277" t="s">
        <v>132</v>
      </c>
      <c r="AA547" s="1277"/>
      <c r="AB547" s="1277"/>
      <c r="AC547" s="1277"/>
      <c r="AD547" s="1277"/>
      <c r="AE547" s="1278"/>
      <c r="AF547" s="1279"/>
      <c r="AG547" s="1279"/>
      <c r="AH547" s="1280"/>
      <c r="AI547" s="1281"/>
      <c r="AJ547" s="1282"/>
      <c r="AK547" s="1282"/>
      <c r="AL547" s="1283"/>
      <c r="AM547" s="1165">
        <v>3525000</v>
      </c>
      <c r="AN547" s="1166"/>
      <c r="AO547" s="1166"/>
      <c r="AP547" s="1166"/>
      <c r="AQ547" s="1166"/>
      <c r="AR547" s="1166"/>
      <c r="AS547" s="1167"/>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425" t="s">
        <v>2455</v>
      </c>
      <c r="D548" s="1425"/>
      <c r="E548" s="1425"/>
      <c r="F548" s="1425"/>
      <c r="G548" s="1425"/>
      <c r="H548" s="1425"/>
      <c r="I548" s="1425"/>
      <c r="J548" s="1425"/>
      <c r="K548" s="1425"/>
      <c r="L548" s="1425"/>
      <c r="M548" s="1426" t="s">
        <v>2306</v>
      </c>
      <c r="N548" s="1426"/>
      <c r="O548" s="1426"/>
      <c r="P548" s="1426"/>
      <c r="Q548" s="1271"/>
      <c r="R548" s="1272"/>
      <c r="S548" s="1273"/>
      <c r="T548" s="1271"/>
      <c r="U548" s="1272"/>
      <c r="V548" s="1273"/>
      <c r="W548" s="1274"/>
      <c r="X548" s="1275"/>
      <c r="Y548" s="1276"/>
      <c r="Z548" s="1277" t="s">
        <v>132</v>
      </c>
      <c r="AA548" s="1277"/>
      <c r="AB548" s="1277"/>
      <c r="AC548" s="1277"/>
      <c r="AD548" s="1277"/>
      <c r="AE548" s="1278"/>
      <c r="AF548" s="1279"/>
      <c r="AG548" s="1279"/>
      <c r="AH548" s="1280"/>
      <c r="AI548" s="1281"/>
      <c r="AJ548" s="1282"/>
      <c r="AK548" s="1282"/>
      <c r="AL548" s="1283"/>
      <c r="AM548" s="1165">
        <v>1273906.46867685</v>
      </c>
      <c r="AN548" s="1166"/>
      <c r="AO548" s="1166"/>
      <c r="AP548" s="1166"/>
      <c r="AQ548" s="1166"/>
      <c r="AR548" s="1166"/>
      <c r="AS548" s="1167"/>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25" t="s">
        <v>2426</v>
      </c>
      <c r="D549" s="1425"/>
      <c r="E549" s="1425"/>
      <c r="F549" s="1425"/>
      <c r="G549" s="1425"/>
      <c r="H549" s="1425"/>
      <c r="I549" s="1425"/>
      <c r="J549" s="1425"/>
      <c r="K549" s="1425"/>
      <c r="L549" s="1425"/>
      <c r="M549" s="1426" t="s">
        <v>2301</v>
      </c>
      <c r="N549" s="1426"/>
      <c r="O549" s="1426"/>
      <c r="P549" s="1426"/>
      <c r="Q549" s="1271"/>
      <c r="R549" s="1272"/>
      <c r="S549" s="1273"/>
      <c r="T549" s="1271"/>
      <c r="U549" s="1272"/>
      <c r="V549" s="1273"/>
      <c r="W549" s="1274"/>
      <c r="X549" s="1275"/>
      <c r="Y549" s="1276"/>
      <c r="Z549" s="1277" t="s">
        <v>132</v>
      </c>
      <c r="AA549" s="1277"/>
      <c r="AB549" s="1277"/>
      <c r="AC549" s="1277"/>
      <c r="AD549" s="1277"/>
      <c r="AE549" s="1278"/>
      <c r="AF549" s="1279"/>
      <c r="AG549" s="1279"/>
      <c r="AH549" s="1280"/>
      <c r="AI549" s="1281"/>
      <c r="AJ549" s="1282"/>
      <c r="AK549" s="1282"/>
      <c r="AL549" s="1283"/>
      <c r="AM549" s="1165">
        <v>208112</v>
      </c>
      <c r="AN549" s="1166"/>
      <c r="AO549" s="1166"/>
      <c r="AP549" s="1166"/>
      <c r="AQ549" s="1166"/>
      <c r="AR549" s="1166"/>
      <c r="AS549" s="1167"/>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25" t="s">
        <v>2427</v>
      </c>
      <c r="D550" s="1425"/>
      <c r="E550" s="1425"/>
      <c r="F550" s="1425"/>
      <c r="G550" s="1425"/>
      <c r="H550" s="1425"/>
      <c r="I550" s="1425"/>
      <c r="J550" s="1425"/>
      <c r="K550" s="1425"/>
      <c r="L550" s="1425"/>
      <c r="M550" s="1426" t="s">
        <v>2302</v>
      </c>
      <c r="N550" s="1426"/>
      <c r="O550" s="1426"/>
      <c r="P550" s="1426"/>
      <c r="Q550" s="1271"/>
      <c r="R550" s="1272"/>
      <c r="S550" s="1273"/>
      <c r="T550" s="1271"/>
      <c r="U550" s="1272"/>
      <c r="V550" s="1273"/>
      <c r="W550" s="1274"/>
      <c r="X550" s="1275"/>
      <c r="Y550" s="1276"/>
      <c r="Z550" s="1277" t="s">
        <v>132</v>
      </c>
      <c r="AA550" s="1277"/>
      <c r="AB550" s="1277"/>
      <c r="AC550" s="1277"/>
      <c r="AD550" s="1277"/>
      <c r="AE550" s="1278"/>
      <c r="AF550" s="1279"/>
      <c r="AG550" s="1279"/>
      <c r="AH550" s="1280"/>
      <c r="AI550" s="1281"/>
      <c r="AJ550" s="1282"/>
      <c r="AK550" s="1282"/>
      <c r="AL550" s="1283"/>
      <c r="AM550" s="1165">
        <v>1804945.2403514001</v>
      </c>
      <c r="AN550" s="1166"/>
      <c r="AO550" s="1166"/>
      <c r="AP550" s="1166"/>
      <c r="AQ550" s="1166"/>
      <c r="AR550" s="1166"/>
      <c r="AS550" s="1167"/>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25"/>
      <c r="D551" s="1425"/>
      <c r="E551" s="1425"/>
      <c r="F551" s="1425"/>
      <c r="G551" s="1425"/>
      <c r="H551" s="1425"/>
      <c r="I551" s="1425"/>
      <c r="J551" s="1425"/>
      <c r="K551" s="1425"/>
      <c r="L551" s="1425"/>
      <c r="M551" s="1426" t="s">
        <v>2077</v>
      </c>
      <c r="N551" s="1426"/>
      <c r="O551" s="1426"/>
      <c r="P551" s="1426"/>
      <c r="Q551" s="1271"/>
      <c r="R551" s="1272"/>
      <c r="S551" s="1273"/>
      <c r="T551" s="1271"/>
      <c r="U551" s="1272"/>
      <c r="V551" s="1273"/>
      <c r="W551" s="1274"/>
      <c r="X551" s="1275"/>
      <c r="Y551" s="1276"/>
      <c r="Z551" s="1277" t="s">
        <v>2077</v>
      </c>
      <c r="AA551" s="1277"/>
      <c r="AB551" s="1277"/>
      <c r="AC551" s="1277"/>
      <c r="AD551" s="1277"/>
      <c r="AE551" s="1278"/>
      <c r="AF551" s="1279"/>
      <c r="AG551" s="1279"/>
      <c r="AH551" s="1280"/>
      <c r="AI551" s="1281"/>
      <c r="AJ551" s="1282"/>
      <c r="AK551" s="1282"/>
      <c r="AL551" s="1283"/>
      <c r="AM551" s="1165"/>
      <c r="AN551" s="1166"/>
      <c r="AO551" s="1166"/>
      <c r="AP551" s="1166"/>
      <c r="AQ551" s="1166"/>
      <c r="AR551" s="1166"/>
      <c r="AS551" s="1167"/>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425"/>
      <c r="D552" s="1425"/>
      <c r="E552" s="1425"/>
      <c r="F552" s="1425"/>
      <c r="G552" s="1425"/>
      <c r="H552" s="1425"/>
      <c r="I552" s="1425"/>
      <c r="J552" s="1425"/>
      <c r="K552" s="1425"/>
      <c r="L552" s="1425"/>
      <c r="M552" s="1426" t="s">
        <v>2077</v>
      </c>
      <c r="N552" s="1426"/>
      <c r="O552" s="1426"/>
      <c r="P552" s="1426"/>
      <c r="Q552" s="1271"/>
      <c r="R552" s="1272"/>
      <c r="S552" s="1273"/>
      <c r="T552" s="1271"/>
      <c r="U552" s="1272"/>
      <c r="V552" s="1273"/>
      <c r="W552" s="1274"/>
      <c r="X552" s="1275"/>
      <c r="Y552" s="1276"/>
      <c r="Z552" s="1277" t="s">
        <v>2077</v>
      </c>
      <c r="AA552" s="1277"/>
      <c r="AB552" s="1277"/>
      <c r="AC552" s="1277"/>
      <c r="AD552" s="1277"/>
      <c r="AE552" s="1278"/>
      <c r="AF552" s="1279"/>
      <c r="AG552" s="1279"/>
      <c r="AH552" s="1280"/>
      <c r="AI552" s="1281"/>
      <c r="AJ552" s="1282"/>
      <c r="AK552" s="1282"/>
      <c r="AL552" s="1283"/>
      <c r="AM552" s="1165"/>
      <c r="AN552" s="1166"/>
      <c r="AO552" s="1166"/>
      <c r="AP552" s="1166"/>
      <c r="AQ552" s="1166"/>
      <c r="AR552" s="1166"/>
      <c r="AS552" s="1167"/>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425"/>
      <c r="D553" s="1425"/>
      <c r="E553" s="1425"/>
      <c r="F553" s="1425"/>
      <c r="G553" s="1425"/>
      <c r="H553" s="1425"/>
      <c r="I553" s="1425"/>
      <c r="J553" s="1425"/>
      <c r="K553" s="1425"/>
      <c r="L553" s="1425"/>
      <c r="M553" s="1426" t="s">
        <v>2077</v>
      </c>
      <c r="N553" s="1426"/>
      <c r="O553" s="1426"/>
      <c r="P553" s="1426"/>
      <c r="Q553" s="1271"/>
      <c r="R553" s="1272"/>
      <c r="S553" s="1273"/>
      <c r="T553" s="1271"/>
      <c r="U553" s="1272"/>
      <c r="V553" s="1273"/>
      <c r="W553" s="1274"/>
      <c r="X553" s="1275"/>
      <c r="Y553" s="1276"/>
      <c r="Z553" s="1277" t="s">
        <v>2077</v>
      </c>
      <c r="AA553" s="1277"/>
      <c r="AB553" s="1277"/>
      <c r="AC553" s="1277"/>
      <c r="AD553" s="1277"/>
      <c r="AE553" s="1278"/>
      <c r="AF553" s="1279"/>
      <c r="AG553" s="1279"/>
      <c r="AH553" s="1280"/>
      <c r="AI553" s="1281"/>
      <c r="AJ553" s="1282"/>
      <c r="AK553" s="1282"/>
      <c r="AL553" s="1283"/>
      <c r="AM553" s="1165"/>
      <c r="AN553" s="1166"/>
      <c r="AO553" s="1166"/>
      <c r="AP553" s="1166"/>
      <c r="AQ553" s="1166"/>
      <c r="AR553" s="1166"/>
      <c r="AS553" s="1167"/>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425"/>
      <c r="D554" s="1425"/>
      <c r="E554" s="1425"/>
      <c r="F554" s="1425"/>
      <c r="G554" s="1425"/>
      <c r="H554" s="1425"/>
      <c r="I554" s="1425"/>
      <c r="J554" s="1425"/>
      <c r="K554" s="1425"/>
      <c r="L554" s="1425"/>
      <c r="M554" s="1426" t="s">
        <v>2077</v>
      </c>
      <c r="N554" s="1426"/>
      <c r="O554" s="1426"/>
      <c r="P554" s="1426"/>
      <c r="Q554" s="1271"/>
      <c r="R554" s="1272"/>
      <c r="S554" s="1273"/>
      <c r="T554" s="1271"/>
      <c r="U554" s="1272"/>
      <c r="V554" s="1273"/>
      <c r="W554" s="1274"/>
      <c r="X554" s="1275"/>
      <c r="Y554" s="1276"/>
      <c r="Z554" s="1277" t="s">
        <v>2077</v>
      </c>
      <c r="AA554" s="1277"/>
      <c r="AB554" s="1277"/>
      <c r="AC554" s="1277"/>
      <c r="AD554" s="1277"/>
      <c r="AE554" s="1278"/>
      <c r="AF554" s="1279"/>
      <c r="AG554" s="1279"/>
      <c r="AH554" s="1280"/>
      <c r="AI554" s="1281"/>
      <c r="AJ554" s="1282"/>
      <c r="AK554" s="1282"/>
      <c r="AL554" s="1283"/>
      <c r="AM554" s="1165"/>
      <c r="AN554" s="1166"/>
      <c r="AO554" s="1166"/>
      <c r="AP554" s="1166"/>
      <c r="AQ554" s="1166"/>
      <c r="AR554" s="1166"/>
      <c r="AS554" s="1167"/>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25"/>
      <c r="D555" s="1425"/>
      <c r="E555" s="1425"/>
      <c r="F555" s="1425"/>
      <c r="G555" s="1425"/>
      <c r="H555" s="1425"/>
      <c r="I555" s="1425"/>
      <c r="J555" s="1425"/>
      <c r="K555" s="1425"/>
      <c r="L555" s="1425"/>
      <c r="M555" s="1426" t="s">
        <v>2077</v>
      </c>
      <c r="N555" s="1426"/>
      <c r="O555" s="1426"/>
      <c r="P555" s="1426"/>
      <c r="Q555" s="1271"/>
      <c r="R555" s="1272"/>
      <c r="S555" s="1273"/>
      <c r="T555" s="1271"/>
      <c r="U555" s="1272"/>
      <c r="V555" s="1273"/>
      <c r="W555" s="1274"/>
      <c r="X555" s="1275"/>
      <c r="Y555" s="1276"/>
      <c r="Z555" s="1277" t="s">
        <v>2077</v>
      </c>
      <c r="AA555" s="1277"/>
      <c r="AB555" s="1277"/>
      <c r="AC555" s="1277"/>
      <c r="AD555" s="1277"/>
      <c r="AE555" s="1278"/>
      <c r="AF555" s="1279"/>
      <c r="AG555" s="1279"/>
      <c r="AH555" s="1280"/>
      <c r="AI555" s="1281"/>
      <c r="AJ555" s="1282"/>
      <c r="AK555" s="1282"/>
      <c r="AL555" s="1283"/>
      <c r="AM555" s="1165"/>
      <c r="AN555" s="1166"/>
      <c r="AO555" s="1166"/>
      <c r="AP555" s="1166"/>
      <c r="AQ555" s="1166"/>
      <c r="AR555" s="1166"/>
      <c r="AS555" s="1167"/>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5"/>
      <c r="D556" s="1425"/>
      <c r="E556" s="1425"/>
      <c r="F556" s="1425"/>
      <c r="G556" s="1425"/>
      <c r="H556" s="1425"/>
      <c r="I556" s="1425"/>
      <c r="J556" s="1425"/>
      <c r="K556" s="1425"/>
      <c r="L556" s="1425"/>
      <c r="M556" s="1426" t="s">
        <v>2077</v>
      </c>
      <c r="N556" s="1426"/>
      <c r="O556" s="1426"/>
      <c r="P556" s="1426"/>
      <c r="Q556" s="1271"/>
      <c r="R556" s="1272"/>
      <c r="S556" s="1273"/>
      <c r="T556" s="1271"/>
      <c r="U556" s="1272"/>
      <c r="V556" s="1273"/>
      <c r="W556" s="1274"/>
      <c r="X556" s="1275"/>
      <c r="Y556" s="1276"/>
      <c r="Z556" s="1277" t="s">
        <v>2077</v>
      </c>
      <c r="AA556" s="1277"/>
      <c r="AB556" s="1277"/>
      <c r="AC556" s="1277"/>
      <c r="AD556" s="1277"/>
      <c r="AE556" s="1278"/>
      <c r="AF556" s="1279"/>
      <c r="AG556" s="1279"/>
      <c r="AH556" s="1280"/>
      <c r="AI556" s="1281"/>
      <c r="AJ556" s="1282"/>
      <c r="AK556" s="1282"/>
      <c r="AL556" s="1283"/>
      <c r="AM556" s="1165"/>
      <c r="AN556" s="1166"/>
      <c r="AO556" s="1166"/>
      <c r="AP556" s="1166"/>
      <c r="AQ556" s="1166"/>
      <c r="AR556" s="1166"/>
      <c r="AS556" s="1167"/>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5"/>
      <c r="D557" s="1425"/>
      <c r="E557" s="1425"/>
      <c r="F557" s="1425"/>
      <c r="G557" s="1425"/>
      <c r="H557" s="1425"/>
      <c r="I557" s="1425"/>
      <c r="J557" s="1425"/>
      <c r="K557" s="1425"/>
      <c r="L557" s="1425"/>
      <c r="M557" s="1426" t="s">
        <v>2077</v>
      </c>
      <c r="N557" s="1426"/>
      <c r="O557" s="1426"/>
      <c r="P557" s="1426"/>
      <c r="Q557" s="1271"/>
      <c r="R557" s="1272"/>
      <c r="S557" s="1273"/>
      <c r="T557" s="1271"/>
      <c r="U557" s="1272"/>
      <c r="V557" s="1273"/>
      <c r="W557" s="1274"/>
      <c r="X557" s="1275"/>
      <c r="Y557" s="1276"/>
      <c r="Z557" s="1277" t="s">
        <v>2077</v>
      </c>
      <c r="AA557" s="1277"/>
      <c r="AB557" s="1277"/>
      <c r="AC557" s="1277"/>
      <c r="AD557" s="1277"/>
      <c r="AE557" s="1278"/>
      <c r="AF557" s="1279"/>
      <c r="AG557" s="1279"/>
      <c r="AH557" s="1280"/>
      <c r="AI557" s="1281"/>
      <c r="AJ557" s="1282"/>
      <c r="AK557" s="1282"/>
      <c r="AL557" s="1283"/>
      <c r="AM557" s="1165"/>
      <c r="AN557" s="1166"/>
      <c r="AO557" s="1166"/>
      <c r="AP557" s="1166"/>
      <c r="AQ557" s="1166"/>
      <c r="AR557" s="1166"/>
      <c r="AS557" s="1167"/>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39" t="s">
        <v>382</v>
      </c>
      <c r="C558" s="1140"/>
      <c r="D558" s="1140"/>
      <c r="E558" s="1140"/>
      <c r="F558" s="1140"/>
      <c r="G558" s="1140"/>
      <c r="H558" s="1140"/>
      <c r="I558" s="1140"/>
      <c r="J558" s="1140"/>
      <c r="K558" s="1140"/>
      <c r="L558" s="1140"/>
      <c r="M558" s="1140"/>
      <c r="N558" s="1140"/>
      <c r="O558" s="1140"/>
      <c r="P558" s="1140"/>
      <c r="Q558" s="1140"/>
      <c r="R558" s="1140"/>
      <c r="S558" s="1140"/>
      <c r="T558" s="1140"/>
      <c r="U558" s="1428"/>
      <c r="V558" s="1140"/>
      <c r="W558" s="1140"/>
      <c r="X558" s="1140"/>
      <c r="Y558" s="1140"/>
      <c r="Z558" s="1140"/>
      <c r="AA558" s="1140"/>
      <c r="AB558" s="1140"/>
      <c r="AC558" s="1140"/>
      <c r="AD558" s="1140"/>
      <c r="AE558" s="1140"/>
      <c r="AF558" s="1140"/>
      <c r="AG558" s="1140"/>
      <c r="AH558" s="1140"/>
      <c r="AI558" s="1140"/>
      <c r="AJ558" s="1140"/>
      <c r="AK558" s="1140"/>
      <c r="AL558" s="1141"/>
      <c r="AM558" s="1156">
        <f>SUM(AM546:AS557)</f>
        <v>38811963.709028251</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189" t="str">
        <f>C546</f>
        <v>CitiBank/Construction Loan, Taxable</v>
      </c>
      <c r="H560" s="1189"/>
      <c r="I560" s="1189"/>
      <c r="J560" s="1189"/>
      <c r="K560" s="1189"/>
      <c r="L560" s="1189"/>
      <c r="M560" s="1189"/>
      <c r="N560" s="1189"/>
      <c r="O560" s="1189"/>
      <c r="P560" s="1189"/>
      <c r="Q560" s="1189"/>
      <c r="R560" s="1189"/>
      <c r="S560" s="12"/>
      <c r="T560" s="61" t="s">
        <v>945</v>
      </c>
      <c r="U560" t="s">
        <v>90</v>
      </c>
      <c r="Z560" s="1189" t="str">
        <f>C547</f>
        <v>Redstone/Tax Credit Equity - Federal</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3" t="s">
        <v>2456</v>
      </c>
      <c r="H561" s="1233"/>
      <c r="I561" s="1233"/>
      <c r="J561" s="1233"/>
      <c r="K561" s="1233"/>
      <c r="L561" s="1233"/>
      <c r="M561" s="1233"/>
      <c r="N561" s="1233"/>
      <c r="O561" s="1233"/>
      <c r="P561" s="1233"/>
      <c r="Q561" s="1233"/>
      <c r="R561" s="1233"/>
      <c r="S561" s="12"/>
      <c r="T561" s="4"/>
      <c r="U561" t="s">
        <v>397</v>
      </c>
      <c r="Z561" s="1233" t="s">
        <v>2458</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3" t="s">
        <v>2396</v>
      </c>
      <c r="H562" s="1233"/>
      <c r="I562" s="1233"/>
      <c r="J562" s="1233"/>
      <c r="K562" s="1233"/>
      <c r="L562" s="1233"/>
      <c r="M562" s="1233"/>
      <c r="N562" s="1233"/>
      <c r="O562" s="1233"/>
      <c r="P562" s="1233"/>
      <c r="Q562" s="1233"/>
      <c r="R562" s="1233"/>
      <c r="T562" s="4"/>
      <c r="U562" t="s">
        <v>459</v>
      </c>
      <c r="Z562" s="1235" t="s">
        <v>2450</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233" t="s">
        <v>2459</v>
      </c>
      <c r="H563" s="1233"/>
      <c r="I563" s="1233"/>
      <c r="J563" s="1233"/>
      <c r="K563" s="1233"/>
      <c r="L563" s="1233"/>
      <c r="M563" s="1233"/>
      <c r="N563" s="1233"/>
      <c r="O563" s="1233"/>
      <c r="P563" s="1233"/>
      <c r="Q563" s="1233"/>
      <c r="R563" s="1233"/>
      <c r="S563" s="12"/>
      <c r="T563" s="4"/>
      <c r="U563" t="s">
        <v>874</v>
      </c>
      <c r="Z563" s="1235" t="s">
        <v>2461</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236" t="s">
        <v>2460</v>
      </c>
      <c r="H564" s="1234"/>
      <c r="I564" s="1234"/>
      <c r="J564" s="1234"/>
      <c r="K564" s="1234"/>
      <c r="L564" s="1234"/>
      <c r="O564" s="42" t="s">
        <v>859</v>
      </c>
      <c r="P564" s="1231"/>
      <c r="Q564" s="1231"/>
      <c r="R564" s="1231"/>
      <c r="S564" s="14"/>
      <c r="T564" s="4"/>
      <c r="U564" t="s">
        <v>686</v>
      </c>
      <c r="Z564" s="1236" t="s">
        <v>2462</v>
      </c>
      <c r="AA564" s="1234"/>
      <c r="AB564" s="1234"/>
      <c r="AC564" s="1234"/>
      <c r="AD564" s="1234"/>
      <c r="AE564" s="1234"/>
      <c r="AH564" s="42" t="s">
        <v>859</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233" t="s">
        <v>2457</v>
      </c>
      <c r="I565" s="1233"/>
      <c r="J565" s="1233"/>
      <c r="K565" s="1233"/>
      <c r="L565" s="1233"/>
      <c r="M565" s="1233"/>
      <c r="N565" s="1233"/>
      <c r="O565" s="1233"/>
      <c r="P565" s="1233"/>
      <c r="Q565" s="1233"/>
      <c r="R565" s="1233"/>
      <c r="S565" s="12"/>
      <c r="T565" s="4"/>
      <c r="U565" t="s">
        <v>875</v>
      </c>
      <c r="AA565" s="1233" t="s">
        <v>2463</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232" t="s">
        <v>116</v>
      </c>
      <c r="O566" s="1232"/>
      <c r="T566" s="4"/>
      <c r="U566" t="s">
        <v>877</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189" t="str">
        <f>C548</f>
        <v>Redstone/Tax Credit Equity - State</v>
      </c>
      <c r="H568" s="1189"/>
      <c r="I568" s="1189"/>
      <c r="J568" s="1189"/>
      <c r="K568" s="1189"/>
      <c r="L568" s="1189"/>
      <c r="M568" s="1189"/>
      <c r="N568" s="1189"/>
      <c r="O568" s="1189"/>
      <c r="P568" s="1189"/>
      <c r="Q568" s="1189"/>
      <c r="R568" s="1189"/>
      <c r="T568" s="61" t="s">
        <v>460</v>
      </c>
      <c r="U568" t="s">
        <v>90</v>
      </c>
      <c r="Z568" s="1189" t="str">
        <f>C549</f>
        <v>Deferred Operating Reserve</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3" t="s">
        <v>2458</v>
      </c>
      <c r="H569" s="1233"/>
      <c r="I569" s="1233"/>
      <c r="J569" s="1233"/>
      <c r="K569" s="1233"/>
      <c r="L569" s="1233"/>
      <c r="M569" s="1233"/>
      <c r="N569" s="1233"/>
      <c r="O569" s="1233"/>
      <c r="P569" s="1233"/>
      <c r="Q569" s="1233"/>
      <c r="R569" s="1233"/>
      <c r="T569" s="4"/>
      <c r="U569" t="s">
        <v>397</v>
      </c>
      <c r="Z569" s="1233" t="s">
        <v>2464</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5" t="s">
        <v>2450</v>
      </c>
      <c r="H570" s="1235"/>
      <c r="I570" s="1235"/>
      <c r="J570" s="1235"/>
      <c r="K570" s="1235"/>
      <c r="L570" s="1235"/>
      <c r="M570" s="1235"/>
      <c r="N570" s="1235"/>
      <c r="O570" s="1235"/>
      <c r="P570" s="1235"/>
      <c r="Q570" s="1235"/>
      <c r="R570" s="1235"/>
      <c r="T570" s="4"/>
      <c r="U570" t="s">
        <v>459</v>
      </c>
      <c r="Z570" s="1235" t="s">
        <v>2389</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235" t="s">
        <v>2461</v>
      </c>
      <c r="H571" s="1235"/>
      <c r="I571" s="1235"/>
      <c r="J571" s="1235"/>
      <c r="K571" s="1235"/>
      <c r="L571" s="1235"/>
      <c r="M571" s="1235"/>
      <c r="N571" s="1235"/>
      <c r="O571" s="1235"/>
      <c r="P571" s="1235"/>
      <c r="Q571" s="1235"/>
      <c r="R571" s="1235"/>
      <c r="T571" s="4"/>
      <c r="U571" t="s">
        <v>874</v>
      </c>
      <c r="Z571" s="1235" t="s">
        <v>2465</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236" t="s">
        <v>2462</v>
      </c>
      <c r="H572" s="1234"/>
      <c r="I572" s="1234"/>
      <c r="J572" s="1234"/>
      <c r="K572" s="1234"/>
      <c r="L572" s="1234"/>
      <c r="O572" s="42" t="s">
        <v>859</v>
      </c>
      <c r="P572" s="1231"/>
      <c r="Q572" s="1231"/>
      <c r="R572" s="1231"/>
      <c r="T572" s="4"/>
      <c r="U572" t="s">
        <v>686</v>
      </c>
      <c r="Z572" s="1236" t="s">
        <v>2382</v>
      </c>
      <c r="AA572" s="1234"/>
      <c r="AB572" s="1234"/>
      <c r="AC572" s="1234"/>
      <c r="AD572" s="1234"/>
      <c r="AE572" s="1234"/>
      <c r="AH572" s="42" t="s">
        <v>859</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233" t="s">
        <v>2463</v>
      </c>
      <c r="I573" s="1233"/>
      <c r="J573" s="1233"/>
      <c r="K573" s="1233"/>
      <c r="L573" s="1233"/>
      <c r="M573" s="1233"/>
      <c r="N573" s="1233"/>
      <c r="O573" s="1233"/>
      <c r="P573" s="1233"/>
      <c r="Q573" s="1233"/>
      <c r="R573" s="1233"/>
      <c r="T573" s="4"/>
      <c r="U573" t="s">
        <v>875</v>
      </c>
      <c r="AA573" s="1233" t="s">
        <v>2426</v>
      </c>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46" t="s">
        <v>116</v>
      </c>
      <c r="O574" s="1146"/>
      <c r="T574" s="4"/>
      <c r="U574" t="s">
        <v>877</v>
      </c>
      <c r="AG574" s="1146" t="s">
        <v>116</v>
      </c>
      <c r="AH574" s="114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t="str">
        <f>C550</f>
        <v>Deferred Developer Fee</v>
      </c>
      <c r="H576" s="1189"/>
      <c r="I576" s="1189"/>
      <c r="J576" s="1189"/>
      <c r="K576" s="1189"/>
      <c r="L576" s="1189"/>
      <c r="M576" s="1189"/>
      <c r="N576" s="1189"/>
      <c r="O576" s="1189"/>
      <c r="P576" s="1189"/>
      <c r="Q576" s="1189"/>
      <c r="R576" s="1189"/>
      <c r="T576" s="61" t="s">
        <v>463</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3" t="s">
        <v>2464</v>
      </c>
      <c r="H577" s="1233"/>
      <c r="I577" s="1233"/>
      <c r="J577" s="1233"/>
      <c r="K577" s="1233"/>
      <c r="L577" s="1233"/>
      <c r="M577" s="1233"/>
      <c r="N577" s="1233"/>
      <c r="O577" s="1233"/>
      <c r="P577" s="1233"/>
      <c r="Q577" s="1233"/>
      <c r="R577" s="1233"/>
      <c r="T577" s="4"/>
      <c r="U577" t="s">
        <v>397</v>
      </c>
      <c r="Z577" s="1233"/>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3" t="s">
        <v>2389</v>
      </c>
      <c r="H578" s="1233"/>
      <c r="I578" s="1233"/>
      <c r="J578" s="1233"/>
      <c r="K578" s="1233"/>
      <c r="L578" s="1233"/>
      <c r="M578" s="1233"/>
      <c r="N578" s="1233"/>
      <c r="O578" s="1233"/>
      <c r="P578" s="1233"/>
      <c r="Q578" s="1233"/>
      <c r="R578" s="1233"/>
      <c r="T578" s="4"/>
      <c r="U578" t="s">
        <v>459</v>
      </c>
      <c r="Z578" s="1235"/>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233" t="s">
        <v>2465</v>
      </c>
      <c r="H579" s="1233"/>
      <c r="I579" s="1233"/>
      <c r="J579" s="1233"/>
      <c r="K579" s="1233"/>
      <c r="L579" s="1233"/>
      <c r="M579" s="1233"/>
      <c r="N579" s="1233"/>
      <c r="O579" s="1233"/>
      <c r="P579" s="1233"/>
      <c r="Q579" s="1233"/>
      <c r="R579" s="1233"/>
      <c r="T579" s="4"/>
      <c r="U579" t="s">
        <v>874</v>
      </c>
      <c r="Z579" s="1235"/>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236" t="s">
        <v>2382</v>
      </c>
      <c r="H580" s="1234"/>
      <c r="I580" s="1234"/>
      <c r="J580" s="1234"/>
      <c r="K580" s="1234"/>
      <c r="L580" s="1234"/>
      <c r="O580" s="42" t="s">
        <v>859</v>
      </c>
      <c r="P580" s="1231"/>
      <c r="Q580" s="1231"/>
      <c r="R580" s="1231"/>
      <c r="T580" s="4"/>
      <c r="U580" t="s">
        <v>686</v>
      </c>
      <c r="Z580" s="1234"/>
      <c r="AA580" s="1234"/>
      <c r="AB580" s="1234"/>
      <c r="AC580" s="1234"/>
      <c r="AD580" s="1234"/>
      <c r="AE580" s="1234"/>
      <c r="AH580" s="42" t="s">
        <v>859</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233" t="s">
        <v>2427</v>
      </c>
      <c r="I581" s="1233"/>
      <c r="J581" s="1233"/>
      <c r="K581" s="1233"/>
      <c r="L581" s="1233"/>
      <c r="M581" s="1233"/>
      <c r="N581" s="1233"/>
      <c r="O581" s="1233"/>
      <c r="P581" s="1233"/>
      <c r="Q581" s="1233"/>
      <c r="R581" s="1233"/>
      <c r="T581" s="4"/>
      <c r="U581" t="s">
        <v>875</v>
      </c>
      <c r="AA581" s="1233"/>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46" t="s">
        <v>116</v>
      </c>
      <c r="O582" s="1146"/>
      <c r="T582" s="4"/>
      <c r="U582" t="s">
        <v>877</v>
      </c>
      <c r="AG582" s="1146" t="s">
        <v>511</v>
      </c>
      <c r="AH582" s="114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189">
        <f>C552</f>
        <v>0</v>
      </c>
      <c r="H584" s="1189"/>
      <c r="I584" s="1189"/>
      <c r="J584" s="1189"/>
      <c r="K584" s="1189"/>
      <c r="L584" s="1189"/>
      <c r="M584" s="1189"/>
      <c r="N584" s="1189"/>
      <c r="O584" s="1189"/>
      <c r="P584" s="1189"/>
      <c r="Q584" s="1189"/>
      <c r="R584" s="1189"/>
      <c r="T584" s="61" t="s">
        <v>779</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3"/>
      <c r="H585" s="1233"/>
      <c r="I585" s="1233"/>
      <c r="J585" s="1233"/>
      <c r="K585" s="1233"/>
      <c r="L585" s="1233"/>
      <c r="M585" s="1233"/>
      <c r="N585" s="1233"/>
      <c r="O585" s="1233"/>
      <c r="P585" s="1233"/>
      <c r="Q585" s="1233"/>
      <c r="R585" s="1233"/>
      <c r="T585" s="4"/>
      <c r="U585" t="s">
        <v>397</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3"/>
      <c r="H586" s="1233"/>
      <c r="I586" s="1233"/>
      <c r="J586" s="1233"/>
      <c r="K586" s="1233"/>
      <c r="L586" s="1233"/>
      <c r="M586" s="1233"/>
      <c r="N586" s="1233"/>
      <c r="O586" s="1233"/>
      <c r="P586" s="1233"/>
      <c r="Q586" s="1233"/>
      <c r="R586" s="1233"/>
      <c r="S586"/>
      <c r="T586" s="4"/>
      <c r="U586" t="s">
        <v>459</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233"/>
      <c r="H587" s="1233"/>
      <c r="I587" s="1233"/>
      <c r="J587" s="1233"/>
      <c r="K587" s="1233"/>
      <c r="L587" s="1233"/>
      <c r="M587" s="1233"/>
      <c r="N587" s="1233"/>
      <c r="O587" s="1233"/>
      <c r="P587" s="1233"/>
      <c r="Q587" s="1233"/>
      <c r="R587" s="1233"/>
      <c r="S587"/>
      <c r="T587" s="4"/>
      <c r="U587" t="s">
        <v>874</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234"/>
      <c r="H588" s="1234"/>
      <c r="I588" s="1234"/>
      <c r="J588" s="1234"/>
      <c r="K588" s="1234"/>
      <c r="L588" s="1234"/>
      <c r="M588"/>
      <c r="N588"/>
      <c r="O588" s="42" t="s">
        <v>859</v>
      </c>
      <c r="P588" s="1231"/>
      <c r="Q588" s="1231"/>
      <c r="R588" s="1231"/>
      <c r="S588"/>
      <c r="T588" s="4"/>
      <c r="U588" t="s">
        <v>686</v>
      </c>
      <c r="V588"/>
      <c r="W588"/>
      <c r="X588"/>
      <c r="Y588"/>
      <c r="Z588" s="1234"/>
      <c r="AA588" s="1234"/>
      <c r="AB588" s="1234"/>
      <c r="AC588" s="1234"/>
      <c r="AD588" s="1234"/>
      <c r="AE588" s="1234"/>
      <c r="AF588"/>
      <c r="AG588"/>
      <c r="AH588" s="42" t="s">
        <v>859</v>
      </c>
      <c r="AI588" s="1231"/>
      <c r="AJ588" s="1231"/>
      <c r="AK588" s="1231"/>
      <c r="AL588"/>
      <c r="AZ588" s="5" t="s">
        <v>470</v>
      </c>
      <c r="BA588" s="41"/>
      <c r="BB588" s="41"/>
      <c r="BC588" s="41"/>
      <c r="BD588" s="41"/>
      <c r="BE588" s="214" t="s">
        <v>373</v>
      </c>
      <c r="BF588" s="215"/>
      <c r="BG588" s="1256"/>
      <c r="BH588" s="1258"/>
      <c r="BI588" s="214" t="s">
        <v>374</v>
      </c>
      <c r="BJ588" s="215"/>
      <c r="BK588" s="1256"/>
      <c r="BL588" s="1258"/>
      <c r="BN588" s="1256">
        <f t="shared" ref="BN588:BN612" si="1">IF(B692="SRO/Studio",G692,0)</f>
        <v>0</v>
      </c>
      <c r="BO588" s="1257"/>
      <c r="BP588" s="1257"/>
      <c r="BQ588" s="1257"/>
      <c r="BR588" s="1265"/>
      <c r="BS588" s="1256">
        <f t="shared" ref="BS588:BS612" si="2">IF(B692="1 Bedroom",G692,0)</f>
        <v>0</v>
      </c>
      <c r="BT588" s="1257"/>
      <c r="BU588" s="1257"/>
      <c r="BV588" s="1257"/>
      <c r="BW588" s="1258"/>
      <c r="BX588" s="1256">
        <f t="shared" ref="BX588:BX612" si="3">IF(B692="2 Bedrooms",G692,0)</f>
        <v>4</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233"/>
      <c r="I589" s="1233"/>
      <c r="J589" s="1233"/>
      <c r="K589" s="1233"/>
      <c r="L589" s="1233"/>
      <c r="M589" s="1233"/>
      <c r="N589" s="1233"/>
      <c r="O589" s="1233"/>
      <c r="P589" s="1233"/>
      <c r="Q589" s="1233"/>
      <c r="R589" s="1233"/>
      <c r="S589"/>
      <c r="T589" s="4"/>
      <c r="U589" t="s">
        <v>875</v>
      </c>
      <c r="V589"/>
      <c r="W589"/>
      <c r="X589"/>
      <c r="Y589"/>
      <c r="Z589"/>
      <c r="AA589" s="1233"/>
      <c r="AB589" s="1233"/>
      <c r="AC589" s="1233"/>
      <c r="AD589" s="1233"/>
      <c r="AE589" s="1233"/>
      <c r="AF589" s="1233"/>
      <c r="AG589" s="1233"/>
      <c r="AH589" s="1233"/>
      <c r="AI589" s="1233"/>
      <c r="AJ589" s="1233"/>
      <c r="AK589" s="1233"/>
      <c r="AL589"/>
      <c r="AZ589" s="5" t="s">
        <v>471</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4</v>
      </c>
      <c r="BL589" s="1258"/>
      <c r="BN589" s="1256">
        <f t="shared" si="1"/>
        <v>0</v>
      </c>
      <c r="BO589" s="1257"/>
      <c r="BP589" s="1257"/>
      <c r="BQ589" s="1257"/>
      <c r="BR589" s="1265"/>
      <c r="BS589" s="1256">
        <f t="shared" si="2"/>
        <v>0</v>
      </c>
      <c r="BT589" s="1257"/>
      <c r="BU589" s="1257"/>
      <c r="BV589" s="1257"/>
      <c r="BW589" s="1258"/>
      <c r="BX589" s="1256">
        <f t="shared" si="3"/>
        <v>6</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0</v>
      </c>
      <c r="CY589" s="1269"/>
      <c r="CZ589" s="1269"/>
      <c r="DA589" s="1269"/>
      <c r="DB589" s="1270"/>
      <c r="DC589" s="1268">
        <f>IF(AND(B692="2 Bedrooms",AH692&lt;=0.3),G692,0)</f>
        <v>4</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877</v>
      </c>
      <c r="C590"/>
      <c r="D590"/>
      <c r="E590"/>
      <c r="F590"/>
      <c r="G590"/>
      <c r="H590"/>
      <c r="I590"/>
      <c r="J590"/>
      <c r="K590"/>
      <c r="L590"/>
      <c r="M590"/>
      <c r="N590" s="1146" t="s">
        <v>511</v>
      </c>
      <c r="O590" s="1146"/>
      <c r="P590"/>
      <c r="Q590"/>
      <c r="R590"/>
      <c r="S590"/>
      <c r="T590" s="4"/>
      <c r="U590" t="s">
        <v>877</v>
      </c>
      <c r="V590"/>
      <c r="W590"/>
      <c r="X590"/>
      <c r="Y590"/>
      <c r="Z590"/>
      <c r="AA590"/>
      <c r="AB590"/>
      <c r="AC590"/>
      <c r="AD590"/>
      <c r="AE590"/>
      <c r="AF590"/>
      <c r="AG590" s="1146" t="s">
        <v>511</v>
      </c>
      <c r="AH590" s="1146"/>
      <c r="AI590"/>
      <c r="AJ590"/>
      <c r="AK590"/>
      <c r="AL590"/>
      <c r="AZ590" s="5" t="s">
        <v>817</v>
      </c>
      <c r="BA590" s="41"/>
      <c r="BB590" s="41"/>
      <c r="BC590" s="41"/>
      <c r="BD590" s="41"/>
      <c r="BE590" s="1262">
        <f t="shared" ref="BE590:BE613" si="9">IF(AND(AH693&lt;=0.5,AH693&gt;=0.36),1,0)</f>
        <v>1</v>
      </c>
      <c r="BF590" s="1264"/>
      <c r="BG590" s="1256">
        <f t="shared" si="7"/>
        <v>6</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0</v>
      </c>
      <c r="BT590" s="1257"/>
      <c r="BU590" s="1257"/>
      <c r="BV590" s="1257"/>
      <c r="BW590" s="1258"/>
      <c r="BX590" s="1256">
        <f t="shared" si="3"/>
        <v>16</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818</v>
      </c>
      <c r="BA591" s="41"/>
      <c r="BB591" s="41"/>
      <c r="BC591" s="41"/>
      <c r="BD591" s="41"/>
      <c r="BE591" s="1262">
        <f t="shared" si="9"/>
        <v>1</v>
      </c>
      <c r="BF591" s="1264"/>
      <c r="BG591" s="1256">
        <f t="shared" si="7"/>
        <v>16</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14</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577</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819</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0</v>
      </c>
      <c r="BY592" s="1257"/>
      <c r="BZ592" s="1257"/>
      <c r="CA592" s="1257"/>
      <c r="CB592" s="1258"/>
      <c r="CC592" s="1256">
        <f t="shared" si="4"/>
        <v>2</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397</v>
      </c>
      <c r="G593" s="1233"/>
      <c r="H593" s="1233"/>
      <c r="I593" s="1233"/>
      <c r="J593" s="1233"/>
      <c r="K593" s="1233"/>
      <c r="L593" s="1233"/>
      <c r="M593" s="1233"/>
      <c r="N593" s="1233"/>
      <c r="O593" s="1233"/>
      <c r="P593" s="1233"/>
      <c r="Q593" s="1233"/>
      <c r="R593" s="1233"/>
      <c r="T593" s="4"/>
      <c r="U593" t="s">
        <v>397</v>
      </c>
      <c r="Z593" s="1233"/>
      <c r="AA593" s="1233"/>
      <c r="AB593" s="1233"/>
      <c r="AC593" s="1233"/>
      <c r="AD593" s="1233"/>
      <c r="AE593" s="1233"/>
      <c r="AF593" s="1233"/>
      <c r="AG593" s="1233"/>
      <c r="AH593" s="1233"/>
      <c r="AI593" s="1233"/>
      <c r="AJ593" s="1233"/>
      <c r="AK593" s="1233"/>
      <c r="AZ593" s="5" t="s">
        <v>366</v>
      </c>
      <c r="BA593" s="41"/>
      <c r="BB593" s="41"/>
      <c r="BC593" s="41"/>
      <c r="BD593" s="41"/>
      <c r="BE593" s="1262">
        <f t="shared" si="9"/>
        <v>0</v>
      </c>
      <c r="BF593" s="1264"/>
      <c r="BG593" s="1256">
        <f t="shared" si="7"/>
        <v>0</v>
      </c>
      <c r="BH593" s="1258"/>
      <c r="BI593" s="1262">
        <f t="shared" si="10"/>
        <v>1</v>
      </c>
      <c r="BJ593" s="1264"/>
      <c r="BK593" s="1256">
        <f t="shared" si="8"/>
        <v>2</v>
      </c>
      <c r="BL593" s="1258"/>
      <c r="BN593" s="1256">
        <f t="shared" si="1"/>
        <v>0</v>
      </c>
      <c r="BO593" s="1257"/>
      <c r="BP593" s="1257"/>
      <c r="BQ593" s="1257"/>
      <c r="BR593" s="1265"/>
      <c r="BS593" s="1256">
        <f t="shared" si="2"/>
        <v>0</v>
      </c>
      <c r="BT593" s="1257"/>
      <c r="BU593" s="1257"/>
      <c r="BV593" s="1257"/>
      <c r="BW593" s="1258"/>
      <c r="BX593" s="1256">
        <f t="shared" si="3"/>
        <v>0</v>
      </c>
      <c r="BY593" s="1257"/>
      <c r="BZ593" s="1257"/>
      <c r="CA593" s="1257"/>
      <c r="CB593" s="1258"/>
      <c r="CC593" s="1256">
        <f t="shared" si="4"/>
        <v>3</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2</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459</v>
      </c>
      <c r="G594" s="1233"/>
      <c r="H594" s="1233"/>
      <c r="I594" s="1233"/>
      <c r="J594" s="1233"/>
      <c r="K594" s="1233"/>
      <c r="L594" s="1233"/>
      <c r="M594" s="1233"/>
      <c r="N594" s="1233"/>
      <c r="O594" s="1233"/>
      <c r="P594" s="1233"/>
      <c r="Q594" s="1233"/>
      <c r="R594" s="1233"/>
      <c r="T594" s="4"/>
      <c r="U594" t="s">
        <v>459</v>
      </c>
      <c r="Z594" s="1235"/>
      <c r="AA594" s="1235"/>
      <c r="AB594" s="1235"/>
      <c r="AC594" s="1235"/>
      <c r="AD594" s="1235"/>
      <c r="AE594" s="1235"/>
      <c r="AF594" s="1235"/>
      <c r="AG594" s="1235"/>
      <c r="AH594" s="1235"/>
      <c r="AI594" s="1235"/>
      <c r="AJ594" s="1235"/>
      <c r="AK594" s="1235"/>
      <c r="AZ594" s="41"/>
      <c r="BA594" s="41"/>
      <c r="BB594" s="41"/>
      <c r="BC594" s="41"/>
      <c r="BD594" s="41"/>
      <c r="BE594" s="1262">
        <f t="shared" si="9"/>
        <v>1</v>
      </c>
      <c r="BF594" s="1264"/>
      <c r="BG594" s="1256">
        <f t="shared" si="7"/>
        <v>3</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0</v>
      </c>
      <c r="BY594" s="1257"/>
      <c r="BZ594" s="1257"/>
      <c r="CA594" s="1257"/>
      <c r="CB594" s="1258"/>
      <c r="CC594" s="1256">
        <f t="shared" si="4"/>
        <v>8</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874</v>
      </c>
      <c r="G595" s="1233"/>
      <c r="H595" s="1233"/>
      <c r="I595" s="1233"/>
      <c r="J595" s="1233"/>
      <c r="K595" s="1233"/>
      <c r="L595" s="1233"/>
      <c r="M595" s="1233"/>
      <c r="N595" s="1233"/>
      <c r="O595" s="1233"/>
      <c r="P595" s="1233"/>
      <c r="Q595" s="1233"/>
      <c r="R595" s="1233"/>
      <c r="T595" s="4"/>
      <c r="U595" t="s">
        <v>874</v>
      </c>
      <c r="Z595" s="1235"/>
      <c r="AA595" s="1235"/>
      <c r="AB595" s="1235"/>
      <c r="AC595" s="1235"/>
      <c r="AD595" s="1235"/>
      <c r="AE595" s="1235"/>
      <c r="AF595" s="1235"/>
      <c r="AG595" s="1235"/>
      <c r="AH595" s="1235"/>
      <c r="AI595" s="1235"/>
      <c r="AJ595" s="1235"/>
      <c r="AK595" s="1235"/>
      <c r="AZ595" s="41"/>
      <c r="BA595" s="41"/>
      <c r="BB595" s="41"/>
      <c r="BC595" s="41"/>
      <c r="BD595" s="41"/>
      <c r="BE595" s="1262">
        <f t="shared" si="9"/>
        <v>1</v>
      </c>
      <c r="BF595" s="1264"/>
      <c r="BG595" s="1256">
        <f t="shared" si="7"/>
        <v>8</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7</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686</v>
      </c>
      <c r="G596" s="1234"/>
      <c r="H596" s="1234"/>
      <c r="I596" s="1234"/>
      <c r="J596" s="1234"/>
      <c r="K596" s="1234"/>
      <c r="L596" s="1234"/>
      <c r="O596" s="42" t="s">
        <v>859</v>
      </c>
      <c r="P596" s="1231"/>
      <c r="Q596" s="1231"/>
      <c r="R596" s="1231"/>
      <c r="T596" s="4"/>
      <c r="U596" t="s">
        <v>686</v>
      </c>
      <c r="Z596" s="1234"/>
      <c r="AA596" s="1234"/>
      <c r="AB596" s="1234"/>
      <c r="AC596" s="1234"/>
      <c r="AD596" s="1234"/>
      <c r="AE596" s="1234"/>
      <c r="AH596" s="42" t="s">
        <v>859</v>
      </c>
      <c r="AI596" s="1231"/>
      <c r="AJ596" s="1231"/>
      <c r="AK596" s="1231"/>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875</v>
      </c>
      <c r="C597"/>
      <c r="D597"/>
      <c r="E597"/>
      <c r="F597"/>
      <c r="G597"/>
      <c r="H597" s="1233"/>
      <c r="I597" s="1233"/>
      <c r="J597" s="1233"/>
      <c r="K597" s="1233"/>
      <c r="L597" s="1233"/>
      <c r="M597" s="1233"/>
      <c r="N597" s="1233"/>
      <c r="O597" s="1233"/>
      <c r="P597" s="1233"/>
      <c r="Q597" s="1233"/>
      <c r="R597" s="1233"/>
      <c r="S597"/>
      <c r="T597" s="4"/>
      <c r="U597" t="s">
        <v>875</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2">
        <f t="shared" si="9"/>
        <v>0</v>
      </c>
      <c r="BF597" s="1264"/>
      <c r="BG597" s="1256">
        <f t="shared" si="7"/>
        <v>0</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877</v>
      </c>
      <c r="C598"/>
      <c r="D598"/>
      <c r="E598"/>
      <c r="F598"/>
      <c r="G598"/>
      <c r="H598"/>
      <c r="I598"/>
      <c r="J598"/>
      <c r="K598"/>
      <c r="L598"/>
      <c r="M598"/>
      <c r="N598" s="1146" t="s">
        <v>511</v>
      </c>
      <c r="O598" s="1146"/>
      <c r="P598"/>
      <c r="Q598"/>
      <c r="R598"/>
      <c r="S598"/>
      <c r="T598" s="4"/>
      <c r="U598" t="s">
        <v>877</v>
      </c>
      <c r="V598"/>
      <c r="W598"/>
      <c r="X598"/>
      <c r="Y598"/>
      <c r="Z598"/>
      <c r="AA598"/>
      <c r="AB598"/>
      <c r="AC598"/>
      <c r="AD598"/>
      <c r="AE598"/>
      <c r="AF598"/>
      <c r="AG598" s="1146" t="s">
        <v>511</v>
      </c>
      <c r="AH598" s="1146"/>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397</v>
      </c>
      <c r="G601" s="1233"/>
      <c r="H601" s="1233"/>
      <c r="I601" s="1233"/>
      <c r="J601" s="1233"/>
      <c r="K601" s="1233"/>
      <c r="L601" s="1233"/>
      <c r="M601" s="1233"/>
      <c r="N601" s="1233"/>
      <c r="O601" s="1233"/>
      <c r="P601" s="1233"/>
      <c r="Q601" s="1233"/>
      <c r="R601" s="1233"/>
      <c r="U601" t="s">
        <v>397</v>
      </c>
      <c r="Z601" s="1233"/>
      <c r="AA601" s="1233"/>
      <c r="AB601" s="1233"/>
      <c r="AC601" s="1233"/>
      <c r="AD601" s="1233"/>
      <c r="AE601" s="1233"/>
      <c r="AF601" s="1233"/>
      <c r="AG601" s="1233"/>
      <c r="AH601" s="1233"/>
      <c r="AI601" s="1233"/>
      <c r="AJ601" s="1233"/>
      <c r="AK601" s="1233"/>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459</v>
      </c>
      <c r="G602" s="1233"/>
      <c r="H602" s="1233"/>
      <c r="I602" s="1233"/>
      <c r="J602" s="1233"/>
      <c r="K602" s="1233"/>
      <c r="L602" s="1233"/>
      <c r="M602" s="1233"/>
      <c r="N602" s="1233"/>
      <c r="O602" s="1233"/>
      <c r="P602" s="1233"/>
      <c r="Q602" s="1233"/>
      <c r="R602" s="1233"/>
      <c r="U602" t="s">
        <v>459</v>
      </c>
      <c r="Z602" s="1235"/>
      <c r="AA602" s="1235"/>
      <c r="AB602" s="1235"/>
      <c r="AC602" s="1235"/>
      <c r="AD602" s="1235"/>
      <c r="AE602" s="1235"/>
      <c r="AF602" s="1235"/>
      <c r="AG602" s="1235"/>
      <c r="AH602" s="1235"/>
      <c r="AI602" s="1235"/>
      <c r="AJ602" s="1235"/>
      <c r="AK602" s="1235"/>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874</v>
      </c>
      <c r="G603" s="1233"/>
      <c r="H603" s="1233"/>
      <c r="I603" s="1233"/>
      <c r="J603" s="1233"/>
      <c r="K603" s="1233"/>
      <c r="L603" s="1233"/>
      <c r="M603" s="1233"/>
      <c r="N603" s="1233"/>
      <c r="O603" s="1233"/>
      <c r="P603" s="1233"/>
      <c r="Q603" s="1233"/>
      <c r="R603" s="1233"/>
      <c r="U603" t="s">
        <v>874</v>
      </c>
      <c r="Z603" s="1235"/>
      <c r="AA603" s="1235"/>
      <c r="AB603" s="1235"/>
      <c r="AC603" s="1235"/>
      <c r="AD603" s="1235"/>
      <c r="AE603" s="1235"/>
      <c r="AF603" s="1235"/>
      <c r="AG603" s="1235"/>
      <c r="AH603" s="1235"/>
      <c r="AI603" s="1235"/>
      <c r="AJ603" s="1235"/>
      <c r="AK603" s="1235"/>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686</v>
      </c>
      <c r="G604" s="1234"/>
      <c r="H604" s="1234"/>
      <c r="I604" s="1234"/>
      <c r="J604" s="1234"/>
      <c r="K604" s="1234"/>
      <c r="L604" s="1234"/>
      <c r="O604" s="42" t="s">
        <v>859</v>
      </c>
      <c r="P604" s="1231"/>
      <c r="Q604" s="1231"/>
      <c r="R604" s="1231"/>
      <c r="U604" t="s">
        <v>686</v>
      </c>
      <c r="Z604" s="1234"/>
      <c r="AA604" s="1234"/>
      <c r="AB604" s="1234"/>
      <c r="AC604" s="1234"/>
      <c r="AD604" s="1234"/>
      <c r="AE604" s="1234"/>
      <c r="AH604" s="42" t="s">
        <v>859</v>
      </c>
      <c r="AI604" s="1231"/>
      <c r="AJ604" s="1231"/>
      <c r="AK604" s="1231"/>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875</v>
      </c>
      <c r="H605" s="1233"/>
      <c r="I605" s="1233"/>
      <c r="J605" s="1233"/>
      <c r="K605" s="1233"/>
      <c r="L605" s="1233"/>
      <c r="M605" s="1233"/>
      <c r="N605" s="1233"/>
      <c r="O605" s="1233"/>
      <c r="P605" s="1233"/>
      <c r="Q605" s="1233"/>
      <c r="R605" s="1233"/>
      <c r="U605" t="s">
        <v>875</v>
      </c>
      <c r="AA605" s="1233"/>
      <c r="AB605" s="1233"/>
      <c r="AC605" s="1233"/>
      <c r="AD605" s="1233"/>
      <c r="AE605" s="1233"/>
      <c r="AF605" s="1233"/>
      <c r="AG605" s="1233"/>
      <c r="AH605" s="1233"/>
      <c r="AI605" s="1233"/>
      <c r="AJ605" s="1233"/>
      <c r="AK605" s="1233"/>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877</v>
      </c>
      <c r="N606" s="1232" t="s">
        <v>511</v>
      </c>
      <c r="O606" s="1232"/>
      <c r="U606" t="s">
        <v>877</v>
      </c>
      <c r="AG606" s="1232" t="s">
        <v>511</v>
      </c>
      <c r="AH606" s="1232"/>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689</v>
      </c>
      <c r="B611" s="3"/>
      <c r="C611" s="3" t="s">
        <v>878</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2255</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0</v>
      </c>
      <c r="BT613" s="1263"/>
      <c r="BU613" s="1263"/>
      <c r="BV613" s="1263"/>
      <c r="BW613" s="1264"/>
      <c r="BX613" s="1262">
        <f>SUM(BX588:CB612)</f>
        <v>40</v>
      </c>
      <c r="BY613" s="1263"/>
      <c r="BZ613" s="1263"/>
      <c r="CA613" s="1263"/>
      <c r="CB613" s="1264"/>
      <c r="CC613" s="1262">
        <f>SUM(CC588:CG612)</f>
        <v>20</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59"/>
      <c r="C614" s="3"/>
      <c r="AZ614" s="41"/>
      <c r="BA614" s="41"/>
      <c r="BB614" s="41"/>
      <c r="BC614" s="41"/>
      <c r="BD614" s="41"/>
      <c r="BE614" s="41"/>
      <c r="BF614" s="41"/>
      <c r="BG614" s="1262">
        <f>SUM(BG589:BH613)</f>
        <v>33</v>
      </c>
      <c r="BH614" s="1264"/>
      <c r="BI614" s="41"/>
      <c r="BJ614" s="41"/>
      <c r="BK614" s="1262">
        <f>SUM(BK589:BL613)</f>
        <v>6</v>
      </c>
      <c r="BL614" s="1264"/>
      <c r="BN614" s="41" t="s">
        <v>1800</v>
      </c>
      <c r="BO614" s="41"/>
      <c r="BP614" s="41"/>
      <c r="BQ614" s="41"/>
      <c r="BR614" s="480">
        <f>BN613*1</f>
        <v>0</v>
      </c>
      <c r="BS614" s="41"/>
      <c r="BT614" s="41"/>
      <c r="BU614" s="41"/>
      <c r="BV614" s="41"/>
      <c r="BW614" s="480">
        <f>BS613*1</f>
        <v>0</v>
      </c>
      <c r="BX614" s="41"/>
      <c r="BY614" s="41"/>
      <c r="BZ614" s="41"/>
      <c r="CA614" s="41"/>
      <c r="CB614" s="480">
        <f>BX613*2</f>
        <v>80</v>
      </c>
      <c r="CC614" s="41"/>
      <c r="CD614" s="41"/>
      <c r="CE614" s="41"/>
      <c r="CF614" s="41"/>
      <c r="CG614" s="480">
        <f>CC613*3</f>
        <v>60</v>
      </c>
      <c r="CH614" s="41"/>
      <c r="CI614" s="41"/>
      <c r="CJ614" s="41"/>
      <c r="CK614" s="41"/>
      <c r="CL614" s="480">
        <f>CH613*4</f>
        <v>0</v>
      </c>
      <c r="CM614" s="41"/>
      <c r="CN614" s="41"/>
      <c r="CO614" s="41"/>
      <c r="CP614" s="41"/>
      <c r="CQ614" s="479">
        <f>CM613*5</f>
        <v>0</v>
      </c>
      <c r="CS614" s="1262">
        <f>SUM(CS589:CW613)</f>
        <v>0</v>
      </c>
      <c r="CT614" s="1263"/>
      <c r="CU614" s="1263"/>
      <c r="CV614" s="1263"/>
      <c r="CW614" s="1264"/>
      <c r="CX614" s="1262">
        <f>SUM(CX589:DB613)</f>
        <v>0</v>
      </c>
      <c r="CY614" s="1263"/>
      <c r="CZ614" s="1263"/>
      <c r="DA614" s="1263"/>
      <c r="DB614" s="1264"/>
      <c r="DC614" s="1262">
        <f>SUM(DC589:DG613)</f>
        <v>4</v>
      </c>
      <c r="DD614" s="1263"/>
      <c r="DE614" s="1263"/>
      <c r="DF614" s="1263"/>
      <c r="DG614" s="1264"/>
      <c r="DH614" s="1262">
        <f>SUM(DH589:DL613)</f>
        <v>2</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62" t="s">
        <v>2325</v>
      </c>
      <c r="C615" s="1563"/>
      <c r="D615" s="1563"/>
      <c r="E615" s="1563"/>
      <c r="F615" s="1563"/>
      <c r="G615" s="1563"/>
      <c r="H615" s="1563"/>
      <c r="I615" s="1563"/>
      <c r="J615" s="1563"/>
      <c r="K615" s="1563"/>
      <c r="L615" s="1563"/>
      <c r="M615" s="1430" t="s">
        <v>2299</v>
      </c>
      <c r="N615" s="1430"/>
      <c r="O615" s="1430"/>
      <c r="P615" s="1430"/>
      <c r="Q615" s="1338" t="s">
        <v>2329</v>
      </c>
      <c r="R615" s="1339"/>
      <c r="S615" s="1340"/>
      <c r="T615" s="1338" t="s">
        <v>2328</v>
      </c>
      <c r="U615" s="1339"/>
      <c r="V615" s="1340"/>
      <c r="W615" s="1567" t="s">
        <v>776</v>
      </c>
      <c r="X615" s="1567"/>
      <c r="Y615" s="1568"/>
      <c r="Z615" s="1430" t="s">
        <v>2326</v>
      </c>
      <c r="AA615" s="1430"/>
      <c r="AB615" s="1430"/>
      <c r="AC615" s="1573" t="s">
        <v>2090</v>
      </c>
      <c r="AD615" s="1574"/>
      <c r="AE615" s="1575"/>
      <c r="AF615" s="1338" t="s">
        <v>2256</v>
      </c>
      <c r="AG615" s="1339"/>
      <c r="AH615" s="1339"/>
      <c r="AI615" s="1339"/>
      <c r="AJ615" s="1340"/>
      <c r="AK615" s="1553" t="s">
        <v>2257</v>
      </c>
      <c r="AL615" s="1554"/>
      <c r="AM615" s="1554"/>
      <c r="AN615" s="1555"/>
      <c r="AO615" s="1430" t="s">
        <v>777</v>
      </c>
      <c r="AP615" s="1430"/>
      <c r="AQ615" s="1430"/>
      <c r="AR615" s="1430"/>
      <c r="AS615" s="1430"/>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140</v>
      </c>
      <c r="CR615" s="41"/>
      <c r="CS615" s="41"/>
    </row>
    <row r="616" spans="1:126" ht="12.95" customHeight="1">
      <c r="B616" s="1564"/>
      <c r="C616" s="1482"/>
      <c r="D616" s="1482"/>
      <c r="E616" s="1482"/>
      <c r="F616" s="1482"/>
      <c r="G616" s="1482"/>
      <c r="H616" s="1482"/>
      <c r="I616" s="1482"/>
      <c r="J616" s="1482"/>
      <c r="K616" s="1482"/>
      <c r="L616" s="1482"/>
      <c r="M616" s="1430"/>
      <c r="N616" s="1430"/>
      <c r="O616" s="1430"/>
      <c r="P616" s="1430"/>
      <c r="Q616" s="1341"/>
      <c r="R616" s="1342"/>
      <c r="S616" s="1343"/>
      <c r="T616" s="1341"/>
      <c r="U616" s="1342"/>
      <c r="V616" s="1343"/>
      <c r="W616" s="1569"/>
      <c r="X616" s="1569"/>
      <c r="Y616" s="1570"/>
      <c r="Z616" s="1430"/>
      <c r="AA616" s="1430"/>
      <c r="AB616" s="1430"/>
      <c r="AC616" s="1576"/>
      <c r="AD616" s="1577"/>
      <c r="AE616" s="1578"/>
      <c r="AF616" s="1341"/>
      <c r="AG616" s="1342"/>
      <c r="AH616" s="1342"/>
      <c r="AI616" s="1342"/>
      <c r="AJ616" s="1343"/>
      <c r="AK616" s="1556"/>
      <c r="AL616" s="1557"/>
      <c r="AM616" s="1557"/>
      <c r="AN616" s="1558"/>
      <c r="AO616" s="1430"/>
      <c r="AP616" s="1430"/>
      <c r="AQ616" s="1430"/>
      <c r="AR616" s="1430"/>
      <c r="AS616" s="1430"/>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1</v>
      </c>
      <c r="BY616" s="1257"/>
      <c r="BZ616" s="1257"/>
      <c r="CA616" s="1257"/>
      <c r="CB616" s="1258"/>
      <c r="CC616" s="1256">
        <f>IF(J738="3 Bedrooms",O738,0)</f>
        <v>0</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65"/>
      <c r="C617" s="1566"/>
      <c r="D617" s="1566"/>
      <c r="E617" s="1566"/>
      <c r="F617" s="1566"/>
      <c r="G617" s="1566"/>
      <c r="H617" s="1566"/>
      <c r="I617" s="1566"/>
      <c r="J617" s="1566"/>
      <c r="K617" s="1566"/>
      <c r="L617" s="1566"/>
      <c r="M617" s="1430"/>
      <c r="N617" s="1430"/>
      <c r="O617" s="1430"/>
      <c r="P617" s="1430"/>
      <c r="Q617" s="1376"/>
      <c r="R617" s="1377"/>
      <c r="S617" s="1378"/>
      <c r="T617" s="1376"/>
      <c r="U617" s="1377"/>
      <c r="V617" s="1378"/>
      <c r="W617" s="1571"/>
      <c r="X617" s="1571"/>
      <c r="Y617" s="1572"/>
      <c r="Z617" s="1430"/>
      <c r="AA617" s="1430"/>
      <c r="AB617" s="1430"/>
      <c r="AC617" s="1579"/>
      <c r="AD617" s="1580"/>
      <c r="AE617" s="1581"/>
      <c r="AF617" s="1376"/>
      <c r="AG617" s="1377"/>
      <c r="AH617" s="1377"/>
      <c r="AI617" s="1377"/>
      <c r="AJ617" s="1378"/>
      <c r="AK617" s="1559"/>
      <c r="AL617" s="1560"/>
      <c r="AM617" s="1560"/>
      <c r="AN617" s="1561"/>
      <c r="AO617" s="1430"/>
      <c r="AP617" s="1430"/>
      <c r="AQ617" s="1430"/>
      <c r="AR617" s="1430"/>
      <c r="AS617" s="1430"/>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944</v>
      </c>
      <c r="C618" s="1426" t="s">
        <v>2466</v>
      </c>
      <c r="D618" s="1426"/>
      <c r="E618" s="1426"/>
      <c r="F618" s="1426"/>
      <c r="G618" s="1426"/>
      <c r="H618" s="1426"/>
      <c r="I618" s="1426"/>
      <c r="J618" s="1426"/>
      <c r="K618" s="1426"/>
      <c r="L618" s="1426"/>
      <c r="M618" s="1246" t="s">
        <v>2314</v>
      </c>
      <c r="N618" s="1246"/>
      <c r="O618" s="1246"/>
      <c r="P618" s="1246"/>
      <c r="Q618" s="1247">
        <v>216</v>
      </c>
      <c r="R618" s="1248"/>
      <c r="S618" s="1249"/>
      <c r="T618" s="1250">
        <v>420</v>
      </c>
      <c r="U618" s="1251"/>
      <c r="V618" s="1252"/>
      <c r="W618" s="1253">
        <v>5.6957000000000001E-2</v>
      </c>
      <c r="X618" s="1254"/>
      <c r="Y618" s="1255"/>
      <c r="Z618" s="1243" t="s">
        <v>2327</v>
      </c>
      <c r="AA618" s="1244"/>
      <c r="AB618" s="1245"/>
      <c r="AC618" s="1237">
        <v>1</v>
      </c>
      <c r="AD618" s="1238"/>
      <c r="AE618" s="1239"/>
      <c r="AF618" s="1119">
        <v>405755.927952028</v>
      </c>
      <c r="AG618" s="1120"/>
      <c r="AH618" s="1120"/>
      <c r="AI618" s="1120"/>
      <c r="AJ618" s="1121"/>
      <c r="AK618" s="1240"/>
      <c r="AL618" s="1241"/>
      <c r="AM618" s="1241"/>
      <c r="AN618" s="1242"/>
      <c r="AO618" s="1129">
        <v>6149000</v>
      </c>
      <c r="AP618" s="1129"/>
      <c r="AQ618" s="1129"/>
      <c r="AR618" s="1129"/>
      <c r="AS618" s="1129"/>
      <c r="AT618" s="966" t="str">
        <f t="shared" ref="AT618:AT629" si="17">IF(AND(NOT(C617=""),C618="",NOT(C619="")),"!","")</f>
        <v/>
      </c>
      <c r="AU618" s="43"/>
      <c r="AV618" s="43"/>
      <c r="AW618" s="43"/>
      <c r="AX618" s="43"/>
      <c r="AY618" s="43"/>
      <c r="BA618" s="41" t="s">
        <v>2077</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945</v>
      </c>
      <c r="C619" s="1426" t="s">
        <v>2427</v>
      </c>
      <c r="D619" s="1426"/>
      <c r="E619" s="1426"/>
      <c r="F619" s="1426"/>
      <c r="G619" s="1426"/>
      <c r="H619" s="1426"/>
      <c r="I619" s="1426"/>
      <c r="J619" s="1426"/>
      <c r="K619" s="1426"/>
      <c r="L619" s="1426"/>
      <c r="M619" s="1246" t="s">
        <v>2302</v>
      </c>
      <c r="N619" s="1246"/>
      <c r="O619" s="1246"/>
      <c r="P619" s="1246"/>
      <c r="Q619" s="1247"/>
      <c r="R619" s="1248"/>
      <c r="S619" s="1249"/>
      <c r="T619" s="1250"/>
      <c r="U619" s="1251"/>
      <c r="V619" s="1252"/>
      <c r="W619" s="1253"/>
      <c r="X619" s="1254"/>
      <c r="Y619" s="1255"/>
      <c r="Z619" s="1243" t="s">
        <v>2077</v>
      </c>
      <c r="AA619" s="1244"/>
      <c r="AB619" s="1245"/>
      <c r="AC619" s="1237"/>
      <c r="AD619" s="1238"/>
      <c r="AE619" s="1239"/>
      <c r="AF619" s="1119"/>
      <c r="AG619" s="1120"/>
      <c r="AH619" s="1120"/>
      <c r="AI619" s="1120"/>
      <c r="AJ619" s="1121"/>
      <c r="AK619" s="1240"/>
      <c r="AL619" s="1241"/>
      <c r="AM619" s="1241"/>
      <c r="AN619" s="1242"/>
      <c r="AO619" s="1129">
        <v>670253.91784927202</v>
      </c>
      <c r="AP619" s="1129"/>
      <c r="AQ619" s="1129"/>
      <c r="AR619" s="1129"/>
      <c r="AS619" s="1129"/>
      <c r="AT619" s="966" t="str">
        <f t="shared" si="17"/>
        <v/>
      </c>
      <c r="AU619" s="43"/>
      <c r="AV619" s="43"/>
      <c r="AW619" s="43"/>
      <c r="AX619" s="43"/>
      <c r="AY619" s="43"/>
      <c r="BA619" s="41" t="s">
        <v>827</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951</v>
      </c>
      <c r="C620" s="1426"/>
      <c r="D620" s="1426"/>
      <c r="E620" s="1426"/>
      <c r="F620" s="1426"/>
      <c r="G620" s="1426"/>
      <c r="H620" s="1426"/>
      <c r="I620" s="1426"/>
      <c r="J620" s="1426"/>
      <c r="K620" s="1426"/>
      <c r="L620" s="1426"/>
      <c r="M620" s="1246" t="s">
        <v>2077</v>
      </c>
      <c r="N620" s="1246"/>
      <c r="O620" s="1246"/>
      <c r="P620" s="1246"/>
      <c r="Q620" s="1247"/>
      <c r="R620" s="1248"/>
      <c r="S620" s="1249"/>
      <c r="T620" s="1250"/>
      <c r="U620" s="1251"/>
      <c r="V620" s="1252"/>
      <c r="W620" s="1253"/>
      <c r="X620" s="1254"/>
      <c r="Y620" s="1255"/>
      <c r="Z620" s="1243" t="s">
        <v>2077</v>
      </c>
      <c r="AA620" s="1244"/>
      <c r="AB620" s="1245"/>
      <c r="AC620" s="1237"/>
      <c r="AD620" s="1238"/>
      <c r="AE620" s="1239"/>
      <c r="AF620" s="1119"/>
      <c r="AG620" s="1120"/>
      <c r="AH620" s="1120"/>
      <c r="AI620" s="1120"/>
      <c r="AJ620" s="1121"/>
      <c r="AK620" s="1240"/>
      <c r="AL620" s="1241"/>
      <c r="AM620" s="1241"/>
      <c r="AN620" s="1242"/>
      <c r="AO620" s="1129"/>
      <c r="AP620" s="1129"/>
      <c r="AQ620" s="1129"/>
      <c r="AR620" s="1129"/>
      <c r="AS620" s="1129"/>
      <c r="AT620" s="966" t="str">
        <f t="shared" si="17"/>
        <v/>
      </c>
      <c r="AU620" s="43"/>
      <c r="AV620" s="43"/>
      <c r="AW620" s="43"/>
      <c r="AX620" s="43"/>
      <c r="AY620" s="43"/>
      <c r="AZ620" s="43"/>
      <c r="BA620" s="41" t="s">
        <v>826</v>
      </c>
      <c r="BB620" s="43"/>
      <c r="BC620" s="43"/>
      <c r="BD620" s="43"/>
      <c r="BN620" s="1259">
        <f>SUM(BN616:BR619)</f>
        <v>0</v>
      </c>
      <c r="BO620" s="1260"/>
      <c r="BP620" s="1260"/>
      <c r="BQ620" s="1260"/>
      <c r="BR620" s="1261"/>
      <c r="BS620" s="1259">
        <f>SUM(BS616:BW619)</f>
        <v>0</v>
      </c>
      <c r="BT620" s="1260"/>
      <c r="BU620" s="1260"/>
      <c r="BV620" s="1260"/>
      <c r="BW620" s="1261"/>
      <c r="BX620" s="1259">
        <f>SUM(BX616:CB619)</f>
        <v>1</v>
      </c>
      <c r="BY620" s="1260"/>
      <c r="BZ620" s="1260"/>
      <c r="CA620" s="1260"/>
      <c r="CB620" s="1261"/>
      <c r="CC620" s="1259">
        <f>SUM(CC616:CG619)</f>
        <v>0</v>
      </c>
      <c r="CD620" s="1260"/>
      <c r="CE620" s="1260"/>
      <c r="CF620" s="1260"/>
      <c r="CG620" s="1261"/>
      <c r="CH620" s="1259">
        <f>SUM(CH616:CL619)</f>
        <v>0</v>
      </c>
      <c r="CI620" s="1260"/>
      <c r="CJ620" s="1260"/>
      <c r="CK620" s="1260"/>
      <c r="CL620" s="1261"/>
      <c r="CM620" s="1259">
        <f>SUM(CM616:CQ619)</f>
        <v>0</v>
      </c>
      <c r="CN620" s="1260"/>
      <c r="CO620" s="1260"/>
      <c r="CP620" s="1260"/>
      <c r="CQ620" s="1261"/>
      <c r="CS620" s="480">
        <f>BN620+BS620+BX620+CC620+CH620+CM620</f>
        <v>1</v>
      </c>
      <c r="CT620" s="63" t="s">
        <v>2081</v>
      </c>
      <c r="CU620" s="41"/>
    </row>
    <row r="621" spans="1:126" ht="12.95" customHeight="1">
      <c r="B621" s="58" t="s">
        <v>460</v>
      </c>
      <c r="C621" s="1426"/>
      <c r="D621" s="1426"/>
      <c r="E621" s="1426"/>
      <c r="F621" s="1426"/>
      <c r="G621" s="1426"/>
      <c r="H621" s="1426"/>
      <c r="I621" s="1426"/>
      <c r="J621" s="1426"/>
      <c r="K621" s="1426"/>
      <c r="L621" s="1426"/>
      <c r="M621" s="1246" t="s">
        <v>2077</v>
      </c>
      <c r="N621" s="1246"/>
      <c r="O621" s="1246"/>
      <c r="P621" s="1246"/>
      <c r="Q621" s="1247"/>
      <c r="R621" s="1248"/>
      <c r="S621" s="1249"/>
      <c r="T621" s="1250"/>
      <c r="U621" s="1251"/>
      <c r="V621" s="1252"/>
      <c r="W621" s="1253"/>
      <c r="X621" s="1254"/>
      <c r="Y621" s="1255"/>
      <c r="Z621" s="1243" t="s">
        <v>2077</v>
      </c>
      <c r="AA621" s="1244"/>
      <c r="AB621" s="1245"/>
      <c r="AC621" s="1237"/>
      <c r="AD621" s="1238"/>
      <c r="AE621" s="1239"/>
      <c r="AF621" s="1119"/>
      <c r="AG621" s="1120"/>
      <c r="AH621" s="1120"/>
      <c r="AI621" s="1120"/>
      <c r="AJ621" s="1121"/>
      <c r="AK621" s="1240"/>
      <c r="AL621" s="1241"/>
      <c r="AM621" s="1241"/>
      <c r="AN621" s="1242"/>
      <c r="AO621" s="1129"/>
      <c r="AP621" s="1129"/>
      <c r="AQ621" s="1129"/>
      <c r="AR621" s="1129"/>
      <c r="AS621" s="1129"/>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6"/>
      <c r="D622" s="1426"/>
      <c r="E622" s="1426"/>
      <c r="F622" s="1426"/>
      <c r="G622" s="1426"/>
      <c r="H622" s="1426"/>
      <c r="I622" s="1426"/>
      <c r="J622" s="1426"/>
      <c r="K622" s="1426"/>
      <c r="L622" s="1426"/>
      <c r="M622" s="1246" t="s">
        <v>2077</v>
      </c>
      <c r="N622" s="1246"/>
      <c r="O622" s="1246"/>
      <c r="P622" s="1246"/>
      <c r="Q622" s="1247"/>
      <c r="R622" s="1248"/>
      <c r="S622" s="1249"/>
      <c r="T622" s="1250"/>
      <c r="U622" s="1251"/>
      <c r="V622" s="1252"/>
      <c r="W622" s="1253"/>
      <c r="X622" s="1254"/>
      <c r="Y622" s="1255"/>
      <c r="Z622" s="1243" t="s">
        <v>2077</v>
      </c>
      <c r="AA622" s="1244"/>
      <c r="AB622" s="1245"/>
      <c r="AC622" s="1237"/>
      <c r="AD622" s="1238"/>
      <c r="AE622" s="1239"/>
      <c r="AF622" s="1119"/>
      <c r="AG622" s="1120"/>
      <c r="AH622" s="1120"/>
      <c r="AI622" s="1120"/>
      <c r="AJ622" s="1121"/>
      <c r="AK622" s="1240"/>
      <c r="AL622" s="1241"/>
      <c r="AM622" s="1241"/>
      <c r="AN622" s="1242"/>
      <c r="AO622" s="1129"/>
      <c r="AP622" s="1129"/>
      <c r="AQ622" s="1129"/>
      <c r="AR622" s="1129"/>
      <c r="AS622" s="1129"/>
      <c r="AT622" s="966" t="str">
        <f t="shared" si="17"/>
        <v/>
      </c>
      <c r="AU622" s="43"/>
      <c r="AV622" s="43"/>
      <c r="AW622" s="43"/>
      <c r="AX622" s="43"/>
      <c r="AY622" s="43"/>
      <c r="AZ622" s="43"/>
      <c r="BA622" s="41" t="s">
        <v>528</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463</v>
      </c>
      <c r="C623" s="1426"/>
      <c r="D623" s="1426"/>
      <c r="E623" s="1426"/>
      <c r="F623" s="1426"/>
      <c r="G623" s="1426"/>
      <c r="H623" s="1426"/>
      <c r="I623" s="1426"/>
      <c r="J623" s="1426"/>
      <c r="K623" s="1426"/>
      <c r="L623" s="1426"/>
      <c r="M623" s="1246" t="s">
        <v>2077</v>
      </c>
      <c r="N623" s="1246"/>
      <c r="O623" s="1246"/>
      <c r="P623" s="1246"/>
      <c r="Q623" s="1247"/>
      <c r="R623" s="1248"/>
      <c r="S623" s="1249"/>
      <c r="T623" s="1250"/>
      <c r="U623" s="1251"/>
      <c r="V623" s="1252"/>
      <c r="W623" s="1253"/>
      <c r="X623" s="1254"/>
      <c r="Y623" s="1255"/>
      <c r="Z623" s="1243" t="s">
        <v>2077</v>
      </c>
      <c r="AA623" s="1244"/>
      <c r="AB623" s="1245"/>
      <c r="AC623" s="1237"/>
      <c r="AD623" s="1238"/>
      <c r="AE623" s="1239"/>
      <c r="AF623" s="1119"/>
      <c r="AG623" s="1120"/>
      <c r="AH623" s="1120"/>
      <c r="AI623" s="1120"/>
      <c r="AJ623" s="1121"/>
      <c r="AK623" s="1240"/>
      <c r="AL623" s="1241"/>
      <c r="AM623" s="1241"/>
      <c r="AN623" s="1242"/>
      <c r="AO623" s="1129"/>
      <c r="AP623" s="1129"/>
      <c r="AQ623" s="1129"/>
      <c r="AR623" s="1129"/>
      <c r="AS623" s="1129"/>
      <c r="AT623" s="966"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778</v>
      </c>
      <c r="C624" s="1426"/>
      <c r="D624" s="1426"/>
      <c r="E624" s="1426"/>
      <c r="F624" s="1426"/>
      <c r="G624" s="1426"/>
      <c r="H624" s="1426"/>
      <c r="I624" s="1426"/>
      <c r="J624" s="1426"/>
      <c r="K624" s="1426"/>
      <c r="L624" s="1426"/>
      <c r="M624" s="1246" t="s">
        <v>2077</v>
      </c>
      <c r="N624" s="1246"/>
      <c r="O624" s="1246"/>
      <c r="P624" s="1246"/>
      <c r="Q624" s="1247"/>
      <c r="R624" s="1248"/>
      <c r="S624" s="1249"/>
      <c r="T624" s="1250"/>
      <c r="U624" s="1251"/>
      <c r="V624" s="1252"/>
      <c r="W624" s="1253"/>
      <c r="X624" s="1254"/>
      <c r="Y624" s="1255"/>
      <c r="Z624" s="1243" t="s">
        <v>2077</v>
      </c>
      <c r="AA624" s="1244"/>
      <c r="AB624" s="1245"/>
      <c r="AC624" s="1237"/>
      <c r="AD624" s="1238"/>
      <c r="AE624" s="1239"/>
      <c r="AF624" s="1119"/>
      <c r="AG624" s="1120"/>
      <c r="AH624" s="1120"/>
      <c r="AI624" s="1120"/>
      <c r="AJ624" s="1121"/>
      <c r="AK624" s="1240"/>
      <c r="AL624" s="1241"/>
      <c r="AM624" s="1241"/>
      <c r="AN624" s="1242"/>
      <c r="AO624" s="1129"/>
      <c r="AP624" s="1129"/>
      <c r="AQ624" s="1129"/>
      <c r="AR624" s="1129"/>
      <c r="AS624" s="1129"/>
      <c r="AT624" s="966"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779</v>
      </c>
      <c r="C625" s="1426"/>
      <c r="D625" s="1426"/>
      <c r="E625" s="1426"/>
      <c r="F625" s="1426"/>
      <c r="G625" s="1426"/>
      <c r="H625" s="1426"/>
      <c r="I625" s="1426"/>
      <c r="J625" s="1426"/>
      <c r="K625" s="1426"/>
      <c r="L625" s="1426"/>
      <c r="M625" s="1246" t="s">
        <v>2077</v>
      </c>
      <c r="N625" s="1246"/>
      <c r="O625" s="1246"/>
      <c r="P625" s="1246"/>
      <c r="Q625" s="1247"/>
      <c r="R625" s="1248"/>
      <c r="S625" s="1249"/>
      <c r="T625" s="1250"/>
      <c r="U625" s="1251"/>
      <c r="V625" s="1252"/>
      <c r="W625" s="1253"/>
      <c r="X625" s="1254"/>
      <c r="Y625" s="1255"/>
      <c r="Z625" s="1243" t="s">
        <v>2077</v>
      </c>
      <c r="AA625" s="1244"/>
      <c r="AB625" s="1245"/>
      <c r="AC625" s="1237"/>
      <c r="AD625" s="1238"/>
      <c r="AE625" s="1239"/>
      <c r="AF625" s="1119"/>
      <c r="AG625" s="1120"/>
      <c r="AH625" s="1120"/>
      <c r="AI625" s="1120"/>
      <c r="AJ625" s="1121"/>
      <c r="AK625" s="1240"/>
      <c r="AL625" s="1241"/>
      <c r="AM625" s="1241"/>
      <c r="AN625" s="1242"/>
      <c r="AO625" s="1129"/>
      <c r="AP625" s="1129"/>
      <c r="AQ625" s="1129"/>
      <c r="AR625" s="1129"/>
      <c r="AS625" s="1129"/>
      <c r="AT625" s="966"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577</v>
      </c>
      <c r="C626" s="1426"/>
      <c r="D626" s="1426"/>
      <c r="E626" s="1426"/>
      <c r="F626" s="1426"/>
      <c r="G626" s="1426"/>
      <c r="H626" s="1426"/>
      <c r="I626" s="1426"/>
      <c r="J626" s="1426"/>
      <c r="K626" s="1426"/>
      <c r="L626" s="1426"/>
      <c r="M626" s="1246" t="s">
        <v>2077</v>
      </c>
      <c r="N626" s="1246"/>
      <c r="O626" s="1246"/>
      <c r="P626" s="1246"/>
      <c r="Q626" s="1247"/>
      <c r="R626" s="1248"/>
      <c r="S626" s="1249"/>
      <c r="T626" s="1250"/>
      <c r="U626" s="1251"/>
      <c r="V626" s="1252"/>
      <c r="W626" s="1253"/>
      <c r="X626" s="1254"/>
      <c r="Y626" s="1255"/>
      <c r="Z626" s="1243" t="s">
        <v>2077</v>
      </c>
      <c r="AA626" s="1244"/>
      <c r="AB626" s="1245"/>
      <c r="AC626" s="1237"/>
      <c r="AD626" s="1238"/>
      <c r="AE626" s="1239"/>
      <c r="AF626" s="1119"/>
      <c r="AG626" s="1120"/>
      <c r="AH626" s="1120"/>
      <c r="AI626" s="1120"/>
      <c r="AJ626" s="1121"/>
      <c r="AK626" s="1240"/>
      <c r="AL626" s="1241"/>
      <c r="AM626" s="1241"/>
      <c r="AN626" s="1242"/>
      <c r="AO626" s="1129"/>
      <c r="AP626" s="1129"/>
      <c r="AQ626" s="1129"/>
      <c r="AR626" s="1129"/>
      <c r="AS626" s="1129"/>
      <c r="AT626" s="966"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26"/>
      <c r="D627" s="1426"/>
      <c r="E627" s="1426"/>
      <c r="F627" s="1426"/>
      <c r="G627" s="1426"/>
      <c r="H627" s="1426"/>
      <c r="I627" s="1426"/>
      <c r="J627" s="1426"/>
      <c r="K627" s="1426"/>
      <c r="L627" s="1426"/>
      <c r="M627" s="1246" t="s">
        <v>2077</v>
      </c>
      <c r="N627" s="1246"/>
      <c r="O627" s="1246"/>
      <c r="P627" s="1246"/>
      <c r="Q627" s="1247"/>
      <c r="R627" s="1248"/>
      <c r="S627" s="1249"/>
      <c r="T627" s="1250"/>
      <c r="U627" s="1251"/>
      <c r="V627" s="1252"/>
      <c r="W627" s="1253"/>
      <c r="X627" s="1254"/>
      <c r="Y627" s="1255"/>
      <c r="Z627" s="1243" t="s">
        <v>2077</v>
      </c>
      <c r="AA627" s="1244"/>
      <c r="AB627" s="1245"/>
      <c r="AC627" s="1237"/>
      <c r="AD627" s="1238"/>
      <c r="AE627" s="1239"/>
      <c r="AF627" s="1119"/>
      <c r="AG627" s="1120"/>
      <c r="AH627" s="1120"/>
      <c r="AI627" s="1120"/>
      <c r="AJ627" s="1121"/>
      <c r="AK627" s="1240"/>
      <c r="AL627" s="1241"/>
      <c r="AM627" s="1241"/>
      <c r="AN627" s="1242"/>
      <c r="AO627" s="1129"/>
      <c r="AP627" s="1129"/>
      <c r="AQ627" s="1129"/>
      <c r="AR627" s="1129"/>
      <c r="AS627" s="1129"/>
      <c r="AT627" s="966"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26"/>
      <c r="D628" s="1426"/>
      <c r="E628" s="1426"/>
      <c r="F628" s="1426"/>
      <c r="G628" s="1426"/>
      <c r="H628" s="1426"/>
      <c r="I628" s="1426"/>
      <c r="J628" s="1426"/>
      <c r="K628" s="1426"/>
      <c r="L628" s="1426"/>
      <c r="M628" s="1246" t="s">
        <v>2077</v>
      </c>
      <c r="N628" s="1246"/>
      <c r="O628" s="1246"/>
      <c r="P628" s="1246"/>
      <c r="Q628" s="1247"/>
      <c r="R628" s="1248"/>
      <c r="S628" s="1249"/>
      <c r="T628" s="1250"/>
      <c r="U628" s="1251"/>
      <c r="V628" s="1252"/>
      <c r="W628" s="1253"/>
      <c r="X628" s="1254"/>
      <c r="Y628" s="1255"/>
      <c r="Z628" s="1243" t="s">
        <v>2077</v>
      </c>
      <c r="AA628" s="1244"/>
      <c r="AB628" s="1245"/>
      <c r="AC628" s="1237"/>
      <c r="AD628" s="1238"/>
      <c r="AE628" s="1239"/>
      <c r="AF628" s="1119"/>
      <c r="AG628" s="1120"/>
      <c r="AH628" s="1120"/>
      <c r="AI628" s="1120"/>
      <c r="AJ628" s="1121"/>
      <c r="AK628" s="1240"/>
      <c r="AL628" s="1241"/>
      <c r="AM628" s="1241"/>
      <c r="AN628" s="1242"/>
      <c r="AO628" s="1129"/>
      <c r="AP628" s="1129"/>
      <c r="AQ628" s="1129"/>
      <c r="AR628" s="1129"/>
      <c r="AS628" s="1129"/>
      <c r="AT628" s="966"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26"/>
      <c r="D629" s="1426"/>
      <c r="E629" s="1426"/>
      <c r="F629" s="1426"/>
      <c r="G629" s="1426"/>
      <c r="H629" s="1426"/>
      <c r="I629" s="1426"/>
      <c r="J629" s="1426"/>
      <c r="K629" s="1426"/>
      <c r="L629" s="1426"/>
      <c r="M629" s="1246" t="s">
        <v>2077</v>
      </c>
      <c r="N629" s="1246"/>
      <c r="O629" s="1246"/>
      <c r="P629" s="1246"/>
      <c r="Q629" s="1247"/>
      <c r="R629" s="1248"/>
      <c r="S629" s="1249"/>
      <c r="T629" s="1250"/>
      <c r="U629" s="1251"/>
      <c r="V629" s="1252"/>
      <c r="W629" s="1253"/>
      <c r="X629" s="1254"/>
      <c r="Y629" s="1255"/>
      <c r="Z629" s="1243" t="s">
        <v>2077</v>
      </c>
      <c r="AA629" s="1244"/>
      <c r="AB629" s="1245"/>
      <c r="AC629" s="1237"/>
      <c r="AD629" s="1238"/>
      <c r="AE629" s="1239"/>
      <c r="AF629" s="1119"/>
      <c r="AG629" s="1120"/>
      <c r="AH629" s="1120"/>
      <c r="AI629" s="1120"/>
      <c r="AJ629" s="1121"/>
      <c r="AK629" s="1240"/>
      <c r="AL629" s="1241"/>
      <c r="AM629" s="1241"/>
      <c r="AN629" s="1242"/>
      <c r="AO629" s="1129"/>
      <c r="AP629" s="1129"/>
      <c r="AQ629" s="1129"/>
      <c r="AR629" s="1129"/>
      <c r="AS629" s="1129"/>
      <c r="AT629" s="966"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39" t="s">
        <v>383</v>
      </c>
      <c r="C630" s="1140"/>
      <c r="D630" s="1140"/>
      <c r="E630" s="1140"/>
      <c r="F630" s="1140"/>
      <c r="G630" s="1140"/>
      <c r="H630" s="1140"/>
      <c r="I630" s="1140"/>
      <c r="J630" s="1140"/>
      <c r="K630" s="1140"/>
      <c r="L630" s="1140"/>
      <c r="M630" s="1140"/>
      <c r="N630" s="1140"/>
      <c r="O630" s="1140"/>
      <c r="P630" s="1140"/>
      <c r="Q630" s="1140"/>
      <c r="R630" s="1140"/>
      <c r="S630" s="1140"/>
      <c r="T630" s="1140"/>
      <c r="U630" s="1140"/>
      <c r="V630" s="1140"/>
      <c r="W630" s="1140"/>
      <c r="X630" s="1140"/>
      <c r="Y630" s="1140"/>
      <c r="Z630" s="1140"/>
      <c r="AA630" s="1140"/>
      <c r="AB630" s="1140"/>
      <c r="AC630" s="1140"/>
      <c r="AD630" s="1140"/>
      <c r="AE630" s="1140"/>
      <c r="AF630" s="1140"/>
      <c r="AG630" s="1140"/>
      <c r="AH630" s="1140"/>
      <c r="AI630" s="1140"/>
      <c r="AJ630" s="1140"/>
      <c r="AK630" s="1140"/>
      <c r="AL630" s="1140"/>
      <c r="AM630" s="1140"/>
      <c r="AN630" s="1141"/>
      <c r="AO630" s="1156">
        <f>SUM(AO618:AS629)</f>
        <v>6819253.9178492725</v>
      </c>
      <c r="AP630" s="1157"/>
      <c r="AQ630" s="1157"/>
      <c r="AR630" s="1157"/>
      <c r="AS630" s="1158"/>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39" t="s">
        <v>384</v>
      </c>
      <c r="C631" s="1140"/>
      <c r="D631" s="1140"/>
      <c r="E631" s="1140"/>
      <c r="F631" s="1140"/>
      <c r="G631" s="1140"/>
      <c r="H631" s="1140"/>
      <c r="I631" s="1140"/>
      <c r="J631" s="1140"/>
      <c r="K631" s="1140"/>
      <c r="L631" s="1140"/>
      <c r="M631" s="1140"/>
      <c r="N631" s="1140"/>
      <c r="O631" s="1140"/>
      <c r="P631" s="1140"/>
      <c r="Q631" s="1140"/>
      <c r="R631" s="1140"/>
      <c r="S631" s="1140"/>
      <c r="T631" s="1140"/>
      <c r="U631" s="1140"/>
      <c r="V631" s="1140"/>
      <c r="W631" s="1140"/>
      <c r="X631" s="1140"/>
      <c r="Y631" s="1140"/>
      <c r="Z631" s="1140"/>
      <c r="AA631" s="1140"/>
      <c r="AB631" s="1140"/>
      <c r="AC631" s="1140"/>
      <c r="AD631" s="1140"/>
      <c r="AE631" s="1140"/>
      <c r="AF631" s="1140"/>
      <c r="AG631" s="1140"/>
      <c r="AH631" s="1140"/>
      <c r="AI631" s="1140"/>
      <c r="AJ631" s="1140"/>
      <c r="AK631" s="1140"/>
      <c r="AL631" s="1140"/>
      <c r="AM631" s="1140"/>
      <c r="AN631" s="1141"/>
      <c r="AO631" s="1165">
        <v>31992709.791179001</v>
      </c>
      <c r="AP631" s="1166"/>
      <c r="AQ631" s="1166"/>
      <c r="AR631" s="1166"/>
      <c r="AS631" s="1167"/>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27" t="s">
        <v>984</v>
      </c>
      <c r="C632" s="1428"/>
      <c r="D632" s="1428"/>
      <c r="E632" s="1428"/>
      <c r="F632" s="1428"/>
      <c r="G632" s="1428"/>
      <c r="H632" s="1428"/>
      <c r="I632" s="1428"/>
      <c r="J632" s="1428"/>
      <c r="K632" s="1428"/>
      <c r="L632" s="1428"/>
      <c r="M632" s="1428"/>
      <c r="N632" s="1428"/>
      <c r="O632" s="1428"/>
      <c r="P632" s="1428"/>
      <c r="Q632" s="1428"/>
      <c r="R632" s="1428"/>
      <c r="S632" s="1428"/>
      <c r="T632" s="1428"/>
      <c r="U632" s="1428"/>
      <c r="V632" s="1428"/>
      <c r="W632" s="1428"/>
      <c r="X632" s="1428"/>
      <c r="Y632" s="1428"/>
      <c r="Z632" s="1428"/>
      <c r="AA632" s="1428"/>
      <c r="AB632" s="1428"/>
      <c r="AC632" s="1428"/>
      <c r="AD632" s="1428"/>
      <c r="AE632" s="1428"/>
      <c r="AF632" s="1428"/>
      <c r="AG632" s="1428"/>
      <c r="AH632" s="1428"/>
      <c r="AI632" s="1428"/>
      <c r="AJ632" s="1428"/>
      <c r="AK632" s="1428"/>
      <c r="AL632" s="1428"/>
      <c r="AM632" s="1428"/>
      <c r="AN632" s="1429"/>
      <c r="AO632" s="1156">
        <f>AO630+AO631</f>
        <v>38811963.709028274</v>
      </c>
      <c r="AP632" s="1157"/>
      <c r="AQ632" s="1157"/>
      <c r="AR632" s="1157"/>
      <c r="AS632" s="1158"/>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189" t="str">
        <f>C618</f>
        <v xml:space="preserve">Citibank/Permanent Loan </v>
      </c>
      <c r="H634" s="1189"/>
      <c r="I634" s="1189"/>
      <c r="J634" s="1189"/>
      <c r="K634" s="1189"/>
      <c r="L634" s="1189"/>
      <c r="M634" s="1189"/>
      <c r="N634" s="1189"/>
      <c r="O634" s="1189"/>
      <c r="P634" s="1189"/>
      <c r="Q634" s="1189"/>
      <c r="R634" s="1189"/>
      <c r="S634" s="12"/>
      <c r="T634" s="61" t="s">
        <v>945</v>
      </c>
      <c r="U634" t="s">
        <v>90</v>
      </c>
      <c r="Z634" s="1189" t="str">
        <f>C619</f>
        <v>Deferred Developer Fee</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233" t="s">
        <v>2467</v>
      </c>
      <c r="H635" s="1233"/>
      <c r="I635" s="1233"/>
      <c r="J635" s="1233"/>
      <c r="K635" s="1233"/>
      <c r="L635" s="1233"/>
      <c r="M635" s="1233"/>
      <c r="N635" s="1233"/>
      <c r="O635" s="1233"/>
      <c r="P635" s="1233"/>
      <c r="Q635" s="1233"/>
      <c r="R635" s="1233"/>
      <c r="S635" s="12"/>
      <c r="T635" s="4"/>
      <c r="U635" t="s">
        <v>397</v>
      </c>
      <c r="Z635" s="1233" t="s">
        <v>2464</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3" t="s">
        <v>2396</v>
      </c>
      <c r="H636" s="1233"/>
      <c r="I636" s="1233"/>
      <c r="J636" s="1233"/>
      <c r="K636" s="1233"/>
      <c r="L636" s="1233"/>
      <c r="M636" s="1233"/>
      <c r="N636" s="1233"/>
      <c r="O636" s="1233"/>
      <c r="P636" s="1233"/>
      <c r="Q636" s="1233"/>
      <c r="R636" s="1233"/>
      <c r="T636" s="4"/>
      <c r="U636" t="s">
        <v>459</v>
      </c>
      <c r="Z636" s="1235" t="s">
        <v>2389</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1804</v>
      </c>
      <c r="CQ636" s="481">
        <f>CQ634+CQ615</f>
        <v>140</v>
      </c>
      <c r="CR636" s="41"/>
      <c r="CS636" s="41"/>
    </row>
    <row r="637" spans="1:97" ht="12.95" customHeight="1">
      <c r="A637" s="4"/>
      <c r="B637" t="s">
        <v>874</v>
      </c>
      <c r="G637" s="1233" t="s">
        <v>2459</v>
      </c>
      <c r="H637" s="1233"/>
      <c r="I637" s="1233"/>
      <c r="J637" s="1233"/>
      <c r="K637" s="1233"/>
      <c r="L637" s="1233"/>
      <c r="M637" s="1233"/>
      <c r="N637" s="1233"/>
      <c r="O637" s="1233"/>
      <c r="P637" s="1233"/>
      <c r="Q637" s="1233"/>
      <c r="R637" s="1233"/>
      <c r="S637" s="12"/>
      <c r="T637" s="4"/>
      <c r="U637" t="s">
        <v>874</v>
      </c>
      <c r="Z637" s="1235" t="s">
        <v>2465</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236" t="s">
        <v>2460</v>
      </c>
      <c r="H638" s="1234"/>
      <c r="I638" s="1234"/>
      <c r="J638" s="1234"/>
      <c r="K638" s="1234"/>
      <c r="L638" s="1234"/>
      <c r="O638" s="42" t="s">
        <v>859</v>
      </c>
      <c r="P638" s="1231"/>
      <c r="Q638" s="1231"/>
      <c r="R638" s="1231"/>
      <c r="S638" s="14"/>
      <c r="T638" s="4"/>
      <c r="U638" t="s">
        <v>686</v>
      </c>
      <c r="Z638" s="1236" t="s">
        <v>2382</v>
      </c>
      <c r="AA638" s="1234"/>
      <c r="AB638" s="1234"/>
      <c r="AC638" s="1234"/>
      <c r="AD638" s="1234"/>
      <c r="AE638" s="1234"/>
      <c r="AH638" s="42" t="s">
        <v>859</v>
      </c>
      <c r="AI638" s="1231"/>
      <c r="AJ638" s="1231"/>
      <c r="AK638" s="1231"/>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0</v>
      </c>
      <c r="BT638" s="1260"/>
      <c r="BU638" s="1260"/>
      <c r="BV638" s="1260"/>
      <c r="BW638" s="1261"/>
      <c r="BX638" s="1259">
        <f>BX613+BX620+BX632</f>
        <v>41</v>
      </c>
      <c r="BY638" s="1260"/>
      <c r="BZ638" s="1260"/>
      <c r="CA638" s="1260"/>
      <c r="CB638" s="1261"/>
      <c r="CC638" s="1259">
        <f>CC613+CC620+CC632</f>
        <v>20</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875</v>
      </c>
      <c r="H639" s="1233" t="s">
        <v>2468</v>
      </c>
      <c r="I639" s="1233"/>
      <c r="J639" s="1233"/>
      <c r="K639" s="1233"/>
      <c r="L639" s="1233"/>
      <c r="M639" s="1233"/>
      <c r="N639" s="1233"/>
      <c r="O639" s="1233"/>
      <c r="P639" s="1233"/>
      <c r="Q639" s="1233"/>
      <c r="R639" s="1233"/>
      <c r="S639" s="12"/>
      <c r="T639" s="4"/>
      <c r="U639" t="s">
        <v>875</v>
      </c>
      <c r="AA639" s="1233" t="s">
        <v>2427</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232" t="s">
        <v>116</v>
      </c>
      <c r="O640" s="1232"/>
      <c r="T640" s="4"/>
      <c r="U640" t="s">
        <v>877</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189">
        <f>C620</f>
        <v>0</v>
      </c>
      <c r="H642" s="1189"/>
      <c r="I642" s="1189"/>
      <c r="J642" s="1189"/>
      <c r="K642" s="1189"/>
      <c r="L642" s="1189"/>
      <c r="M642" s="1189"/>
      <c r="N642" s="1189"/>
      <c r="O642" s="1189"/>
      <c r="P642" s="1189"/>
      <c r="Q642" s="1189"/>
      <c r="R642" s="1189"/>
      <c r="T642" s="61" t="s">
        <v>460</v>
      </c>
      <c r="U642" t="s">
        <v>90</v>
      </c>
      <c r="Z642" s="1189">
        <f>C621</f>
        <v>0</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3"/>
      <c r="H643" s="1233"/>
      <c r="I643" s="1233"/>
      <c r="J643" s="1233"/>
      <c r="K643" s="1233"/>
      <c r="L643" s="1233"/>
      <c r="M643" s="1233"/>
      <c r="N643" s="1233"/>
      <c r="O643" s="1233"/>
      <c r="P643" s="1233"/>
      <c r="Q643" s="1233"/>
      <c r="R643" s="1233"/>
      <c r="T643" s="4"/>
      <c r="U643" t="s">
        <v>397</v>
      </c>
      <c r="Z643" s="1233"/>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5"/>
      <c r="H644" s="1235"/>
      <c r="I644" s="1235"/>
      <c r="J644" s="1235"/>
      <c r="K644" s="1235"/>
      <c r="L644" s="1235"/>
      <c r="M644" s="1235"/>
      <c r="N644" s="1235"/>
      <c r="O644" s="1235"/>
      <c r="P644" s="1235"/>
      <c r="Q644" s="1235"/>
      <c r="R644" s="1235"/>
      <c r="T644" s="4"/>
      <c r="U644" t="s">
        <v>459</v>
      </c>
      <c r="Z644" s="1235"/>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235"/>
      <c r="H645" s="1235"/>
      <c r="I645" s="1235"/>
      <c r="J645" s="1235"/>
      <c r="K645" s="1235"/>
      <c r="L645" s="1235"/>
      <c r="M645" s="1235"/>
      <c r="N645" s="1235"/>
      <c r="O645" s="1235"/>
      <c r="P645" s="1235"/>
      <c r="Q645" s="1235"/>
      <c r="R645" s="1235"/>
      <c r="T645" s="4"/>
      <c r="U645" t="s">
        <v>874</v>
      </c>
      <c r="Z645" s="1235"/>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234"/>
      <c r="H646" s="1234"/>
      <c r="I646" s="1234"/>
      <c r="J646" s="1234"/>
      <c r="K646" s="1234"/>
      <c r="L646" s="1234"/>
      <c r="O646" s="42" t="s">
        <v>859</v>
      </c>
      <c r="P646" s="1231"/>
      <c r="Q646" s="1231"/>
      <c r="R646" s="1231"/>
      <c r="T646" s="4"/>
      <c r="U646" t="s">
        <v>686</v>
      </c>
      <c r="Z646" s="1234"/>
      <c r="AA646" s="1234"/>
      <c r="AB646" s="1234"/>
      <c r="AC646" s="1234"/>
      <c r="AD646" s="1234"/>
      <c r="AE646" s="1234"/>
      <c r="AH646" s="42" t="s">
        <v>859</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233"/>
      <c r="I647" s="1233"/>
      <c r="J647" s="1233"/>
      <c r="K647" s="1233"/>
      <c r="L647" s="1233"/>
      <c r="M647" s="1233"/>
      <c r="N647" s="1233"/>
      <c r="O647" s="1233"/>
      <c r="P647" s="1233"/>
      <c r="Q647" s="1233"/>
      <c r="R647" s="1233"/>
      <c r="T647" s="4"/>
      <c r="U647" t="s">
        <v>875</v>
      </c>
      <c r="AA647" s="1233"/>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232" t="s">
        <v>511</v>
      </c>
      <c r="O648" s="1232"/>
      <c r="T648" s="4"/>
      <c r="U648" t="s">
        <v>877</v>
      </c>
      <c r="AG648" s="1232" t="s">
        <v>511</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f>C622</f>
        <v>0</v>
      </c>
      <c r="H650" s="1189"/>
      <c r="I650" s="1189"/>
      <c r="J650" s="1189"/>
      <c r="K650" s="1189"/>
      <c r="L650" s="1189"/>
      <c r="M650" s="1189"/>
      <c r="N650" s="1189"/>
      <c r="O650" s="1189"/>
      <c r="P650" s="1189"/>
      <c r="Q650" s="1189"/>
      <c r="R650" s="1189"/>
      <c r="T650" s="61" t="s">
        <v>463</v>
      </c>
      <c r="U650" t="s">
        <v>90</v>
      </c>
      <c r="Z650" s="1189">
        <f>C623</f>
        <v>0</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3"/>
      <c r="H651" s="1233"/>
      <c r="I651" s="1233"/>
      <c r="J651" s="1233"/>
      <c r="K651" s="1233"/>
      <c r="L651" s="1233"/>
      <c r="M651" s="1233"/>
      <c r="N651" s="1233"/>
      <c r="O651" s="1233"/>
      <c r="P651" s="1233"/>
      <c r="Q651" s="1233"/>
      <c r="R651" s="1233"/>
      <c r="T651" s="4"/>
      <c r="U651" t="s">
        <v>397</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3"/>
      <c r="H652" s="1233"/>
      <c r="I652" s="1233"/>
      <c r="J652" s="1233"/>
      <c r="K652" s="1233"/>
      <c r="L652" s="1233"/>
      <c r="M652" s="1233"/>
      <c r="N652" s="1233"/>
      <c r="O652" s="1233"/>
      <c r="P652" s="1233"/>
      <c r="Q652" s="1233"/>
      <c r="R652" s="1233"/>
      <c r="T652" s="4"/>
      <c r="U652" t="s">
        <v>459</v>
      </c>
      <c r="Z652" s="1235"/>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233"/>
      <c r="H653" s="1233"/>
      <c r="I653" s="1233"/>
      <c r="J653" s="1233"/>
      <c r="K653" s="1233"/>
      <c r="L653" s="1233"/>
      <c r="M653" s="1233"/>
      <c r="N653" s="1233"/>
      <c r="O653" s="1233"/>
      <c r="P653" s="1233"/>
      <c r="Q653" s="1233"/>
      <c r="R653" s="1233"/>
      <c r="T653" s="4"/>
      <c r="U653" t="s">
        <v>874</v>
      </c>
      <c r="Z653" s="1235"/>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234"/>
      <c r="H654" s="1234"/>
      <c r="I654" s="1234"/>
      <c r="J654" s="1234"/>
      <c r="K654" s="1234"/>
      <c r="L654" s="1234"/>
      <c r="O654" s="42" t="s">
        <v>859</v>
      </c>
      <c r="P654" s="1231"/>
      <c r="Q654" s="1231"/>
      <c r="R654" s="1231"/>
      <c r="T654" s="4"/>
      <c r="U654" t="s">
        <v>686</v>
      </c>
      <c r="Z654" s="1234"/>
      <c r="AA654" s="1234"/>
      <c r="AB654" s="1234"/>
      <c r="AC654" s="1234"/>
      <c r="AD654" s="1234"/>
      <c r="AE654" s="1234"/>
      <c r="AH654" s="42" t="s">
        <v>859</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233"/>
      <c r="I655" s="1233"/>
      <c r="J655" s="1233"/>
      <c r="K655" s="1233"/>
      <c r="L655" s="1233"/>
      <c r="M655" s="1233"/>
      <c r="N655" s="1233"/>
      <c r="O655" s="1233"/>
      <c r="P655" s="1233"/>
      <c r="Q655" s="1233"/>
      <c r="R655" s="1233"/>
      <c r="T655" s="4"/>
      <c r="U655" t="s">
        <v>875</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232" t="s">
        <v>511</v>
      </c>
      <c r="O656" s="1232"/>
      <c r="T656" s="4"/>
      <c r="U656" t="s">
        <v>877</v>
      </c>
      <c r="AG656" s="1232" t="s">
        <v>511</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189">
        <f>C624</f>
        <v>0</v>
      </c>
      <c r="H658" s="1189"/>
      <c r="I658" s="1189"/>
      <c r="J658" s="1189"/>
      <c r="K658" s="1189"/>
      <c r="L658" s="1189"/>
      <c r="M658" s="1189"/>
      <c r="N658" s="1189"/>
      <c r="O658" s="1189"/>
      <c r="P658" s="1189"/>
      <c r="Q658" s="1189"/>
      <c r="R658" s="1189"/>
      <c r="T658" s="61" t="s">
        <v>779</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3"/>
      <c r="H659" s="1233"/>
      <c r="I659" s="1233"/>
      <c r="J659" s="1233"/>
      <c r="K659" s="1233"/>
      <c r="L659" s="1233"/>
      <c r="M659" s="1233"/>
      <c r="N659" s="1233"/>
      <c r="O659" s="1233"/>
      <c r="P659" s="1233"/>
      <c r="Q659" s="1233"/>
      <c r="R659" s="1233"/>
      <c r="T659" s="4"/>
      <c r="U659" t="s">
        <v>397</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3"/>
      <c r="H660" s="1233"/>
      <c r="I660" s="1233"/>
      <c r="J660" s="1233"/>
      <c r="K660" s="1233"/>
      <c r="L660" s="1233"/>
      <c r="M660" s="1233"/>
      <c r="N660" s="1233"/>
      <c r="O660" s="1233"/>
      <c r="P660" s="1233"/>
      <c r="Q660" s="1233"/>
      <c r="R660" s="1233"/>
      <c r="T660" s="4"/>
      <c r="U660" t="s">
        <v>459</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233"/>
      <c r="H661" s="1233"/>
      <c r="I661" s="1233"/>
      <c r="J661" s="1233"/>
      <c r="K661" s="1233"/>
      <c r="L661" s="1233"/>
      <c r="M661" s="1233"/>
      <c r="N661" s="1233"/>
      <c r="O661" s="1233"/>
      <c r="P661" s="1233"/>
      <c r="Q661" s="1233"/>
      <c r="R661" s="1233"/>
      <c r="T661" s="4"/>
      <c r="U661" t="s">
        <v>874</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234"/>
      <c r="H662" s="1234"/>
      <c r="I662" s="1234"/>
      <c r="J662" s="1234"/>
      <c r="K662" s="1234"/>
      <c r="L662" s="1234"/>
      <c r="O662" s="42" t="s">
        <v>859</v>
      </c>
      <c r="P662" s="1231"/>
      <c r="Q662" s="1231"/>
      <c r="R662" s="1231"/>
      <c r="T662" s="4"/>
      <c r="U662" t="s">
        <v>686</v>
      </c>
      <c r="Z662" s="1234"/>
      <c r="AA662" s="1234"/>
      <c r="AB662" s="1234"/>
      <c r="AC662" s="1234"/>
      <c r="AD662" s="1234"/>
      <c r="AE662" s="1234"/>
      <c r="AH662" s="42" t="s">
        <v>859</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233"/>
      <c r="I663" s="1233"/>
      <c r="J663" s="1233"/>
      <c r="K663" s="1233"/>
      <c r="L663" s="1233"/>
      <c r="M663" s="1233"/>
      <c r="N663" s="1233"/>
      <c r="O663" s="1233"/>
      <c r="P663" s="1233"/>
      <c r="Q663" s="1233"/>
      <c r="R663" s="1233"/>
      <c r="T663" s="4"/>
      <c r="U663" t="s">
        <v>875</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232" t="s">
        <v>511</v>
      </c>
      <c r="O664" s="1232"/>
      <c r="T664" s="4"/>
      <c r="U664" t="s">
        <v>877</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3"/>
      <c r="H667" s="1233"/>
      <c r="I667" s="1233"/>
      <c r="J667" s="1233"/>
      <c r="K667" s="1233"/>
      <c r="L667" s="1233"/>
      <c r="M667" s="1233"/>
      <c r="N667" s="1233"/>
      <c r="O667" s="1233"/>
      <c r="P667" s="1233"/>
      <c r="Q667" s="1233"/>
      <c r="R667" s="1233"/>
      <c r="T667" s="4"/>
      <c r="U667" t="s">
        <v>397</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3"/>
      <c r="H668" s="1233"/>
      <c r="I668" s="1233"/>
      <c r="J668" s="1233"/>
      <c r="K668" s="1233"/>
      <c r="L668" s="1233"/>
      <c r="M668" s="1233"/>
      <c r="N668" s="1233"/>
      <c r="O668" s="1233"/>
      <c r="P668" s="1233"/>
      <c r="Q668" s="1233"/>
      <c r="R668" s="1233"/>
      <c r="T668" s="4"/>
      <c r="U668" t="s">
        <v>459</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233"/>
      <c r="H669" s="1233"/>
      <c r="I669" s="1233"/>
      <c r="J669" s="1233"/>
      <c r="K669" s="1233"/>
      <c r="L669" s="1233"/>
      <c r="M669" s="1233"/>
      <c r="N669" s="1233"/>
      <c r="O669" s="1233"/>
      <c r="P669" s="1233"/>
      <c r="Q669" s="1233"/>
      <c r="R669" s="1233"/>
      <c r="T669" s="4"/>
      <c r="U669" t="s">
        <v>874</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234"/>
      <c r="H670" s="1234"/>
      <c r="I670" s="1234"/>
      <c r="J670" s="1234"/>
      <c r="K670" s="1234"/>
      <c r="L670" s="1234"/>
      <c r="O670" s="42" t="s">
        <v>859</v>
      </c>
      <c r="P670" s="1231"/>
      <c r="Q670" s="1231"/>
      <c r="R670" s="1231"/>
      <c r="T670" s="4"/>
      <c r="U670" t="s">
        <v>686</v>
      </c>
      <c r="Z670" s="1234"/>
      <c r="AA670" s="1234"/>
      <c r="AB670" s="1234"/>
      <c r="AC670" s="1234"/>
      <c r="AD670" s="1234"/>
      <c r="AE670" s="1234"/>
      <c r="AH670" s="42" t="s">
        <v>859</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233"/>
      <c r="I671" s="1233"/>
      <c r="J671" s="1233"/>
      <c r="K671" s="1233"/>
      <c r="L671" s="1233"/>
      <c r="M671" s="1233"/>
      <c r="N671" s="1233"/>
      <c r="O671" s="1233"/>
      <c r="P671" s="1233"/>
      <c r="Q671" s="1233"/>
      <c r="R671" s="1233"/>
      <c r="T671" s="4"/>
      <c r="U671" t="s">
        <v>875</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232" t="s">
        <v>511</v>
      </c>
      <c r="O672" s="1232"/>
      <c r="T672" s="4"/>
      <c r="U672" t="s">
        <v>877</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3"/>
      <c r="H675" s="1233"/>
      <c r="I675" s="1233"/>
      <c r="J675" s="1233"/>
      <c r="K675" s="1233"/>
      <c r="L675" s="1233"/>
      <c r="M675" s="1233"/>
      <c r="N675" s="1233"/>
      <c r="O675" s="1233"/>
      <c r="P675" s="1233"/>
      <c r="Q675" s="1233"/>
      <c r="R675" s="1233"/>
      <c r="T675" s="4"/>
      <c r="U675" t="s">
        <v>397</v>
      </c>
      <c r="Z675" s="1233"/>
      <c r="AA675" s="1233"/>
      <c r="AB675" s="1233"/>
      <c r="AC675" s="1233"/>
      <c r="AD675" s="1233"/>
      <c r="AE675" s="1233"/>
      <c r="AF675" s="1233"/>
      <c r="AG675" s="1233"/>
      <c r="AH675" s="1233"/>
      <c r="AI675" s="1233"/>
      <c r="AJ675" s="1233"/>
      <c r="AK675" s="1233"/>
      <c r="AM675" s="43"/>
      <c r="BA675" s="43">
        <f>IF($G692=0,"N/A",VLOOKUP($T$189,TC_Rent,(MATCH($B692,bedrooms,FALSE))))</f>
        <v>2680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3"/>
      <c r="H676" s="1233"/>
      <c r="I676" s="1233"/>
      <c r="J676" s="1233"/>
      <c r="K676" s="1233"/>
      <c r="L676" s="1233"/>
      <c r="M676" s="1233"/>
      <c r="N676" s="1233"/>
      <c r="O676" s="1233"/>
      <c r="P676" s="1233"/>
      <c r="Q676" s="1233"/>
      <c r="R676" s="1233"/>
      <c r="U676" t="s">
        <v>459</v>
      </c>
      <c r="Z676" s="1235"/>
      <c r="AA676" s="1235"/>
      <c r="AB676" s="1235"/>
      <c r="AC676" s="1235"/>
      <c r="AD676" s="1235"/>
      <c r="AE676" s="1235"/>
      <c r="AF676" s="1235"/>
      <c r="AG676" s="1235"/>
      <c r="AH676" s="1235"/>
      <c r="AI676" s="1235"/>
      <c r="AJ676" s="1235"/>
      <c r="AK676" s="1235"/>
      <c r="AM676" s="43"/>
      <c r="BA676" s="43">
        <f t="shared" ref="BA676:BA699" si="24">IF($G693=0,"N/A",VLOOKUP($T$189,TC_Rent,(MATCH($B693,bedrooms,FALSE))))</f>
        <v>2680</v>
      </c>
      <c r="BB676" s="43"/>
      <c r="BC676" s="43"/>
      <c r="BD676" s="43"/>
      <c r="BE676" s="43"/>
      <c r="BF676" s="43"/>
      <c r="BG676" s="457">
        <f>G692</f>
        <v>4</v>
      </c>
      <c r="BH676" s="464">
        <f>BG676/$BG$701</f>
        <v>6.6666666666666666E-2</v>
      </c>
      <c r="BI676" s="466">
        <f>IF(BH676=0," ",BH676*AH692)</f>
        <v>0.02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233"/>
      <c r="H677" s="1233"/>
      <c r="I677" s="1233"/>
      <c r="J677" s="1233"/>
      <c r="K677" s="1233"/>
      <c r="L677" s="1233"/>
      <c r="M677" s="1233"/>
      <c r="N677" s="1233"/>
      <c r="O677" s="1233"/>
      <c r="P677" s="1233"/>
      <c r="Q677" s="1233"/>
      <c r="R677" s="1233"/>
      <c r="U677" t="s">
        <v>874</v>
      </c>
      <c r="Z677" s="1235"/>
      <c r="AA677" s="1235"/>
      <c r="AB677" s="1235"/>
      <c r="AC677" s="1235"/>
      <c r="AD677" s="1235"/>
      <c r="AE677" s="1235"/>
      <c r="AF677" s="1235"/>
      <c r="AG677" s="1235"/>
      <c r="AH677" s="1235"/>
      <c r="AI677" s="1235"/>
      <c r="AJ677" s="1235"/>
      <c r="AK677" s="1235"/>
      <c r="AM677" s="43"/>
      <c r="BA677" s="43">
        <f t="shared" si="24"/>
        <v>2680</v>
      </c>
      <c r="BB677" s="43"/>
      <c r="BC677" s="43"/>
      <c r="BD677" s="43"/>
      <c r="BE677" s="43"/>
      <c r="BF677" s="43"/>
      <c r="BG677" s="458">
        <f t="shared" ref="BG677:BG700" si="25">G693</f>
        <v>6</v>
      </c>
      <c r="BH677" s="464">
        <f t="shared" ref="BH677:BH700" si="26">BG677/$BG$701</f>
        <v>0.1</v>
      </c>
      <c r="BI677" s="466">
        <f t="shared" ref="BI677:BI700" si="27">IF(BH677=0," ",BH677*AH693)</f>
        <v>4.0000000000000008E-2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234"/>
      <c r="H678" s="1234"/>
      <c r="I678" s="1234"/>
      <c r="J678" s="1234"/>
      <c r="K678" s="1234"/>
      <c r="L678" s="1234"/>
      <c r="O678" s="42" t="s">
        <v>859</v>
      </c>
      <c r="P678" s="1231"/>
      <c r="Q678" s="1231"/>
      <c r="R678" s="1231"/>
      <c r="U678" t="s">
        <v>686</v>
      </c>
      <c r="Z678" s="1234"/>
      <c r="AA678" s="1234"/>
      <c r="AB678" s="1234"/>
      <c r="AC678" s="1234"/>
      <c r="AD678" s="1234"/>
      <c r="AE678" s="1234"/>
      <c r="AH678" s="42" t="s">
        <v>859</v>
      </c>
      <c r="AI678" s="1231"/>
      <c r="AJ678" s="1231"/>
      <c r="AK678" s="1231"/>
      <c r="AM678" s="43"/>
      <c r="BA678" s="43">
        <f t="shared" si="24"/>
        <v>2680</v>
      </c>
      <c r="BB678" s="41"/>
      <c r="BC678" s="41"/>
      <c r="BD678" s="41"/>
      <c r="BE678" s="41"/>
      <c r="BF678" s="41"/>
      <c r="BG678" s="458">
        <f t="shared" si="25"/>
        <v>16</v>
      </c>
      <c r="BH678" s="464">
        <f t="shared" si="26"/>
        <v>0.26666666666666666</v>
      </c>
      <c r="BI678" s="466">
        <f t="shared" si="27"/>
        <v>0.13333333333333333</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233"/>
      <c r="I679" s="1233"/>
      <c r="J679" s="1233"/>
      <c r="K679" s="1233"/>
      <c r="L679" s="1233"/>
      <c r="M679" s="1233"/>
      <c r="N679" s="1233"/>
      <c r="O679" s="1233"/>
      <c r="P679" s="1233"/>
      <c r="Q679" s="1233"/>
      <c r="R679" s="1233"/>
      <c r="U679" t="s">
        <v>875</v>
      </c>
      <c r="AA679" s="1233"/>
      <c r="AB679" s="1233"/>
      <c r="AC679" s="1233"/>
      <c r="AD679" s="1233"/>
      <c r="AE679" s="1233"/>
      <c r="AF679" s="1233"/>
      <c r="AG679" s="1233"/>
      <c r="AH679" s="1233"/>
      <c r="AI679" s="1233"/>
      <c r="AJ679" s="1233"/>
      <c r="AK679" s="1233"/>
      <c r="AM679" s="41"/>
      <c r="BA679" s="43">
        <f t="shared" si="24"/>
        <v>3096</v>
      </c>
      <c r="BB679" s="41"/>
      <c r="BC679" s="41"/>
      <c r="BD679" s="41"/>
      <c r="BE679" s="41"/>
      <c r="BF679" s="41"/>
      <c r="BG679" s="458">
        <f t="shared" si="25"/>
        <v>14</v>
      </c>
      <c r="BH679" s="464">
        <f t="shared" si="26"/>
        <v>0.23333333333333334</v>
      </c>
      <c r="BI679" s="466">
        <f t="shared" si="27"/>
        <v>0.13999999999999999</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232" t="s">
        <v>511</v>
      </c>
      <c r="O680" s="1232"/>
      <c r="U680" t="s">
        <v>877</v>
      </c>
      <c r="AG680" s="1232" t="s">
        <v>511</v>
      </c>
      <c r="AH680" s="1232"/>
      <c r="AM680" s="41"/>
      <c r="BA680" s="43">
        <f t="shared" si="24"/>
        <v>3096</v>
      </c>
      <c r="BB680" s="41"/>
      <c r="BC680" s="41"/>
      <c r="BD680" s="41"/>
      <c r="BE680" s="41"/>
      <c r="BF680" s="41"/>
      <c r="BG680" s="458">
        <f t="shared" si="25"/>
        <v>2</v>
      </c>
      <c r="BH680" s="464">
        <f t="shared" si="26"/>
        <v>3.3333333333333333E-2</v>
      </c>
      <c r="BI680" s="466">
        <f t="shared" si="27"/>
        <v>0.01</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3096</v>
      </c>
      <c r="BB681" s="41"/>
      <c r="BC681" s="41"/>
      <c r="BD681" s="41"/>
      <c r="BE681" s="41"/>
      <c r="BF681" s="41"/>
      <c r="BG681" s="458">
        <f t="shared" si="25"/>
        <v>3</v>
      </c>
      <c r="BH681" s="464">
        <f t="shared" si="26"/>
        <v>0.05</v>
      </c>
      <c r="BI681" s="466">
        <f t="shared" si="27"/>
        <v>2.0000000000000004E-2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3096</v>
      </c>
      <c r="BB682" s="41"/>
      <c r="BC682" s="41"/>
      <c r="BD682" s="41"/>
      <c r="BE682" s="41"/>
      <c r="BF682" s="41"/>
      <c r="BG682" s="458">
        <f t="shared" si="25"/>
        <v>8</v>
      </c>
      <c r="BH682" s="464">
        <f t="shared" si="26"/>
        <v>0.13333333333333333</v>
      </c>
      <c r="BI682" s="466">
        <f t="shared" si="27"/>
        <v>6.6666666666666666E-2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t="str">
        <f t="shared" si="24"/>
        <v>N/A</v>
      </c>
      <c r="BB683" s="41"/>
      <c r="BC683" s="41"/>
      <c r="BD683" s="41"/>
      <c r="BE683" s="41"/>
      <c r="BF683" s="41"/>
      <c r="BG683" s="458">
        <f t="shared" si="25"/>
        <v>7</v>
      </c>
      <c r="BH683" s="464">
        <f t="shared" si="26"/>
        <v>0.11666666666666667</v>
      </c>
      <c r="BI683" s="466">
        <f t="shared" si="27"/>
        <v>6.9999999999999993E-2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271</v>
      </c>
      <c r="H688" s="1210"/>
      <c r="I688" s="1210"/>
      <c r="J688" s="1211"/>
      <c r="K688" s="1200" t="s">
        <v>2093</v>
      </c>
      <c r="L688" s="1201"/>
      <c r="M688" s="1201"/>
      <c r="N688" s="1202"/>
      <c r="O688" s="1209" t="s">
        <v>625</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2094</v>
      </c>
      <c r="AI688" s="1210"/>
      <c r="AJ688" s="1210"/>
      <c r="AK688" s="1210"/>
      <c r="AL688" s="1211"/>
      <c r="AM688" s="1209" t="s">
        <v>2095</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7" t="s">
        <v>817</v>
      </c>
      <c r="C692" s="1288"/>
      <c r="D692" s="1288"/>
      <c r="E692" s="1288"/>
      <c r="F692" s="1289"/>
      <c r="G692" s="1228">
        <v>4</v>
      </c>
      <c r="H692" s="1229"/>
      <c r="I692" s="1229"/>
      <c r="J692" s="1230"/>
      <c r="K692" s="1218">
        <v>778</v>
      </c>
      <c r="L692" s="1219"/>
      <c r="M692" s="1219"/>
      <c r="N692" s="1220"/>
      <c r="O692" s="1221">
        <v>691</v>
      </c>
      <c r="P692" s="1222"/>
      <c r="Q692" s="1222"/>
      <c r="R692" s="1222"/>
      <c r="S692" s="1223"/>
      <c r="T692" s="1194">
        <f t="shared" ref="T692:T716" si="28">G692*O692</f>
        <v>2764</v>
      </c>
      <c r="U692" s="1195"/>
      <c r="V692" s="1195"/>
      <c r="W692" s="1195"/>
      <c r="X692" s="1196"/>
      <c r="Y692" s="1221">
        <v>113</v>
      </c>
      <c r="Z692" s="1222"/>
      <c r="AA692" s="1222"/>
      <c r="AB692" s="1223"/>
      <c r="AC692" s="1194">
        <f t="shared" ref="AC692:AC716" si="29">O692+Y692</f>
        <v>804</v>
      </c>
      <c r="AD692" s="1195"/>
      <c r="AE692" s="1195"/>
      <c r="AF692" s="1195"/>
      <c r="AG692" s="1196"/>
      <c r="AH692" s="1483">
        <v>0.3</v>
      </c>
      <c r="AI692" s="1484"/>
      <c r="AJ692" s="1484"/>
      <c r="AK692" s="1484"/>
      <c r="AL692" s="1485"/>
      <c r="AM692" s="1191">
        <f>IF($AH692&gt;0,($AC692/$BA675)," ")</f>
        <v>0.3</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7" t="s">
        <v>817</v>
      </c>
      <c r="C693" s="1288"/>
      <c r="D693" s="1288"/>
      <c r="E693" s="1288"/>
      <c r="F693" s="1289"/>
      <c r="G693" s="1228">
        <v>6</v>
      </c>
      <c r="H693" s="1229"/>
      <c r="I693" s="1229"/>
      <c r="J693" s="1230"/>
      <c r="K693" s="1218">
        <v>778</v>
      </c>
      <c r="L693" s="1219"/>
      <c r="M693" s="1219"/>
      <c r="N693" s="1220"/>
      <c r="O693" s="1221">
        <v>959</v>
      </c>
      <c r="P693" s="1222"/>
      <c r="Q693" s="1222"/>
      <c r="R693" s="1222"/>
      <c r="S693" s="1223"/>
      <c r="T693" s="1194">
        <f t="shared" si="28"/>
        <v>5754</v>
      </c>
      <c r="U693" s="1195"/>
      <c r="V693" s="1195"/>
      <c r="W693" s="1195"/>
      <c r="X693" s="1196"/>
      <c r="Y693" s="1221">
        <v>113</v>
      </c>
      <c r="Z693" s="1222"/>
      <c r="AA693" s="1222"/>
      <c r="AB693" s="1223"/>
      <c r="AC693" s="1194">
        <f t="shared" si="29"/>
        <v>1072</v>
      </c>
      <c r="AD693" s="1195"/>
      <c r="AE693" s="1195"/>
      <c r="AF693" s="1195"/>
      <c r="AG693" s="1196"/>
      <c r="AH693" s="1225">
        <v>0.4</v>
      </c>
      <c r="AI693" s="1226"/>
      <c r="AJ693" s="1226"/>
      <c r="AK693" s="1226"/>
      <c r="AL693" s="1227"/>
      <c r="AM693" s="1191">
        <f t="shared" ref="AM693:AM716" si="30">IF($AH693&gt;0,($AC693/$BA676), " ")</f>
        <v>0.4</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7" t="s">
        <v>817</v>
      </c>
      <c r="C694" s="1288"/>
      <c r="D694" s="1288"/>
      <c r="E694" s="1288"/>
      <c r="F694" s="1289"/>
      <c r="G694" s="1228">
        <v>16</v>
      </c>
      <c r="H694" s="1229"/>
      <c r="I694" s="1229"/>
      <c r="J694" s="1230"/>
      <c r="K694" s="1218">
        <v>778</v>
      </c>
      <c r="L694" s="1219"/>
      <c r="M694" s="1219"/>
      <c r="N694" s="1220"/>
      <c r="O694" s="1221">
        <v>1227</v>
      </c>
      <c r="P694" s="1222"/>
      <c r="Q694" s="1222"/>
      <c r="R694" s="1222"/>
      <c r="S694" s="1223"/>
      <c r="T694" s="1194">
        <f t="shared" si="28"/>
        <v>19632</v>
      </c>
      <c r="U694" s="1195"/>
      <c r="V694" s="1195"/>
      <c r="W694" s="1195"/>
      <c r="X694" s="1196"/>
      <c r="Y694" s="1221">
        <v>113</v>
      </c>
      <c r="Z694" s="1222"/>
      <c r="AA694" s="1222"/>
      <c r="AB694" s="1223"/>
      <c r="AC694" s="1194">
        <f t="shared" si="29"/>
        <v>1340</v>
      </c>
      <c r="AD694" s="1195"/>
      <c r="AE694" s="1195"/>
      <c r="AF694" s="1195"/>
      <c r="AG694" s="1196"/>
      <c r="AH694" s="1225">
        <v>0.5</v>
      </c>
      <c r="AI694" s="1226"/>
      <c r="AJ694" s="1226"/>
      <c r="AK694" s="1226"/>
      <c r="AL694" s="1227"/>
      <c r="AM694" s="1191">
        <f t="shared" si="30"/>
        <v>0.5</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7" t="s">
        <v>817</v>
      </c>
      <c r="C695" s="1288"/>
      <c r="D695" s="1288"/>
      <c r="E695" s="1288"/>
      <c r="F695" s="1289"/>
      <c r="G695" s="1228">
        <v>14</v>
      </c>
      <c r="H695" s="1229"/>
      <c r="I695" s="1229"/>
      <c r="J695" s="1230"/>
      <c r="K695" s="1218">
        <v>778</v>
      </c>
      <c r="L695" s="1219"/>
      <c r="M695" s="1219"/>
      <c r="N695" s="1220"/>
      <c r="O695" s="1221">
        <v>1495</v>
      </c>
      <c r="P695" s="1222"/>
      <c r="Q695" s="1222"/>
      <c r="R695" s="1222"/>
      <c r="S695" s="1223"/>
      <c r="T695" s="1194">
        <f t="shared" si="28"/>
        <v>20930</v>
      </c>
      <c r="U695" s="1195"/>
      <c r="V695" s="1195"/>
      <c r="W695" s="1195"/>
      <c r="X695" s="1196"/>
      <c r="Y695" s="1221">
        <v>113</v>
      </c>
      <c r="Z695" s="1222"/>
      <c r="AA695" s="1222"/>
      <c r="AB695" s="1223"/>
      <c r="AC695" s="1194">
        <f t="shared" si="29"/>
        <v>1608</v>
      </c>
      <c r="AD695" s="1195"/>
      <c r="AE695" s="1195"/>
      <c r="AF695" s="1195"/>
      <c r="AG695" s="1196"/>
      <c r="AH695" s="1225">
        <v>0.6</v>
      </c>
      <c r="AI695" s="1226"/>
      <c r="AJ695" s="1226"/>
      <c r="AK695" s="1226"/>
      <c r="AL695" s="1227"/>
      <c r="AM695" s="1191">
        <f t="shared" si="30"/>
        <v>0.6</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7" t="s">
        <v>818</v>
      </c>
      <c r="C696" s="1288"/>
      <c r="D696" s="1288"/>
      <c r="E696" s="1288"/>
      <c r="F696" s="1289"/>
      <c r="G696" s="1228">
        <v>2</v>
      </c>
      <c r="H696" s="1229"/>
      <c r="I696" s="1229"/>
      <c r="J696" s="1230"/>
      <c r="K696" s="1218">
        <v>1079</v>
      </c>
      <c r="L696" s="1219"/>
      <c r="M696" s="1219"/>
      <c r="N696" s="1220"/>
      <c r="O696" s="1221">
        <v>790</v>
      </c>
      <c r="P696" s="1222"/>
      <c r="Q696" s="1222"/>
      <c r="R696" s="1222"/>
      <c r="S696" s="1223"/>
      <c r="T696" s="1194">
        <f t="shared" si="28"/>
        <v>1580</v>
      </c>
      <c r="U696" s="1195"/>
      <c r="V696" s="1195"/>
      <c r="W696" s="1195"/>
      <c r="X696" s="1196"/>
      <c r="Y696" s="1221">
        <v>139</v>
      </c>
      <c r="Z696" s="1222"/>
      <c r="AA696" s="1222"/>
      <c r="AB696" s="1223"/>
      <c r="AC696" s="1194">
        <f t="shared" si="29"/>
        <v>929</v>
      </c>
      <c r="AD696" s="1195"/>
      <c r="AE696" s="1195"/>
      <c r="AF696" s="1195"/>
      <c r="AG696" s="1196"/>
      <c r="AH696" s="1225">
        <v>0.3</v>
      </c>
      <c r="AI696" s="1226"/>
      <c r="AJ696" s="1226"/>
      <c r="AK696" s="1226"/>
      <c r="AL696" s="1227"/>
      <c r="AM696" s="1191">
        <f t="shared" si="30"/>
        <v>0.30006459948320413</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7" t="s">
        <v>818</v>
      </c>
      <c r="C697" s="1288"/>
      <c r="D697" s="1288"/>
      <c r="E697" s="1288"/>
      <c r="F697" s="1289"/>
      <c r="G697" s="1228">
        <v>3</v>
      </c>
      <c r="H697" s="1229"/>
      <c r="I697" s="1229"/>
      <c r="J697" s="1230"/>
      <c r="K697" s="1218">
        <v>1079</v>
      </c>
      <c r="L697" s="1219"/>
      <c r="M697" s="1219"/>
      <c r="N697" s="1220"/>
      <c r="O697" s="1221">
        <v>1100</v>
      </c>
      <c r="P697" s="1222"/>
      <c r="Q697" s="1222"/>
      <c r="R697" s="1222"/>
      <c r="S697" s="1223"/>
      <c r="T697" s="1194">
        <f t="shared" si="28"/>
        <v>3300</v>
      </c>
      <c r="U697" s="1195"/>
      <c r="V697" s="1195"/>
      <c r="W697" s="1195"/>
      <c r="X697" s="1196"/>
      <c r="Y697" s="1221">
        <v>139</v>
      </c>
      <c r="Z697" s="1222"/>
      <c r="AA697" s="1222"/>
      <c r="AB697" s="1223"/>
      <c r="AC697" s="1194">
        <f t="shared" si="29"/>
        <v>1239</v>
      </c>
      <c r="AD697" s="1195"/>
      <c r="AE697" s="1195"/>
      <c r="AF697" s="1195"/>
      <c r="AG697" s="1196"/>
      <c r="AH697" s="1225">
        <v>0.4</v>
      </c>
      <c r="AI697" s="1226"/>
      <c r="AJ697" s="1226"/>
      <c r="AK697" s="1226"/>
      <c r="AL697" s="1227"/>
      <c r="AM697" s="1191">
        <f t="shared" si="30"/>
        <v>0.40019379844961239</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7" t="s">
        <v>818</v>
      </c>
      <c r="C698" s="1288"/>
      <c r="D698" s="1288"/>
      <c r="E698" s="1288"/>
      <c r="F698" s="1289"/>
      <c r="G698" s="1228">
        <v>8</v>
      </c>
      <c r="H698" s="1229"/>
      <c r="I698" s="1229"/>
      <c r="J698" s="1230"/>
      <c r="K698" s="1218">
        <v>1079</v>
      </c>
      <c r="L698" s="1219"/>
      <c r="M698" s="1219"/>
      <c r="N698" s="1220"/>
      <c r="O698" s="1221">
        <v>1409</v>
      </c>
      <c r="P698" s="1222"/>
      <c r="Q698" s="1222"/>
      <c r="R698" s="1222"/>
      <c r="S698" s="1223"/>
      <c r="T698" s="1194">
        <f t="shared" si="28"/>
        <v>11272</v>
      </c>
      <c r="U698" s="1195"/>
      <c r="V698" s="1195"/>
      <c r="W698" s="1195"/>
      <c r="X698" s="1196"/>
      <c r="Y698" s="1221">
        <v>139</v>
      </c>
      <c r="Z698" s="1222"/>
      <c r="AA698" s="1222"/>
      <c r="AB698" s="1223"/>
      <c r="AC698" s="1194">
        <f t="shared" si="29"/>
        <v>1548</v>
      </c>
      <c r="AD698" s="1195"/>
      <c r="AE698" s="1195"/>
      <c r="AF698" s="1195"/>
      <c r="AG698" s="1196"/>
      <c r="AH698" s="1225">
        <v>0.5</v>
      </c>
      <c r="AI698" s="1226"/>
      <c r="AJ698" s="1226"/>
      <c r="AK698" s="1226"/>
      <c r="AL698" s="1227"/>
      <c r="AM698" s="1191">
        <f t="shared" si="30"/>
        <v>0.5</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7" t="s">
        <v>818</v>
      </c>
      <c r="C699" s="1288"/>
      <c r="D699" s="1288"/>
      <c r="E699" s="1288"/>
      <c r="F699" s="1289"/>
      <c r="G699" s="1228">
        <v>7</v>
      </c>
      <c r="H699" s="1229"/>
      <c r="I699" s="1229"/>
      <c r="J699" s="1230"/>
      <c r="K699" s="1218">
        <v>1079</v>
      </c>
      <c r="L699" s="1219"/>
      <c r="M699" s="1219"/>
      <c r="N699" s="1220"/>
      <c r="O699" s="1221">
        <v>1719</v>
      </c>
      <c r="P699" s="1222"/>
      <c r="Q699" s="1222"/>
      <c r="R699" s="1222"/>
      <c r="S699" s="1223"/>
      <c r="T699" s="1194">
        <f t="shared" si="28"/>
        <v>12033</v>
      </c>
      <c r="U699" s="1195"/>
      <c r="V699" s="1195"/>
      <c r="W699" s="1195"/>
      <c r="X699" s="1196"/>
      <c r="Y699" s="1221">
        <v>139</v>
      </c>
      <c r="Z699" s="1222"/>
      <c r="AA699" s="1222"/>
      <c r="AB699" s="1223"/>
      <c r="AC699" s="1194">
        <f t="shared" si="29"/>
        <v>1858</v>
      </c>
      <c r="AD699" s="1195"/>
      <c r="AE699" s="1195"/>
      <c r="AF699" s="1195"/>
      <c r="AG699" s="1196"/>
      <c r="AH699" s="1225">
        <v>0.6</v>
      </c>
      <c r="AI699" s="1226"/>
      <c r="AJ699" s="1226"/>
      <c r="AK699" s="1226"/>
      <c r="AL699" s="1227"/>
      <c r="AM699" s="1191">
        <f t="shared" si="30"/>
        <v>0.60012919896640826</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7"/>
      <c r="C700" s="1288"/>
      <c r="D700" s="1288"/>
      <c r="E700" s="1288"/>
      <c r="F700" s="1289"/>
      <c r="G700" s="1228"/>
      <c r="H700" s="1229"/>
      <c r="I700" s="1229"/>
      <c r="J700" s="1230"/>
      <c r="K700" s="1218"/>
      <c r="L700" s="1219"/>
      <c r="M700" s="1219"/>
      <c r="N700" s="1220"/>
      <c r="O700" s="1221"/>
      <c r="P700" s="1222"/>
      <c r="Q700" s="1222"/>
      <c r="R700" s="1222"/>
      <c r="S700" s="1223"/>
      <c r="T700" s="1194">
        <f t="shared" si="28"/>
        <v>0</v>
      </c>
      <c r="U700" s="1195"/>
      <c r="V700" s="1195"/>
      <c r="W700" s="1195"/>
      <c r="X700" s="1196"/>
      <c r="Y700" s="1221"/>
      <c r="Z700" s="1222"/>
      <c r="AA700" s="1222"/>
      <c r="AB700" s="1223"/>
      <c r="AC700" s="1194">
        <f t="shared" si="29"/>
        <v>0</v>
      </c>
      <c r="AD700" s="1195"/>
      <c r="AE700" s="1195"/>
      <c r="AF700" s="1195"/>
      <c r="AG700" s="1196"/>
      <c r="AH700" s="1225"/>
      <c r="AI700" s="1226"/>
      <c r="AJ700" s="1226"/>
      <c r="AK700" s="1226"/>
      <c r="AL700" s="1227"/>
      <c r="AM700" s="1191" t="str">
        <f t="shared" si="30"/>
        <v xml:space="preserve"> </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7"/>
      <c r="C701" s="1288"/>
      <c r="D701" s="1288"/>
      <c r="E701" s="1288"/>
      <c r="F701" s="1289"/>
      <c r="G701" s="1228"/>
      <c r="H701" s="1229"/>
      <c r="I701" s="1229"/>
      <c r="J701" s="1230"/>
      <c r="K701" s="1218"/>
      <c r="L701" s="1219"/>
      <c r="M701" s="1219"/>
      <c r="N701" s="1220"/>
      <c r="O701" s="1221"/>
      <c r="P701" s="1222"/>
      <c r="Q701" s="1222"/>
      <c r="R701" s="1222"/>
      <c r="S701" s="1223"/>
      <c r="T701" s="1194">
        <f t="shared" si="28"/>
        <v>0</v>
      </c>
      <c r="U701" s="1195"/>
      <c r="V701" s="1195"/>
      <c r="W701" s="1195"/>
      <c r="X701" s="1196"/>
      <c r="Y701" s="1221"/>
      <c r="Z701" s="1222"/>
      <c r="AA701" s="1222"/>
      <c r="AB701" s="1223"/>
      <c r="AC701" s="1194">
        <f t="shared" si="29"/>
        <v>0</v>
      </c>
      <c r="AD701" s="1195"/>
      <c r="AE701" s="1195"/>
      <c r="AF701" s="1195"/>
      <c r="AG701" s="1196"/>
      <c r="AH701" s="1225"/>
      <c r="AI701" s="1226"/>
      <c r="AJ701" s="1226"/>
      <c r="AK701" s="1226"/>
      <c r="AL701" s="1227"/>
      <c r="AM701" s="1191" t="str">
        <f t="shared" si="30"/>
        <v xml:space="preserve"> </v>
      </c>
      <c r="AN701" s="1192"/>
      <c r="AO701" s="1193"/>
      <c r="BA701" s="41"/>
      <c r="BB701" s="41"/>
      <c r="BC701" s="41"/>
      <c r="BD701" s="41"/>
      <c r="BE701" s="42"/>
      <c r="BF701" s="62" t="s">
        <v>916</v>
      </c>
      <c r="BG701" s="467">
        <f>SUM(BG676:BG700)</f>
        <v>60</v>
      </c>
      <c r="BH701" s="468">
        <f>SUM(BH676:BH700)</f>
        <v>1</v>
      </c>
      <c r="BI701" s="468">
        <f>SUM(BI676:BI700)</f>
        <v>0.5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7"/>
      <c r="C702" s="1288"/>
      <c r="D702" s="1288"/>
      <c r="E702" s="1288"/>
      <c r="F702" s="1289"/>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7"/>
      <c r="C703" s="1288"/>
      <c r="D703" s="1288"/>
      <c r="E703" s="1288"/>
      <c r="F703" s="1289"/>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7"/>
      <c r="C704" s="1288"/>
      <c r="D704" s="1288"/>
      <c r="E704" s="1288"/>
      <c r="F704" s="1289"/>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7"/>
      <c r="C705" s="1288"/>
      <c r="D705" s="1288"/>
      <c r="E705" s="1288"/>
      <c r="F705" s="1289"/>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7"/>
      <c r="C706" s="1288"/>
      <c r="D706" s="1288"/>
      <c r="E706" s="1288"/>
      <c r="F706" s="1289"/>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7"/>
      <c r="C707" s="1288"/>
      <c r="D707" s="1288"/>
      <c r="E707" s="1288"/>
      <c r="F707" s="1289"/>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71">
        <f>G692</f>
        <v>4</v>
      </c>
      <c r="BH707" s="875">
        <f>BG707/$BG$732</f>
        <v>6.6666666666666666E-2</v>
      </c>
      <c r="BI707" s="876">
        <f>IF(BH707=0," ",BH707*AM692)</f>
        <v>0.02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7"/>
      <c r="C708" s="1288"/>
      <c r="D708" s="1288"/>
      <c r="E708" s="1288"/>
      <c r="F708" s="1289"/>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71">
        <f t="shared" ref="BG708:BG731" si="31">G693</f>
        <v>6</v>
      </c>
      <c r="BH708" s="875">
        <f t="shared" ref="BH708:BH731" si="32">BG708/$BG$732</f>
        <v>0.1</v>
      </c>
      <c r="BI708" s="876">
        <f t="shared" ref="BI708:BI731" si="33">IF(BH708=0," ",BH708*AM693)</f>
        <v>4.0000000000000008E-2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7"/>
      <c r="C709" s="1288"/>
      <c r="D709" s="1288"/>
      <c r="E709" s="1288"/>
      <c r="F709" s="1289"/>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71">
        <f t="shared" si="31"/>
        <v>16</v>
      </c>
      <c r="BH709" s="875">
        <f t="shared" si="32"/>
        <v>0.26666666666666666</v>
      </c>
      <c r="BI709" s="876">
        <f t="shared" si="33"/>
        <v>0.13333333333333333</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7"/>
      <c r="C710" s="1288"/>
      <c r="D710" s="1288"/>
      <c r="E710" s="1288"/>
      <c r="F710" s="1289"/>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71">
        <f t="shared" si="31"/>
        <v>14</v>
      </c>
      <c r="BH710" s="875">
        <f t="shared" si="32"/>
        <v>0.23333333333333334</v>
      </c>
      <c r="BI710" s="876">
        <f t="shared" si="33"/>
        <v>0.13999999999999999</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7"/>
      <c r="C711" s="1288"/>
      <c r="D711" s="1288"/>
      <c r="E711" s="1288"/>
      <c r="F711" s="1289"/>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71">
        <f t="shared" si="31"/>
        <v>2</v>
      </c>
      <c r="BH711" s="875">
        <f t="shared" si="32"/>
        <v>3.3333333333333333E-2</v>
      </c>
      <c r="BI711" s="876">
        <f t="shared" si="33"/>
        <v>1.0002153316106804E-2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7"/>
      <c r="C712" s="1288"/>
      <c r="D712" s="1288"/>
      <c r="E712" s="1288"/>
      <c r="F712" s="1289"/>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71">
        <f t="shared" si="31"/>
        <v>3</v>
      </c>
      <c r="BH712" s="875">
        <f t="shared" si="32"/>
        <v>0.05</v>
      </c>
      <c r="BI712" s="876">
        <f t="shared" si="33"/>
        <v>2.000968992248062E-2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7"/>
      <c r="C713" s="1288"/>
      <c r="D713" s="1288"/>
      <c r="E713" s="1288"/>
      <c r="F713" s="1289"/>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71">
        <f t="shared" si="31"/>
        <v>8</v>
      </c>
      <c r="BH713" s="875">
        <f t="shared" si="32"/>
        <v>0.13333333333333333</v>
      </c>
      <c r="BI713" s="876">
        <f t="shared" si="33"/>
        <v>6.6666666666666666E-2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7"/>
      <c r="C714" s="1288"/>
      <c r="D714" s="1288"/>
      <c r="E714" s="1288"/>
      <c r="F714" s="1289"/>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71">
        <f t="shared" si="31"/>
        <v>7</v>
      </c>
      <c r="BH714" s="875">
        <f t="shared" si="32"/>
        <v>0.11666666666666667</v>
      </c>
      <c r="BI714" s="876">
        <f t="shared" si="33"/>
        <v>7.0015073212747636E-2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7"/>
      <c r="C715" s="1288"/>
      <c r="D715" s="1288"/>
      <c r="E715" s="1288"/>
      <c r="F715" s="1289"/>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7"/>
      <c r="C716" s="1288"/>
      <c r="D716" s="1288"/>
      <c r="E716" s="1288"/>
      <c r="F716" s="1289"/>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39" t="s">
        <v>918</v>
      </c>
      <c r="C717" s="1140"/>
      <c r="D717" s="1140"/>
      <c r="E717" s="1140"/>
      <c r="F717" s="1141"/>
      <c r="G717" s="1515">
        <f>SUM(G692:J716)</f>
        <v>60</v>
      </c>
      <c r="H717" s="1516"/>
      <c r="I717" s="1516"/>
      <c r="J717" s="1517"/>
      <c r="O717" s="441" t="s">
        <v>917</v>
      </c>
      <c r="P717" s="168"/>
      <c r="Q717" s="168"/>
      <c r="R717" s="168"/>
      <c r="S717" s="862"/>
      <c r="T717" s="1194">
        <f>SUM(T692:X716)</f>
        <v>77265</v>
      </c>
      <c r="U717" s="1195"/>
      <c r="V717" s="1195"/>
      <c r="W717" s="1195"/>
      <c r="X717" s="1196"/>
      <c r="AC717" s="863" t="s">
        <v>1187</v>
      </c>
      <c r="AD717" s="864"/>
      <c r="AE717" s="864"/>
      <c r="AF717" s="864"/>
      <c r="AG717" s="865"/>
      <c r="AH717" s="1197">
        <f>BI701</f>
        <v>0.5</v>
      </c>
      <c r="AI717" s="1198"/>
      <c r="AJ717" s="1198"/>
      <c r="AK717" s="1198"/>
      <c r="AL717" s="1199"/>
      <c r="AM717" s="1197">
        <f>BI732</f>
        <v>0.50002691645133512</v>
      </c>
      <c r="AN717" s="1198"/>
      <c r="AO717" s="1199"/>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82" t="s">
        <v>2162</v>
      </c>
      <c r="D718" s="1482"/>
      <c r="E718" s="1482"/>
      <c r="F718" s="1482"/>
      <c r="G718" s="1482"/>
      <c r="H718" s="1482"/>
      <c r="I718" s="1482"/>
      <c r="J718" s="1482"/>
      <c r="K718" s="1482"/>
      <c r="L718" s="1482"/>
      <c r="M718" s="1482"/>
      <c r="N718" s="1482"/>
      <c r="O718" s="1482"/>
      <c r="P718" s="1482"/>
      <c r="Q718" s="1482"/>
      <c r="R718" s="1482"/>
      <c r="S718" s="1482"/>
      <c r="T718" s="1482"/>
      <c r="U718" s="1482"/>
      <c r="V718" s="1482"/>
      <c r="W718" s="1482"/>
      <c r="X718" s="1482"/>
      <c r="Y718" s="1482"/>
      <c r="Z718" s="1482"/>
      <c r="AA718" s="1482"/>
      <c r="AB718" s="1482"/>
      <c r="AC718" s="1482"/>
      <c r="AD718" s="1482"/>
      <c r="AE718" s="1482"/>
      <c r="AF718" s="1482"/>
      <c r="AG718" s="1482"/>
      <c r="AH718" s="1482"/>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82"/>
      <c r="D719" s="1482"/>
      <c r="E719" s="1482"/>
      <c r="F719" s="1482"/>
      <c r="G719" s="1482"/>
      <c r="H719" s="1482"/>
      <c r="I719" s="1482"/>
      <c r="J719" s="1482"/>
      <c r="K719" s="1482"/>
      <c r="L719" s="1482"/>
      <c r="M719" s="1482"/>
      <c r="N719" s="1482"/>
      <c r="O719" s="1482"/>
      <c r="P719" s="1482"/>
      <c r="Q719" s="1482"/>
      <c r="R719" s="1482"/>
      <c r="S719" s="1482"/>
      <c r="T719" s="1482"/>
      <c r="U719" s="1482"/>
      <c r="V719" s="1482"/>
      <c r="W719" s="1482"/>
      <c r="X719" s="1482"/>
      <c r="Y719" s="1482"/>
      <c r="Z719" s="1482"/>
      <c r="AA719" s="1482"/>
      <c r="AB719" s="1482"/>
      <c r="AC719" s="1482"/>
      <c r="AD719" s="1482"/>
      <c r="AE719" s="1482"/>
      <c r="AF719" s="1482"/>
      <c r="AG719" s="1482"/>
      <c r="AH719" s="1482"/>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520">
        <f>CQ615</f>
        <v>140</v>
      </c>
      <c r="P720" s="1520"/>
      <c r="Q720" s="1520"/>
      <c r="R720" s="1520"/>
      <c r="S720" s="944"/>
      <c r="T720" s="944"/>
      <c r="U720" s="270" t="s">
        <v>2164</v>
      </c>
      <c r="V720" s="942"/>
      <c r="W720" s="942"/>
      <c r="X720" s="942"/>
      <c r="Y720" s="943"/>
      <c r="Z720" s="943"/>
      <c r="AA720" s="943"/>
      <c r="AB720" s="943"/>
      <c r="AC720" s="942"/>
      <c r="AD720" s="942"/>
      <c r="AE720" s="942"/>
      <c r="AF720" s="942"/>
      <c r="AG720" s="1514"/>
      <c r="AH720" s="1514"/>
      <c r="AI720" s="1514"/>
      <c r="AJ720" s="1514"/>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511</v>
      </c>
      <c r="AA722" s="1224"/>
      <c r="AB722" s="1224"/>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2160</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1588</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2">
        <f>SUM(BG707:BG731)</f>
        <v>60</v>
      </c>
      <c r="BH732" s="873">
        <f>SUM(BH707:BH731)</f>
        <v>1</v>
      </c>
      <c r="BI732" s="873">
        <f>SUM(BI707:BI731)</f>
        <v>0.50002691645133512</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81" t="s">
        <v>271</v>
      </c>
      <c r="P734" s="1481"/>
      <c r="Q734" s="1481"/>
      <c r="R734" s="1481"/>
      <c r="S734" s="1481"/>
      <c r="T734" s="1200" t="s">
        <v>2093</v>
      </c>
      <c r="U734" s="1201"/>
      <c r="V734" s="1201"/>
      <c r="W734" s="1202"/>
      <c r="X734" s="1209" t="s">
        <v>625</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81"/>
      <c r="P735" s="1481"/>
      <c r="Q735" s="1481"/>
      <c r="R735" s="1481"/>
      <c r="S735" s="1481"/>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81"/>
      <c r="P736" s="1481"/>
      <c r="Q736" s="1481"/>
      <c r="R736" s="1481"/>
      <c r="S736" s="1481"/>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5"/>
      <c r="K737" s="1216"/>
      <c r="L737" s="1216"/>
      <c r="M737" s="1216"/>
      <c r="N737" s="1217"/>
      <c r="O737" s="1481"/>
      <c r="P737" s="1481"/>
      <c r="Q737" s="1481"/>
      <c r="R737" s="1481"/>
      <c r="S737" s="1481"/>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7" t="s">
        <v>817</v>
      </c>
      <c r="K738" s="1288"/>
      <c r="L738" s="1288"/>
      <c r="M738" s="1288"/>
      <c r="N738" s="1289"/>
      <c r="O738" s="1379">
        <v>1</v>
      </c>
      <c r="P738" s="1379"/>
      <c r="Q738" s="1379"/>
      <c r="R738" s="1379"/>
      <c r="S738" s="1379"/>
      <c r="T738" s="1218">
        <v>778</v>
      </c>
      <c r="U738" s="1219"/>
      <c r="V738" s="1219"/>
      <c r="W738" s="1220"/>
      <c r="X738" s="1221"/>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7"/>
      <c r="K739" s="1288"/>
      <c r="L739" s="1288"/>
      <c r="M739" s="1288"/>
      <c r="N739" s="1289"/>
      <c r="O739" s="1379"/>
      <c r="P739" s="1379"/>
      <c r="Q739" s="1379"/>
      <c r="R739" s="1379"/>
      <c r="S739" s="1379"/>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7"/>
      <c r="K740" s="1288"/>
      <c r="L740" s="1288"/>
      <c r="M740" s="1288"/>
      <c r="N740" s="1289"/>
      <c r="O740" s="1379"/>
      <c r="P740" s="1379"/>
      <c r="Q740" s="1379"/>
      <c r="R740" s="1379"/>
      <c r="S740" s="1379"/>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7"/>
      <c r="K741" s="1288"/>
      <c r="L741" s="1288"/>
      <c r="M741" s="1288"/>
      <c r="N741" s="1289"/>
      <c r="O741" s="1379"/>
      <c r="P741" s="1379"/>
      <c r="Q741" s="1379"/>
      <c r="R741" s="1379"/>
      <c r="S741" s="1379"/>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39" t="s">
        <v>918</v>
      </c>
      <c r="K742" s="1140"/>
      <c r="L742" s="1140"/>
      <c r="M742" s="1140"/>
      <c r="N742" s="1141"/>
      <c r="O742" s="1262">
        <f>SUM(O738:S741)</f>
        <v>1</v>
      </c>
      <c r="P742" s="1263"/>
      <c r="Q742" s="1263"/>
      <c r="R742" s="1263"/>
      <c r="S742" s="1264"/>
      <c r="X742" s="1139" t="s">
        <v>917</v>
      </c>
      <c r="Y742" s="1140"/>
      <c r="Z742" s="1140"/>
      <c r="AA742" s="1140"/>
      <c r="AB742" s="1141"/>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6" t="s">
        <v>511</v>
      </c>
      <c r="K744" s="1286"/>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81" t="s">
        <v>271</v>
      </c>
      <c r="P748" s="1481"/>
      <c r="Q748" s="1481"/>
      <c r="R748" s="1481"/>
      <c r="S748" s="1481"/>
      <c r="T748" s="1200" t="s">
        <v>2093</v>
      </c>
      <c r="U748" s="1201"/>
      <c r="V748" s="1201"/>
      <c r="W748" s="1202"/>
      <c r="X748" s="1209" t="s">
        <v>625</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81"/>
      <c r="P749" s="1481"/>
      <c r="Q749" s="1481"/>
      <c r="R749" s="1481"/>
      <c r="S749" s="1481"/>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81"/>
      <c r="P750" s="1481"/>
      <c r="Q750" s="1481"/>
      <c r="R750" s="1481"/>
      <c r="S750" s="1481"/>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81"/>
      <c r="P751" s="1481"/>
      <c r="Q751" s="1481"/>
      <c r="R751" s="1481"/>
      <c r="S751" s="1481"/>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7"/>
      <c r="K752" s="1288"/>
      <c r="L752" s="1288"/>
      <c r="M752" s="1288"/>
      <c r="N752" s="1289"/>
      <c r="O752" s="1379"/>
      <c r="P752" s="1379"/>
      <c r="Q752" s="1379"/>
      <c r="R752" s="1379"/>
      <c r="S752" s="1379"/>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7"/>
      <c r="K753" s="1288"/>
      <c r="L753" s="1288"/>
      <c r="M753" s="1288"/>
      <c r="N753" s="1289"/>
      <c r="O753" s="1379"/>
      <c r="P753" s="1379"/>
      <c r="Q753" s="1379"/>
      <c r="R753" s="1379"/>
      <c r="S753" s="1379"/>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7"/>
      <c r="K754" s="1288"/>
      <c r="L754" s="1288"/>
      <c r="M754" s="1288"/>
      <c r="N754" s="1289"/>
      <c r="O754" s="1379"/>
      <c r="P754" s="1379"/>
      <c r="Q754" s="1379"/>
      <c r="R754" s="1379"/>
      <c r="S754" s="1379"/>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7"/>
      <c r="K755" s="1288"/>
      <c r="L755" s="1288"/>
      <c r="M755" s="1288"/>
      <c r="N755" s="1289"/>
      <c r="O755" s="1379"/>
      <c r="P755" s="1379"/>
      <c r="Q755" s="1379"/>
      <c r="R755" s="1379"/>
      <c r="S755" s="1379"/>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7"/>
      <c r="K756" s="1288"/>
      <c r="L756" s="1288"/>
      <c r="M756" s="1288"/>
      <c r="N756" s="1289"/>
      <c r="O756" s="1379"/>
      <c r="P756" s="1379"/>
      <c r="Q756" s="1379"/>
      <c r="R756" s="1379"/>
      <c r="S756" s="1379"/>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7"/>
      <c r="K757" s="1288"/>
      <c r="L757" s="1288"/>
      <c r="M757" s="1288"/>
      <c r="N757" s="1289"/>
      <c r="O757" s="1379"/>
      <c r="P757" s="1379"/>
      <c r="Q757" s="1379"/>
      <c r="R757" s="1379"/>
      <c r="S757" s="1379"/>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7"/>
      <c r="K758" s="1288"/>
      <c r="L758" s="1288"/>
      <c r="M758" s="1288"/>
      <c r="N758" s="1289"/>
      <c r="O758" s="1379"/>
      <c r="P758" s="1379"/>
      <c r="Q758" s="1379"/>
      <c r="R758" s="1379"/>
      <c r="S758" s="1379"/>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7"/>
      <c r="K759" s="1288"/>
      <c r="L759" s="1288"/>
      <c r="M759" s="1288"/>
      <c r="N759" s="1289"/>
      <c r="O759" s="1379"/>
      <c r="P759" s="1379"/>
      <c r="Q759" s="1379"/>
      <c r="R759" s="1379"/>
      <c r="S759" s="1379"/>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7"/>
      <c r="K760" s="1288"/>
      <c r="L760" s="1288"/>
      <c r="M760" s="1288"/>
      <c r="N760" s="1289"/>
      <c r="O760" s="1379"/>
      <c r="P760" s="1379"/>
      <c r="Q760" s="1379"/>
      <c r="R760" s="1379"/>
      <c r="S760" s="1379"/>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7"/>
      <c r="K761" s="1288"/>
      <c r="L761" s="1288"/>
      <c r="M761" s="1288"/>
      <c r="N761" s="1289"/>
      <c r="O761" s="1379"/>
      <c r="P761" s="1379"/>
      <c r="Q761" s="1379"/>
      <c r="R761" s="1379"/>
      <c r="S761" s="1379"/>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39" t="s">
        <v>918</v>
      </c>
      <c r="K762" s="1140"/>
      <c r="L762" s="1140"/>
      <c r="M762" s="1140"/>
      <c r="N762" s="1141"/>
      <c r="O762" s="1520">
        <f>SUM(O752:S761)</f>
        <v>0</v>
      </c>
      <c r="P762" s="1520"/>
      <c r="Q762" s="1520"/>
      <c r="R762" s="1520"/>
      <c r="S762" s="1520"/>
      <c r="X762" s="441" t="s">
        <v>917</v>
      </c>
      <c r="Y762" s="168"/>
      <c r="Z762" s="168"/>
      <c r="AA762" s="168"/>
      <c r="AB762" s="862"/>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74">
        <f>T717+AC742+AC762</f>
        <v>77265</v>
      </c>
      <c r="Z764" s="1174"/>
      <c r="AA764" s="1174"/>
      <c r="AB764" s="1174"/>
      <c r="AC764" s="117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74">
        <f>(T717+AC742+AC762)*12</f>
        <v>927180</v>
      </c>
      <c r="Z765" s="1174"/>
      <c r="AA765" s="1174"/>
      <c r="AB765" s="1174"/>
      <c r="AC765" s="117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80">
        <v>0</v>
      </c>
      <c r="AA770" s="1384"/>
      <c r="AB770" s="1384"/>
      <c r="AC770" s="1384"/>
      <c r="AD770" s="1384"/>
      <c r="AE770" s="138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83">
        <v>0</v>
      </c>
      <c r="AA771" s="1384"/>
      <c r="AB771" s="1384"/>
      <c r="AC771" s="1384"/>
      <c r="AD771" s="1384"/>
      <c r="AE771" s="138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380"/>
      <c r="AA772" s="1381"/>
      <c r="AB772" s="1381"/>
      <c r="AC772" s="1381"/>
      <c r="AD772" s="1381"/>
      <c r="AE772" s="138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541">
        <f>'Subsidy Contract Calculation'!I30</f>
        <v>0</v>
      </c>
      <c r="AA773" s="1542"/>
      <c r="AB773" s="1542"/>
      <c r="AC773" s="1542"/>
      <c r="AD773" s="1542"/>
      <c r="AE773" s="154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65">
        <v>13176</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75" t="s">
        <v>593</v>
      </c>
      <c r="Q780" s="1126"/>
      <c r="R780" s="1126"/>
      <c r="S780" s="1126"/>
      <c r="T780" s="1126"/>
      <c r="U780" s="1126"/>
      <c r="V780" s="1126"/>
      <c r="W780" s="1126"/>
      <c r="X780" s="1126"/>
      <c r="Y780" s="1127"/>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6">
        <f>SUM(Z777:AE780)</f>
        <v>13176</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6">
        <f>Z781+Y765+Z773</f>
        <v>940356</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919</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594</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730</v>
      </c>
      <c r="D789" s="1189"/>
      <c r="E789" s="1189"/>
      <c r="F789" s="1189"/>
      <c r="G789" s="1189"/>
      <c r="H789" s="1189"/>
      <c r="I789" s="54"/>
      <c r="J789" s="54"/>
      <c r="K789" s="54"/>
      <c r="L789" s="55"/>
      <c r="M789" s="1142"/>
      <c r="N789" s="1142"/>
      <c r="O789" s="1142"/>
      <c r="P789" s="1142"/>
      <c r="Q789" s="1142"/>
      <c r="R789" s="1142"/>
      <c r="S789" s="1142"/>
      <c r="T789" s="1142"/>
      <c r="U789" s="1142"/>
      <c r="V789" s="1142"/>
      <c r="W789" s="1142"/>
      <c r="X789" s="1142"/>
      <c r="Y789" s="1142"/>
      <c r="Z789" s="1142"/>
      <c r="AA789" s="1142"/>
      <c r="AB789" s="1142"/>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731</v>
      </c>
      <c r="D790" s="1187"/>
      <c r="E790" s="1187"/>
      <c r="F790" s="1187"/>
      <c r="G790" s="1187"/>
      <c r="H790" s="1187"/>
      <c r="I790" s="9"/>
      <c r="J790" s="9"/>
      <c r="K790" s="9"/>
      <c r="L790" s="52"/>
      <c r="M790" s="1142"/>
      <c r="N790" s="1142"/>
      <c r="O790" s="1142"/>
      <c r="P790" s="1142"/>
      <c r="Q790" s="1142"/>
      <c r="R790" s="1142"/>
      <c r="S790" s="1142"/>
      <c r="T790" s="1142"/>
      <c r="U790" s="1142"/>
      <c r="V790" s="1142"/>
      <c r="W790" s="1142"/>
      <c r="X790" s="1142"/>
      <c r="Y790" s="1142"/>
      <c r="Z790" s="1142"/>
      <c r="AA790" s="1142"/>
      <c r="AB790" s="1142"/>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2"/>
      <c r="N791" s="1142"/>
      <c r="O791" s="1142"/>
      <c r="P791" s="1142"/>
      <c r="Q791" s="1142">
        <v>13</v>
      </c>
      <c r="R791" s="1142"/>
      <c r="S791" s="1142"/>
      <c r="T791" s="1142"/>
      <c r="U791" s="1142">
        <v>16</v>
      </c>
      <c r="V791" s="1142"/>
      <c r="W791" s="1142"/>
      <c r="X791" s="1142"/>
      <c r="Y791" s="1142">
        <v>20</v>
      </c>
      <c r="Z791" s="1142"/>
      <c r="AA791" s="1142"/>
      <c r="AB791" s="1142"/>
      <c r="AC791" s="1119">
        <v>25</v>
      </c>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2"/>
      <c r="N792" s="1142"/>
      <c r="O792" s="1142"/>
      <c r="P792" s="1142"/>
      <c r="Q792" s="1142"/>
      <c r="R792" s="1142"/>
      <c r="S792" s="1142"/>
      <c r="T792" s="1142"/>
      <c r="U792" s="1142"/>
      <c r="V792" s="1142"/>
      <c r="W792" s="1142"/>
      <c r="X792" s="1142"/>
      <c r="Y792" s="1142"/>
      <c r="Z792" s="1142"/>
      <c r="AA792" s="1142"/>
      <c r="AB792" s="1142"/>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828</v>
      </c>
      <c r="D793" s="1187"/>
      <c r="E793" s="1187"/>
      <c r="F793" s="1187"/>
      <c r="G793" s="1187"/>
      <c r="H793" s="1187"/>
      <c r="I793" s="66"/>
      <c r="J793" s="66"/>
      <c r="K793" s="66"/>
      <c r="L793" s="67"/>
      <c r="M793" s="1142"/>
      <c r="N793" s="1142"/>
      <c r="O793" s="1142"/>
      <c r="P793" s="1142"/>
      <c r="Q793" s="1142">
        <f>24+30</f>
        <v>54</v>
      </c>
      <c r="R793" s="1142"/>
      <c r="S793" s="1142"/>
      <c r="T793" s="1142"/>
      <c r="U793" s="1142">
        <f>32+44</f>
        <v>76</v>
      </c>
      <c r="V793" s="1142"/>
      <c r="W793" s="1142"/>
      <c r="X793" s="1142"/>
      <c r="Y793" s="1142">
        <f>40+53</f>
        <v>93</v>
      </c>
      <c r="Z793" s="1142"/>
      <c r="AA793" s="1142"/>
      <c r="AB793" s="1142"/>
      <c r="AC793" s="1119">
        <f>53+61</f>
        <v>114</v>
      </c>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987</v>
      </c>
      <c r="D794" s="1187"/>
      <c r="E794" s="1187"/>
      <c r="F794" s="1187"/>
      <c r="G794" s="1187"/>
      <c r="H794" s="1187"/>
      <c r="I794" s="66"/>
      <c r="J794" s="66"/>
      <c r="K794" s="66"/>
      <c r="L794" s="67"/>
      <c r="M794" s="1142"/>
      <c r="N794" s="1142"/>
      <c r="O794" s="1142"/>
      <c r="P794" s="1142"/>
      <c r="Q794" s="1142"/>
      <c r="R794" s="1142"/>
      <c r="S794" s="1142"/>
      <c r="T794" s="1142"/>
      <c r="U794" s="1142"/>
      <c r="V794" s="1142"/>
      <c r="W794" s="1142"/>
      <c r="X794" s="1142"/>
      <c r="Y794" s="1142"/>
      <c r="Z794" s="1142"/>
      <c r="AA794" s="1142"/>
      <c r="AB794" s="1142"/>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5" t="s">
        <v>2469</v>
      </c>
      <c r="G795" s="1126"/>
      <c r="H795" s="1126"/>
      <c r="I795" s="1126"/>
      <c r="J795" s="1126"/>
      <c r="K795" s="1126"/>
      <c r="L795" s="1126"/>
      <c r="M795" s="1142"/>
      <c r="N795" s="1142"/>
      <c r="O795" s="1142"/>
      <c r="P795" s="1142"/>
      <c r="Q795" s="1142">
        <v>16</v>
      </c>
      <c r="R795" s="1142"/>
      <c r="S795" s="1142"/>
      <c r="T795" s="1142"/>
      <c r="U795" s="1142">
        <v>21</v>
      </c>
      <c r="V795" s="1142"/>
      <c r="W795" s="1142"/>
      <c r="X795" s="1142"/>
      <c r="Y795" s="1142">
        <v>26</v>
      </c>
      <c r="Z795" s="1142"/>
      <c r="AA795" s="1142"/>
      <c r="AB795" s="1142"/>
      <c r="AC795" s="1119">
        <v>35</v>
      </c>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39" t="s">
        <v>917</v>
      </c>
      <c r="D796" s="1140"/>
      <c r="E796" s="1140"/>
      <c r="F796" s="1140"/>
      <c r="G796" s="1140"/>
      <c r="H796" s="1140"/>
      <c r="I796" s="1140"/>
      <c r="J796" s="1140"/>
      <c r="K796" s="1140"/>
      <c r="L796" s="1141"/>
      <c r="M796" s="1128">
        <f>SUM(M789:P795)</f>
        <v>0</v>
      </c>
      <c r="N796" s="1128"/>
      <c r="O796" s="1128"/>
      <c r="P796" s="1128"/>
      <c r="Q796" s="1128">
        <f>SUM(Q789:T795)</f>
        <v>83</v>
      </c>
      <c r="R796" s="1128"/>
      <c r="S796" s="1128"/>
      <c r="T796" s="1128"/>
      <c r="U796" s="1128">
        <f>SUM(U789:X795)</f>
        <v>113</v>
      </c>
      <c r="V796" s="1128"/>
      <c r="W796" s="1128"/>
      <c r="X796" s="1128"/>
      <c r="Y796" s="1128">
        <f>SUM(Y789:AB795)</f>
        <v>139</v>
      </c>
      <c r="Z796" s="1128"/>
      <c r="AA796" s="1128"/>
      <c r="AB796" s="1128"/>
      <c r="AC796" s="1128">
        <f>SUM(AC789:AF795)</f>
        <v>174</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2428</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4" t="s">
        <v>393</v>
      </c>
      <c r="BB805" s="1525"/>
      <c r="BC805" s="41"/>
      <c r="BD805" s="41"/>
      <c r="BE805" s="41"/>
      <c r="BF805" s="21" t="s">
        <v>449</v>
      </c>
      <c r="BG805" s="21"/>
      <c r="BH805" s="21"/>
      <c r="BI805" s="21"/>
      <c r="BJ805" s="21"/>
      <c r="BK805" s="21"/>
      <c r="BL805" s="21"/>
      <c r="BM805" s="21"/>
      <c r="BN805" s="21"/>
      <c r="BO805" s="1521" t="str">
        <f>T189</f>
        <v>Los Angeles</v>
      </c>
      <c r="BP805" s="1522"/>
      <c r="BQ805" s="1522"/>
      <c r="BR805" s="1522"/>
      <c r="BS805" s="1522"/>
      <c r="BT805" s="1522"/>
      <c r="BU805" s="152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29">
        <v>1000</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29">
        <v>5000</v>
      </c>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29">
        <v>20200</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29">
        <v>6000</v>
      </c>
      <c r="X809" s="1129"/>
      <c r="Y809" s="1129"/>
      <c r="Z809" s="1129"/>
      <c r="AA809" s="1129"/>
      <c r="AB809" s="1129"/>
      <c r="AC809" s="1129"/>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5" t="s">
        <v>2429</v>
      </c>
      <c r="N810" s="1126"/>
      <c r="O810" s="1126"/>
      <c r="P810" s="1126"/>
      <c r="Q810" s="1126"/>
      <c r="R810" s="1126"/>
      <c r="S810" s="1126"/>
      <c r="T810" s="1126"/>
      <c r="U810" s="1126"/>
      <c r="V810" s="1127"/>
      <c r="W810" s="1129">
        <v>800</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6">
        <f>SUM(W806:AC810)</f>
        <v>33000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39" t="s">
        <v>498</v>
      </c>
      <c r="K813" s="1140"/>
      <c r="L813" s="1140"/>
      <c r="M813" s="1140"/>
      <c r="N813" s="1140"/>
      <c r="O813" s="1140"/>
      <c r="P813" s="1140"/>
      <c r="Q813" s="1140"/>
      <c r="R813" s="1140"/>
      <c r="S813" s="1140"/>
      <c r="T813" s="1140"/>
      <c r="U813" s="1140"/>
      <c r="V813" s="1141"/>
      <c r="W813" s="1165">
        <v>53600.292000000001</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155"/>
      <c r="X815" s="1155"/>
      <c r="Y815" s="1155"/>
      <c r="Z815" s="1155"/>
      <c r="AA815" s="1155"/>
      <c r="AB815" s="1155"/>
      <c r="AC815" s="115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5">
        <v>7891.875</v>
      </c>
      <c r="X816" s="1155"/>
      <c r="Y816" s="1155"/>
      <c r="Z816" s="1155"/>
      <c r="AA816" s="1155"/>
      <c r="AB816" s="1155"/>
      <c r="AC816" s="115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155">
        <v>25254</v>
      </c>
      <c r="X817" s="1155"/>
      <c r="Y817" s="1155"/>
      <c r="Z817" s="1155"/>
      <c r="AA817" s="1155"/>
      <c r="AB817" s="1155"/>
      <c r="AC817" s="1155"/>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5">
        <v>28410.75</v>
      </c>
      <c r="X818" s="1155"/>
      <c r="Y818" s="1155"/>
      <c r="Z818" s="1155"/>
      <c r="AA818" s="1155"/>
      <c r="AB818" s="1155"/>
      <c r="AC818" s="115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9">
        <f>SUM(W815:AC818)</f>
        <v>61556.625</v>
      </c>
      <c r="X819" s="1519"/>
      <c r="Y819" s="1519"/>
      <c r="Z819" s="1519"/>
      <c r="AA819" s="1519"/>
      <c r="AB819" s="1519"/>
      <c r="AC819" s="1519"/>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0">
        <v>60000</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176">
        <v>1</v>
      </c>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130">
        <v>48000</v>
      </c>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176"/>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25" t="s">
        <v>2430</v>
      </c>
      <c r="N825" s="1126"/>
      <c r="O825" s="1126"/>
      <c r="P825" s="1126"/>
      <c r="Q825" s="1126"/>
      <c r="R825" s="1126"/>
      <c r="S825" s="1126"/>
      <c r="T825" s="1126"/>
      <c r="U825" s="1126"/>
      <c r="V825" s="1127"/>
      <c r="W825" s="1130">
        <v>38036.465855168099</v>
      </c>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6">
        <f>SUM(W821:AC825)</f>
        <v>146036.46585516809</v>
      </c>
      <c r="X826" s="1537"/>
      <c r="Y826" s="1537"/>
      <c r="Z826" s="1537"/>
      <c r="AA826" s="1537"/>
      <c r="AB826" s="1537"/>
      <c r="AC826" s="153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29">
        <v>15783.75</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29">
        <v>15783.75</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29">
        <v>10248</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29">
        <v>6500</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29">
        <v>9600</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29">
        <v>8500</v>
      </c>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25" t="s">
        <v>2431</v>
      </c>
      <c r="N835" s="1126"/>
      <c r="O835" s="1126"/>
      <c r="P835" s="1126"/>
      <c r="Q835" s="1126"/>
      <c r="R835" s="1126"/>
      <c r="S835" s="1126"/>
      <c r="T835" s="1126"/>
      <c r="U835" s="1126"/>
      <c r="V835" s="1127"/>
      <c r="W835" s="1129">
        <v>5460</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4">
        <f>SUM(W829:AC835)</f>
        <v>71875.5</v>
      </c>
      <c r="X836" s="1174"/>
      <c r="Y836" s="1174"/>
      <c r="Z836" s="1174"/>
      <c r="AA836" s="1174"/>
      <c r="AB836" s="1174"/>
      <c r="AC836" s="1174"/>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25"/>
      <c r="N838" s="1126"/>
      <c r="O838" s="1126"/>
      <c r="P838" s="1126"/>
      <c r="Q838" s="1126"/>
      <c r="R838" s="1126"/>
      <c r="S838" s="1126"/>
      <c r="T838" s="1126"/>
      <c r="U838" s="1126"/>
      <c r="V838" s="1127"/>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25"/>
      <c r="N839" s="1126"/>
      <c r="O839" s="1126"/>
      <c r="P839" s="1126"/>
      <c r="Q839" s="1126"/>
      <c r="R839" s="1126"/>
      <c r="S839" s="1126"/>
      <c r="T839" s="1126"/>
      <c r="U839" s="1126"/>
      <c r="V839" s="1127"/>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25" t="s">
        <v>2432</v>
      </c>
      <c r="N840" s="1126"/>
      <c r="O840" s="1126"/>
      <c r="P840" s="1126"/>
      <c r="Q840" s="1126"/>
      <c r="R840" s="1126"/>
      <c r="S840" s="1126"/>
      <c r="T840" s="1126"/>
      <c r="U840" s="1126"/>
      <c r="V840" s="1127"/>
      <c r="W840" s="1165">
        <v>24400</v>
      </c>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25"/>
      <c r="N841" s="1126"/>
      <c r="O841" s="1126"/>
      <c r="P841" s="1126"/>
      <c r="Q841" s="1126"/>
      <c r="R841" s="1126"/>
      <c r="S841" s="1126"/>
      <c r="T841" s="1126"/>
      <c r="U841" s="1126"/>
      <c r="V841" s="1127"/>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75"/>
      <c r="N842" s="1126"/>
      <c r="O842" s="1126"/>
      <c r="P842" s="1126"/>
      <c r="Q842" s="1126"/>
      <c r="R842" s="1126"/>
      <c r="S842" s="1126"/>
      <c r="T842" s="1126"/>
      <c r="U842" s="1126"/>
      <c r="V842" s="1127"/>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6">
        <f>SUM(W838:AC842)</f>
        <v>24400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390468.88285516808</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1">
        <f>O762+O742+G717</f>
        <v>61</v>
      </c>
      <c r="AD848" s="1152"/>
      <c r="AE848" s="1152"/>
      <c r="AF848" s="1152"/>
      <c r="AG848" s="1152"/>
      <c r="AH848" s="1153"/>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4" t="s">
        <v>368</v>
      </c>
      <c r="F849" s="1505"/>
      <c r="G849" s="1505"/>
      <c r="H849" s="1505"/>
      <c r="I849" s="1505"/>
      <c r="J849" s="1505"/>
      <c r="K849" s="1505"/>
      <c r="L849" s="1505"/>
      <c r="M849" s="1505"/>
      <c r="N849" s="1505"/>
      <c r="O849" s="1505"/>
      <c r="P849" s="1505"/>
      <c r="Q849" s="1505"/>
      <c r="R849" s="1505"/>
      <c r="S849" s="1505"/>
      <c r="T849" s="1505"/>
      <c r="U849" s="1505"/>
      <c r="V849" s="1505"/>
      <c r="W849" s="1505"/>
      <c r="X849" s="1505"/>
      <c r="Y849" s="1505"/>
      <c r="Z849" s="1505"/>
      <c r="AA849" s="1505"/>
      <c r="AB849" s="1506"/>
      <c r="AC849" s="1172">
        <f>IF(ISERROR((ROUNDDOWN(AC847/AC848,0))),0,(ROUNDDOWN(AC847/AC848,0)))</f>
        <v>6401</v>
      </c>
      <c r="AD849" s="1173"/>
      <c r="AE849" s="1173"/>
      <c r="AF849" s="1173"/>
      <c r="AG849" s="1173"/>
      <c r="AH849" s="1173"/>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4">
        <v>208112</v>
      </c>
      <c r="AD850" s="1135"/>
      <c r="AE850" s="1135"/>
      <c r="AF850" s="1135"/>
      <c r="AG850" s="1135"/>
      <c r="AH850" s="1135"/>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7"/>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20000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5">
        <v>15250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5"/>
      <c r="AD854" s="1166"/>
      <c r="AE854" s="1166"/>
      <c r="AF854" s="1166"/>
      <c r="AG854" s="1166"/>
      <c r="AH854" s="1167"/>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5">
        <v>1000</v>
      </c>
      <c r="AD855" s="1166"/>
      <c r="AE855" s="1166"/>
      <c r="AF855" s="1166"/>
      <c r="AG855" s="1166"/>
      <c r="AH855" s="1167"/>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1"/>
      <c r="AD856" s="1129"/>
      <c r="AE856" s="1129"/>
      <c r="AF856" s="1129"/>
      <c r="AG856" s="1129"/>
      <c r="AH856" s="1129"/>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59" t="s">
        <v>1261</v>
      </c>
      <c r="F857" s="1160"/>
      <c r="G857" s="1160"/>
      <c r="H857" s="1160"/>
      <c r="I857" s="1160"/>
      <c r="J857" s="1160"/>
      <c r="K857" s="1160"/>
      <c r="L857" s="1160"/>
      <c r="M857" s="1160"/>
      <c r="N857" s="1160"/>
      <c r="O857" s="1160"/>
      <c r="P857" s="1160"/>
      <c r="Q857" s="1160"/>
      <c r="R857" s="1160"/>
      <c r="S857" s="1160"/>
      <c r="T857" s="1160"/>
      <c r="U857" s="1160"/>
      <c r="V857" s="1160"/>
      <c r="W857" s="1160"/>
      <c r="X857" s="1160"/>
      <c r="Y857" s="1160"/>
      <c r="Z857" s="1160"/>
      <c r="AA857" s="1160"/>
      <c r="AB857" s="1161"/>
      <c r="AC857" s="1129"/>
      <c r="AD857" s="1129"/>
      <c r="AE857" s="1129"/>
      <c r="AF857" s="1129"/>
      <c r="AG857" s="1129"/>
      <c r="AH857" s="1129"/>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59" t="s">
        <v>1261</v>
      </c>
      <c r="F858" s="1160"/>
      <c r="G858" s="1160"/>
      <c r="H858" s="1160"/>
      <c r="I858" s="1160"/>
      <c r="J858" s="1160"/>
      <c r="K858" s="1160"/>
      <c r="L858" s="1160"/>
      <c r="M858" s="1160"/>
      <c r="N858" s="1160"/>
      <c r="O858" s="1160"/>
      <c r="P858" s="1160"/>
      <c r="Q858" s="1160"/>
      <c r="R858" s="1160"/>
      <c r="S858" s="1160"/>
      <c r="T858" s="1160"/>
      <c r="U858" s="1160"/>
      <c r="V858" s="1160"/>
      <c r="W858" s="1160"/>
      <c r="X858" s="1160"/>
      <c r="Y858" s="1160"/>
      <c r="Z858" s="1160"/>
      <c r="AA858" s="1160"/>
      <c r="AB858" s="1161"/>
      <c r="AC858" s="1129"/>
      <c r="AD858" s="1129"/>
      <c r="AE858" s="1129"/>
      <c r="AF858" s="1129"/>
      <c r="AG858" s="1129"/>
      <c r="AH858" s="1129"/>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3"/>
      <c r="AD859" s="1133"/>
      <c r="AE859" s="1133"/>
      <c r="AF859" s="1133"/>
      <c r="AG859" s="1133"/>
      <c r="AH859" s="1133"/>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8"/>
      <c r="AO860" s="1168"/>
      <c r="AP860" s="1503"/>
      <c r="AQ860" s="1503"/>
      <c r="AR860" s="1503"/>
      <c r="AS860" s="1503"/>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3"/>
      <c r="AQ861" s="1503"/>
      <c r="AR861" s="1503"/>
      <c r="AS861" s="1503"/>
      <c r="AV861" s="1503"/>
      <c r="AW861" s="1503"/>
      <c r="AX861" s="1503"/>
      <c r="AY861" s="1503"/>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6">
        <f>Z862-(Z863+Z864)</f>
        <v>0</v>
      </c>
      <c r="AA865" s="1157"/>
      <c r="AB865" s="1157"/>
      <c r="AC865" s="1157"/>
      <c r="AD865" s="1157"/>
      <c r="AE865" s="1158"/>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6" t="s">
        <v>1005</v>
      </c>
      <c r="G877" s="1137"/>
      <c r="H877" s="1137"/>
      <c r="I877" s="1137"/>
      <c r="J877" s="1137"/>
      <c r="K877" s="1137"/>
      <c r="L877" s="1137"/>
      <c r="M877" s="1137"/>
      <c r="N877" s="1137"/>
      <c r="O877" s="1137"/>
      <c r="P877" s="1137"/>
      <c r="Q877" s="1137"/>
      <c r="R877" s="1137"/>
      <c r="S877" s="1137"/>
      <c r="T877" s="1138"/>
      <c r="U877" s="1551"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10" t="s">
        <v>1086</v>
      </c>
      <c r="G878" s="1511"/>
      <c r="H878" s="1511"/>
      <c r="I878" s="1511"/>
      <c r="J878" s="1511"/>
      <c r="K878" s="1511"/>
      <c r="L878" s="1511"/>
      <c r="M878" s="1511"/>
      <c r="N878" s="1511"/>
      <c r="O878" s="1511"/>
      <c r="P878" s="1511"/>
      <c r="Q878" s="1511"/>
      <c r="R878" s="1511"/>
      <c r="S878" s="1511"/>
      <c r="T878" s="1512"/>
      <c r="U878" s="1510"/>
      <c r="V878" s="1511"/>
      <c r="W878" s="1511"/>
      <c r="X878" s="1511"/>
      <c r="Y878" s="1511"/>
      <c r="Z878" s="151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3"/>
      <c r="G879" s="1183"/>
      <c r="H879" s="1183"/>
      <c r="I879" s="1183"/>
      <c r="J879" s="1183"/>
      <c r="K879" s="1183"/>
      <c r="L879" s="1183"/>
      <c r="M879" s="1183"/>
      <c r="N879" s="1183"/>
      <c r="O879" s="1183"/>
      <c r="P879" s="1183"/>
      <c r="Q879" s="1183"/>
      <c r="R879" s="1183"/>
      <c r="S879" s="1183"/>
      <c r="T879" s="1184"/>
      <c r="U879" s="1513"/>
      <c r="V879" s="1183"/>
      <c r="W879" s="1183"/>
      <c r="X879" s="1183"/>
      <c r="Y879" s="1183"/>
      <c r="Z879" s="1183"/>
      <c r="AA879" s="198"/>
      <c r="AB879" s="1154" t="s">
        <v>60</v>
      </c>
      <c r="AC879" s="1154"/>
      <c r="AD879" s="1154"/>
      <c r="AE879" s="1154"/>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5" t="s">
        <v>132</v>
      </c>
      <c r="V880" s="1146"/>
      <c r="W880" s="1146"/>
      <c r="X880" s="1146"/>
      <c r="Y880" s="1146"/>
      <c r="Z880" s="1147"/>
      <c r="AA880" s="1143"/>
      <c r="AB880" s="1144"/>
      <c r="AC880" s="1144"/>
      <c r="AD880" s="1144"/>
      <c r="AE880" s="1144"/>
      <c r="AF880" s="1134"/>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5" t="s">
        <v>132</v>
      </c>
      <c r="V881" s="1146"/>
      <c r="W881" s="1146"/>
      <c r="X881" s="1146"/>
      <c r="Y881" s="1146"/>
      <c r="Z881" s="1147"/>
      <c r="AA881" s="1143"/>
      <c r="AB881" s="1144"/>
      <c r="AC881" s="1144"/>
      <c r="AD881" s="1144"/>
      <c r="AE881" s="1144"/>
      <c r="AF881" s="1134"/>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45" t="s">
        <v>132</v>
      </c>
      <c r="V882" s="1146"/>
      <c r="W882" s="1146"/>
      <c r="X882" s="1146"/>
      <c r="Y882" s="1146"/>
      <c r="Z882" s="1147"/>
      <c r="AA882" s="1143"/>
      <c r="AB882" s="1144"/>
      <c r="AC882" s="1144"/>
      <c r="AD882" s="1144"/>
      <c r="AE882" s="1144"/>
      <c r="AF882" s="1134"/>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45" t="s">
        <v>132</v>
      </c>
      <c r="V883" s="1146"/>
      <c r="W883" s="1146"/>
      <c r="X883" s="1146"/>
      <c r="Y883" s="1146"/>
      <c r="Z883" s="1147"/>
      <c r="AA883" s="1143"/>
      <c r="AB883" s="1144"/>
      <c r="AC883" s="1144"/>
      <c r="AD883" s="1144"/>
      <c r="AE883" s="1144"/>
      <c r="AF883" s="1134"/>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45" t="s">
        <v>132</v>
      </c>
      <c r="V884" s="1146"/>
      <c r="W884" s="1146"/>
      <c r="X884" s="1146"/>
      <c r="Y884" s="1146"/>
      <c r="Z884" s="1147"/>
      <c r="AA884" s="1143"/>
      <c r="AB884" s="1144"/>
      <c r="AC884" s="1144"/>
      <c r="AD884" s="1144"/>
      <c r="AE884" s="1144"/>
      <c r="AF884" s="1134"/>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5" t="s">
        <v>132</v>
      </c>
      <c r="V885" s="1146"/>
      <c r="W885" s="1146"/>
      <c r="X885" s="1146"/>
      <c r="Y885" s="1146"/>
      <c r="Z885" s="1147"/>
      <c r="AA885" s="1143"/>
      <c r="AB885" s="1144"/>
      <c r="AC885" s="1144"/>
      <c r="AD885" s="1144"/>
      <c r="AE885" s="1144"/>
      <c r="AF885" s="1134"/>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5" t="s">
        <v>132</v>
      </c>
      <c r="V886" s="1146"/>
      <c r="W886" s="1146"/>
      <c r="X886" s="1146"/>
      <c r="Y886" s="1146"/>
      <c r="Z886" s="1147"/>
      <c r="AA886" s="1143"/>
      <c r="AB886" s="1144"/>
      <c r="AC886" s="1144"/>
      <c r="AD886" s="1144"/>
      <c r="AE886" s="1144"/>
      <c r="AF886" s="1134"/>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5" t="s">
        <v>132</v>
      </c>
      <c r="V887" s="1146"/>
      <c r="W887" s="1146"/>
      <c r="X887" s="1146"/>
      <c r="Y887" s="1146"/>
      <c r="Z887" s="1147"/>
      <c r="AA887" s="1143"/>
      <c r="AB887" s="1144"/>
      <c r="AC887" s="1144"/>
      <c r="AD887" s="1144"/>
      <c r="AE887" s="1144"/>
      <c r="AF887" s="1134"/>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45" t="s">
        <v>132</v>
      </c>
      <c r="V888" s="1146"/>
      <c r="W888" s="1146"/>
      <c r="X888" s="1146"/>
      <c r="Y888" s="1146"/>
      <c r="Z888" s="1147"/>
      <c r="AA888" s="1143"/>
      <c r="AB888" s="1144"/>
      <c r="AC888" s="1144"/>
      <c r="AD888" s="1144"/>
      <c r="AE888" s="1144"/>
      <c r="AF888" s="1134"/>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45" t="s">
        <v>132</v>
      </c>
      <c r="V889" s="1146"/>
      <c r="W889" s="1146"/>
      <c r="X889" s="1146"/>
      <c r="Y889" s="1146"/>
      <c r="Z889" s="1147"/>
      <c r="AA889" s="1143"/>
      <c r="AB889" s="1144"/>
      <c r="AC889" s="1144"/>
      <c r="AD889" s="1144"/>
      <c r="AE889" s="1144"/>
      <c r="AF889" s="1134"/>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359" t="s">
        <v>132</v>
      </c>
      <c r="V890" s="1360"/>
      <c r="W890" s="1360"/>
      <c r="X890" s="1360"/>
      <c r="Y890" s="1360"/>
      <c r="Z890" s="1509"/>
      <c r="AA890" s="1533"/>
      <c r="AB890" s="1534"/>
      <c r="AC890" s="1534"/>
      <c r="AD890" s="1534"/>
      <c r="AE890" s="1534"/>
      <c r="AF890" s="153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45" t="s">
        <v>132</v>
      </c>
      <c r="V891" s="1146"/>
      <c r="W891" s="1146"/>
      <c r="X891" s="1146"/>
      <c r="Y891" s="1146"/>
      <c r="Z891" s="1147"/>
      <c r="AA891" s="1143"/>
      <c r="AB891" s="1144"/>
      <c r="AC891" s="1144"/>
      <c r="AD891" s="1144"/>
      <c r="AE891" s="1144"/>
      <c r="AF891" s="1134"/>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45" t="s">
        <v>132</v>
      </c>
      <c r="V892" s="1146"/>
      <c r="W892" s="1146"/>
      <c r="X892" s="1146"/>
      <c r="Y892" s="1146"/>
      <c r="Z892" s="1147"/>
      <c r="AA892" s="1143"/>
      <c r="AB892" s="1144"/>
      <c r="AC892" s="1144"/>
      <c r="AD892" s="1144"/>
      <c r="AE892" s="1144"/>
      <c r="AF892" s="1134"/>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5" t="s">
        <v>132</v>
      </c>
      <c r="V893" s="1146"/>
      <c r="W893" s="1146"/>
      <c r="X893" s="1146"/>
      <c r="Y893" s="1146"/>
      <c r="Z893" s="1147"/>
      <c r="AA893" s="1143"/>
      <c r="AB893" s="1144"/>
      <c r="AC893" s="1144"/>
      <c r="AD893" s="1144"/>
      <c r="AE893" s="1144"/>
      <c r="AF893" s="1134"/>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87" t="s">
        <v>511</v>
      </c>
      <c r="Q894" s="1146"/>
      <c r="R894" s="1146"/>
      <c r="S894" s="1146"/>
      <c r="T894" s="1147"/>
      <c r="U894" s="1145" t="s">
        <v>132</v>
      </c>
      <c r="V894" s="1146"/>
      <c r="W894" s="1146"/>
      <c r="X894" s="1146"/>
      <c r="Y894" s="1146"/>
      <c r="Z894" s="1147"/>
      <c r="AA894" s="1143"/>
      <c r="AB894" s="1144"/>
      <c r="AC894" s="1144"/>
      <c r="AD894" s="1144"/>
      <c r="AE894" s="1144"/>
      <c r="AF894" s="1134"/>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5" t="s">
        <v>593</v>
      </c>
      <c r="J895" s="1507"/>
      <c r="K895" s="1507"/>
      <c r="L895" s="1507"/>
      <c r="M895" s="1507"/>
      <c r="N895" s="1507"/>
      <c r="O895" s="1507"/>
      <c r="P895" s="1507"/>
      <c r="Q895" s="1507"/>
      <c r="R895" s="1507"/>
      <c r="S895" s="1507"/>
      <c r="T895" s="1508"/>
      <c r="U895" s="1145" t="s">
        <v>132</v>
      </c>
      <c r="V895" s="1146"/>
      <c r="W895" s="1146"/>
      <c r="X895" s="1146"/>
      <c r="Y895" s="1146"/>
      <c r="Z895" s="1147"/>
      <c r="AA895" s="1143"/>
      <c r="AB895" s="1144"/>
      <c r="AC895" s="1144"/>
      <c r="AD895" s="1144"/>
      <c r="AE895" s="1144"/>
      <c r="AF895" s="1134"/>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25" t="s">
        <v>593</v>
      </c>
      <c r="J896" s="1507"/>
      <c r="K896" s="1507"/>
      <c r="L896" s="1507"/>
      <c r="M896" s="1507"/>
      <c r="N896" s="1507"/>
      <c r="O896" s="1507"/>
      <c r="P896" s="1507"/>
      <c r="Q896" s="1507"/>
      <c r="R896" s="1507"/>
      <c r="S896" s="1507"/>
      <c r="T896" s="1508"/>
      <c r="U896" s="1145" t="s">
        <v>132</v>
      </c>
      <c r="V896" s="1146"/>
      <c r="W896" s="1146"/>
      <c r="X896" s="1146"/>
      <c r="Y896" s="1146"/>
      <c r="Z896" s="1147"/>
      <c r="AA896" s="1143"/>
      <c r="AB896" s="1144"/>
      <c r="AC896" s="1144"/>
      <c r="AD896" s="1144"/>
      <c r="AE896" s="1144"/>
      <c r="AF896" s="1134"/>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5" t="s">
        <v>593</v>
      </c>
      <c r="J897" s="1507"/>
      <c r="K897" s="1507"/>
      <c r="L897" s="1507"/>
      <c r="M897" s="1507"/>
      <c r="N897" s="1507"/>
      <c r="O897" s="1507"/>
      <c r="P897" s="1507"/>
      <c r="Q897" s="1507"/>
      <c r="R897" s="1507"/>
      <c r="S897" s="1507"/>
      <c r="T897" s="1508"/>
      <c r="U897" s="1145" t="s">
        <v>132</v>
      </c>
      <c r="V897" s="1146"/>
      <c r="W897" s="1146"/>
      <c r="X897" s="1146"/>
      <c r="Y897" s="1146"/>
      <c r="Z897" s="1147"/>
      <c r="AA897" s="1143"/>
      <c r="AB897" s="1144"/>
      <c r="AC897" s="1144"/>
      <c r="AD897" s="1144"/>
      <c r="AE897" s="1144"/>
      <c r="AF897" s="1134"/>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5" t="s">
        <v>593</v>
      </c>
      <c r="J898" s="1507"/>
      <c r="K898" s="1507"/>
      <c r="L898" s="1507"/>
      <c r="M898" s="1507"/>
      <c r="N898" s="1507"/>
      <c r="O898" s="1507"/>
      <c r="P898" s="1507"/>
      <c r="Q898" s="1507"/>
      <c r="R898" s="1507"/>
      <c r="S898" s="1507"/>
      <c r="T898" s="1508"/>
      <c r="U898" s="1145" t="s">
        <v>132</v>
      </c>
      <c r="V898" s="1146"/>
      <c r="W898" s="1146"/>
      <c r="X898" s="1146"/>
      <c r="Y898" s="1146"/>
      <c r="Z898" s="1147"/>
      <c r="AA898" s="1143"/>
      <c r="AB898" s="1144"/>
      <c r="AC898" s="1144"/>
      <c r="AD898" s="1144"/>
      <c r="AE898" s="1144"/>
      <c r="AF898" s="1134"/>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148"/>
      <c r="M903" s="1149"/>
      <c r="N903" s="1149"/>
      <c r="O903" s="1149"/>
      <c r="P903" s="1149"/>
      <c r="Q903" s="1149"/>
      <c r="R903" s="1149"/>
      <c r="S903" s="1150"/>
      <c r="U903" s="72" t="s">
        <v>868</v>
      </c>
      <c r="V903" s="9"/>
      <c r="W903" s="9"/>
      <c r="X903" s="9"/>
      <c r="Y903" s="9"/>
      <c r="Z903" s="9"/>
      <c r="AA903" s="9"/>
      <c r="AB903" s="9"/>
      <c r="AC903" s="9"/>
      <c r="AD903" s="52"/>
      <c r="AE903" s="1529"/>
      <c r="AF903" s="1381"/>
      <c r="AG903" s="1381"/>
      <c r="AH903" s="1381"/>
      <c r="AI903" s="1381"/>
      <c r="AJ903" s="1381"/>
      <c r="AK903" s="138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148"/>
      <c r="M904" s="1149"/>
      <c r="N904" s="1149"/>
      <c r="O904" s="1149"/>
      <c r="P904" s="1149"/>
      <c r="Q904" s="1149"/>
      <c r="R904" s="1149"/>
      <c r="S904" s="1150"/>
      <c r="U904" s="72" t="s">
        <v>869</v>
      </c>
      <c r="V904" s="9"/>
      <c r="W904" s="9"/>
      <c r="X904" s="9"/>
      <c r="Y904" s="9"/>
      <c r="Z904" s="9"/>
      <c r="AA904" s="9"/>
      <c r="AB904" s="9"/>
      <c r="AC904" s="9"/>
      <c r="AD904" s="52"/>
      <c r="AE904" s="1530"/>
      <c r="AF904" s="1531"/>
      <c r="AG904" s="1531"/>
      <c r="AH904" s="1531"/>
      <c r="AI904" s="1531"/>
      <c r="AJ904" s="1531"/>
      <c r="AK904" s="153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437" t="s">
        <v>84</v>
      </c>
      <c r="M905" s="1438"/>
      <c r="N905" s="1438"/>
      <c r="O905" s="1438"/>
      <c r="P905" s="1438"/>
      <c r="Q905" s="1438"/>
      <c r="R905" s="1438"/>
      <c r="S905" s="1439"/>
      <c r="U905" s="72" t="s">
        <v>1155</v>
      </c>
      <c r="V905" s="9"/>
      <c r="W905" s="9"/>
      <c r="AE905" s="1448" t="s">
        <v>84</v>
      </c>
      <c r="AF905" s="1449"/>
      <c r="AG905" s="1449"/>
      <c r="AH905" s="1449"/>
      <c r="AI905" s="1449"/>
      <c r="AJ905" s="1449"/>
      <c r="AK905" s="1450"/>
      <c r="AL905" s="74"/>
      <c r="AM905" s="43"/>
      <c r="AN905" s="43"/>
      <c r="AO905" s="43"/>
      <c r="AP905" s="43"/>
      <c r="AQ905" s="43"/>
      <c r="AR905" s="43"/>
      <c r="AS905" s="43"/>
      <c r="AT905" s="43"/>
      <c r="AU905" s="43"/>
      <c r="AV905" s="43"/>
      <c r="AW905" s="38" t="s">
        <v>620</v>
      </c>
      <c r="AX905" s="206">
        <v>20</v>
      </c>
      <c r="AY905" s="1435">
        <f>IF(AD941&gt;0,0.2,0)</f>
        <v>0</v>
      </c>
      <c r="AZ905" s="143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162"/>
      <c r="M906" s="1163"/>
      <c r="N906" s="1163"/>
      <c r="O906" s="1163"/>
      <c r="P906" s="1163"/>
      <c r="Q906" s="1163"/>
      <c r="R906" s="1163"/>
      <c r="S906" s="1164"/>
      <c r="U906" s="72" t="s">
        <v>870</v>
      </c>
      <c r="V906" s="9"/>
      <c r="W906" s="9"/>
      <c r="X906" s="9"/>
      <c r="Y906" s="9"/>
      <c r="Z906" s="9"/>
      <c r="AA906" s="9"/>
      <c r="AB906" s="9"/>
      <c r="AC906" s="9"/>
      <c r="AD906" s="52"/>
      <c r="AE906" s="1162"/>
      <c r="AF906" s="1163"/>
      <c r="AG906" s="1163"/>
      <c r="AH906" s="1163"/>
      <c r="AI906" s="1163"/>
      <c r="AJ906" s="1163"/>
      <c r="AK906" s="1164"/>
      <c r="AL906" s="74"/>
      <c r="AM906" s="43"/>
      <c r="AN906" s="43"/>
      <c r="AO906" s="43"/>
      <c r="AP906" s="43"/>
      <c r="AQ906" s="43"/>
      <c r="AR906" s="43"/>
      <c r="AS906" s="43"/>
      <c r="AT906" s="43"/>
      <c r="AU906" s="43"/>
      <c r="AV906" s="43"/>
      <c r="AX906">
        <v>5</v>
      </c>
      <c r="AY906" s="1435">
        <f>IF(AD944&gt;0,0.05,0)</f>
        <v>0</v>
      </c>
      <c r="AZ906" s="143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477"/>
      <c r="M907" s="1478"/>
      <c r="N907" s="1478"/>
      <c r="O907" s="1478"/>
      <c r="P907" s="1478"/>
      <c r="Q907" s="1478"/>
      <c r="R907" s="1478"/>
      <c r="S907" s="1479"/>
      <c r="U907" s="72" t="s">
        <v>871</v>
      </c>
      <c r="V907" s="9"/>
      <c r="W907" s="9"/>
      <c r="X907" s="9"/>
      <c r="Y907" s="9"/>
      <c r="Z907" s="9"/>
      <c r="AA907" s="9"/>
      <c r="AB907" s="9"/>
      <c r="AC907" s="9"/>
      <c r="AD907" s="52"/>
      <c r="AE907" s="1480"/>
      <c r="AF907" s="1384"/>
      <c r="AG907" s="1384"/>
      <c r="AH907" s="1384"/>
      <c r="AI907" s="1384"/>
      <c r="AJ907" s="1384"/>
      <c r="AK907" s="1385"/>
      <c r="AL907" s="74"/>
      <c r="AM907" s="43"/>
      <c r="AN907" s="43"/>
      <c r="AO907" s="43"/>
      <c r="AP907" s="43"/>
      <c r="AQ907" s="43"/>
      <c r="AR907" s="43"/>
      <c r="AS907" s="43"/>
      <c r="AT907" s="43"/>
      <c r="AU907" s="43"/>
      <c r="AV907" s="43"/>
      <c r="AW907" s="38" t="s">
        <v>621</v>
      </c>
      <c r="AX907" s="206">
        <v>7</v>
      </c>
      <c r="AY907" s="1456">
        <f>IF(AD948&gt;0,0.07,0)</f>
        <v>0</v>
      </c>
      <c r="AZ907" s="145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65"/>
      <c r="M908" s="1166"/>
      <c r="N908" s="1166"/>
      <c r="O908" s="1166"/>
      <c r="P908" s="1166"/>
      <c r="Q908" s="1166"/>
      <c r="R908" s="1166"/>
      <c r="S908" s="1167"/>
      <c r="U908" s="72" t="s">
        <v>872</v>
      </c>
      <c r="V908" s="9"/>
      <c r="W908" s="9"/>
      <c r="X908" s="9"/>
      <c r="Y908" s="9"/>
      <c r="Z908" s="9"/>
      <c r="AA908" s="9"/>
      <c r="AB908" s="9"/>
      <c r="AC908" s="9"/>
      <c r="AD908" s="52"/>
      <c r="AE908" s="1143"/>
      <c r="AF908" s="1144"/>
      <c r="AG908" s="1144"/>
      <c r="AH908" s="1144"/>
      <c r="AI908" s="1144"/>
      <c r="AJ908" s="1144"/>
      <c r="AK908" s="1134"/>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65"/>
      <c r="M909" s="1166"/>
      <c r="N909" s="1166"/>
      <c r="O909" s="1166"/>
      <c r="P909" s="1166"/>
      <c r="Q909" s="1166"/>
      <c r="R909" s="1166"/>
      <c r="S909" s="1167"/>
      <c r="U909" s="72" t="s">
        <v>873</v>
      </c>
      <c r="V909" s="9"/>
      <c r="W909" s="9"/>
      <c r="X909" s="9"/>
      <c r="Y909" s="9"/>
      <c r="Z909" s="9"/>
      <c r="AA909" s="9"/>
      <c r="AB909" s="9"/>
      <c r="AC909" s="9"/>
      <c r="AD909" s="52"/>
      <c r="AE909" s="1143"/>
      <c r="AF909" s="1144"/>
      <c r="AG909" s="1144"/>
      <c r="AH909" s="1144"/>
      <c r="AI909" s="1144"/>
      <c r="AJ909" s="1144"/>
      <c r="AK909" s="1134"/>
      <c r="AL909" s="74"/>
      <c r="AM909" s="43"/>
      <c r="AN909" s="43"/>
      <c r="AO909" s="43"/>
      <c r="AP909" s="43"/>
      <c r="AQ909" s="43"/>
      <c r="AR909" s="43"/>
      <c r="AS909" s="43"/>
      <c r="AT909" s="43"/>
      <c r="AU909" s="43"/>
      <c r="AV909" s="43"/>
      <c r="AW909" s="38" t="s">
        <v>622</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474"/>
      <c r="M910" s="1475"/>
      <c r="N910" s="1475"/>
      <c r="O910" s="1475"/>
      <c r="P910" s="1475"/>
      <c r="Q910" s="1475"/>
      <c r="R910" s="1475"/>
      <c r="S910" s="1476"/>
      <c r="U910" s="214" t="s">
        <v>2071</v>
      </c>
      <c r="V910" s="9"/>
      <c r="W910" s="9"/>
      <c r="X910" s="9"/>
      <c r="Y910" s="9"/>
      <c r="Z910" s="9"/>
      <c r="AA910" s="9"/>
      <c r="AB910" s="9"/>
      <c r="AC910" s="9"/>
      <c r="AD910" s="52"/>
      <c r="AE910" s="1474"/>
      <c r="AF910" s="1475"/>
      <c r="AG910" s="1475"/>
      <c r="AH910" s="1475"/>
      <c r="AI910" s="1475"/>
      <c r="AJ910" s="1475"/>
      <c r="AK910" s="1476"/>
      <c r="AL910" s="74"/>
      <c r="AM910" s="43"/>
      <c r="AN910" s="43"/>
      <c r="AO910" s="43"/>
      <c r="AP910" s="43"/>
      <c r="AQ910" s="43"/>
      <c r="AR910" s="43"/>
      <c r="AS910" s="43"/>
      <c r="AT910" s="43"/>
      <c r="AU910" s="43"/>
      <c r="AV910" s="43"/>
      <c r="AW910" s="38" t="s">
        <v>623</v>
      </c>
      <c r="AX910" s="206">
        <v>10</v>
      </c>
      <c r="AY910" s="1463">
        <f>AY918</f>
        <v>0</v>
      </c>
      <c r="AZ910" s="146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51"/>
      <c r="AZ912" s="1452"/>
      <c r="BA912" s="145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3">
        <f>SUM(AY905:AY913)</f>
        <v>0</v>
      </c>
      <c r="AZ914" s="1464"/>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69"/>
      <c r="N915" s="1170"/>
      <c r="O915" s="1170"/>
      <c r="P915" s="1170"/>
      <c r="Q915" s="1170"/>
      <c r="R915" s="1170"/>
      <c r="S915" s="1171"/>
      <c r="T915" s="72" t="s">
        <v>994</v>
      </c>
      <c r="U915" s="9"/>
      <c r="V915" s="9"/>
      <c r="W915" s="9"/>
      <c r="X915" s="9"/>
      <c r="Y915" s="9"/>
      <c r="Z915" s="52"/>
      <c r="AA915" s="1169"/>
      <c r="AB915" s="1170"/>
      <c r="AC915" s="1170"/>
      <c r="AD915" s="1170"/>
      <c r="AE915" s="1170"/>
      <c r="AF915" s="1170"/>
      <c r="AG915" s="1171"/>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69"/>
      <c r="N916" s="1170"/>
      <c r="O916" s="1170"/>
      <c r="P916" s="1170"/>
      <c r="Q916" s="1170"/>
      <c r="R916" s="1170"/>
      <c r="S916" s="1171"/>
      <c r="T916" s="72" t="s">
        <v>993</v>
      </c>
      <c r="U916" s="9"/>
      <c r="V916" s="9"/>
      <c r="W916" s="9"/>
      <c r="X916" s="9"/>
      <c r="Y916" s="9"/>
      <c r="Z916" s="52"/>
      <c r="AA916" s="1169"/>
      <c r="AB916" s="1170"/>
      <c r="AC916" s="1170"/>
      <c r="AD916" s="1170"/>
      <c r="AE916" s="1170"/>
      <c r="AF916" s="1170"/>
      <c r="AG916" s="1171"/>
      <c r="AL916" s="74"/>
      <c r="AM916" s="43"/>
      <c r="AN916" s="43"/>
      <c r="AO916" s="43"/>
      <c r="AP916" s="43"/>
      <c r="AQ916" s="43"/>
      <c r="AR916" s="43"/>
      <c r="AS916" s="43"/>
      <c r="AT916" s="43"/>
      <c r="AU916" s="43"/>
      <c r="AV916" s="43"/>
      <c r="AW916" s="38"/>
      <c r="AX916" s="38"/>
      <c r="AY916" s="1463">
        <f>SUM(AY905:AZ909)+AY913</f>
        <v>0</v>
      </c>
      <c r="AZ916" s="1464"/>
      <c r="BA916" s="1454">
        <v>0.39</v>
      </c>
      <c r="BB916" s="145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319" t="s">
        <v>132</v>
      </c>
      <c r="N917" s="1235"/>
      <c r="O917" s="1235"/>
      <c r="P917" s="1235"/>
      <c r="Q917" s="1235"/>
      <c r="R917" s="1235"/>
      <c r="S917" s="1320"/>
      <c r="T917" s="8" t="s">
        <v>597</v>
      </c>
      <c r="U917" s="9"/>
      <c r="V917" s="9"/>
      <c r="W917" s="9"/>
      <c r="X917" s="9"/>
      <c r="Y917" s="9"/>
      <c r="Z917" s="52"/>
      <c r="AA917" s="1169"/>
      <c r="AB917" s="1170"/>
      <c r="AC917" s="1170"/>
      <c r="AD917" s="1170"/>
      <c r="AE917" s="1170"/>
      <c r="AF917" s="1170"/>
      <c r="AG917" s="1171"/>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69"/>
      <c r="N918" s="1170"/>
      <c r="O918" s="1170"/>
      <c r="P918" s="1170"/>
      <c r="Q918" s="1170"/>
      <c r="R918" s="1170"/>
      <c r="S918" s="1171"/>
      <c r="T918" s="8" t="s">
        <v>598</v>
      </c>
      <c r="U918" s="9"/>
      <c r="V918" s="9"/>
      <c r="W918" s="9"/>
      <c r="X918" s="9"/>
      <c r="Y918" s="9"/>
      <c r="Z918" s="52"/>
      <c r="AA918" s="1169"/>
      <c r="AB918" s="1170"/>
      <c r="AC918" s="1170"/>
      <c r="AD918" s="1170"/>
      <c r="AE918" s="1170"/>
      <c r="AF918" s="1170"/>
      <c r="AG918" s="1171"/>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69"/>
      <c r="N919" s="1170"/>
      <c r="O919" s="1170"/>
      <c r="P919" s="1170"/>
      <c r="Q919" s="1170"/>
      <c r="R919" s="1170"/>
      <c r="S919" s="1171"/>
      <c r="T919" s="8" t="s">
        <v>522</v>
      </c>
      <c r="U919" s="9"/>
      <c r="V919" s="9"/>
      <c r="W919" s="9"/>
      <c r="X919" s="9"/>
      <c r="Y919" s="9"/>
      <c r="Z919" s="52"/>
      <c r="AA919" s="1169"/>
      <c r="AB919" s="1170"/>
      <c r="AC919" s="1170"/>
      <c r="AD919" s="1170"/>
      <c r="AE919" s="1170"/>
      <c r="AF919" s="1170"/>
      <c r="AG919" s="1171"/>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448" t="s">
        <v>84</v>
      </c>
      <c r="N920" s="1449"/>
      <c r="O920" s="1449"/>
      <c r="P920" s="1449"/>
      <c r="Q920" s="1449"/>
      <c r="R920" s="1449"/>
      <c r="S920" s="1450"/>
      <c r="T920" s="1471"/>
      <c r="U920" s="1472"/>
      <c r="V920" s="1472"/>
      <c r="W920" s="1472"/>
      <c r="X920" s="1472"/>
      <c r="Y920" s="1472"/>
      <c r="Z920" s="1473"/>
      <c r="AA920" s="1169"/>
      <c r="AB920" s="1170"/>
      <c r="AC920" s="1170"/>
      <c r="AD920" s="1170"/>
      <c r="AE920" s="1170"/>
      <c r="AF920" s="1170"/>
      <c r="AG920" s="1171"/>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69"/>
      <c r="N921" s="1170"/>
      <c r="O921" s="1170"/>
      <c r="P921" s="1170"/>
      <c r="Q921" s="1170"/>
      <c r="R921" s="1170"/>
      <c r="S921" s="1171"/>
      <c r="T921" s="1471"/>
      <c r="U921" s="1472"/>
      <c r="V921" s="1472"/>
      <c r="W921" s="1472"/>
      <c r="X921" s="1472"/>
      <c r="Y921" s="1472"/>
      <c r="Z921" s="1473"/>
      <c r="AA921" s="1169"/>
      <c r="AB921" s="1170"/>
      <c r="AC921" s="1170"/>
      <c r="AD921" s="1170"/>
      <c r="AE921" s="1170"/>
      <c r="AF921" s="1170"/>
      <c r="AG921" s="1171"/>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319" t="s">
        <v>511</v>
      </c>
      <c r="P922" s="1320"/>
      <c r="Q922" s="146"/>
      <c r="R922" s="146"/>
      <c r="S922" s="147"/>
      <c r="T922" s="6" t="s">
        <v>298</v>
      </c>
      <c r="U922" s="7"/>
      <c r="V922" s="7"/>
      <c r="W922" s="1465" t="s">
        <v>593</v>
      </c>
      <c r="X922" s="1466"/>
      <c r="Y922" s="1466"/>
      <c r="Z922" s="1466"/>
      <c r="AA922" s="1466"/>
      <c r="AB922" s="1466"/>
      <c r="AC922" s="1466"/>
      <c r="AD922" s="1466"/>
      <c r="AE922" s="1466"/>
      <c r="AF922" s="1466"/>
      <c r="AG922" s="146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241</v>
      </c>
      <c r="G923" s="1189"/>
      <c r="H923" s="1189"/>
      <c r="I923" s="1189"/>
      <c r="J923" s="1189"/>
      <c r="K923" s="1189"/>
      <c r="L923" s="1189"/>
      <c r="M923" s="1169"/>
      <c r="N923" s="1170"/>
      <c r="O923" s="1170"/>
      <c r="P923" s="1170"/>
      <c r="Q923" s="1170"/>
      <c r="R923" s="1170"/>
      <c r="S923" s="1171"/>
      <c r="T923" s="53"/>
      <c r="U923" s="54"/>
      <c r="V923" s="54"/>
      <c r="W923" s="54"/>
      <c r="X923" s="54"/>
      <c r="Y923" s="54"/>
      <c r="Z923" s="226" t="s">
        <v>242</v>
      </c>
      <c r="AA923" s="1468"/>
      <c r="AB923" s="1469"/>
      <c r="AC923" s="1469"/>
      <c r="AD923" s="1469"/>
      <c r="AE923" s="1469"/>
      <c r="AF923" s="1469"/>
      <c r="AG923" s="1470"/>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60" t="s">
        <v>453</v>
      </c>
      <c r="E932" s="1461"/>
      <c r="F932" s="1461"/>
      <c r="G932" s="1461"/>
      <c r="H932" s="1461"/>
      <c r="I932" s="1461"/>
      <c r="J932" s="1461"/>
      <c r="K932" s="1461"/>
      <c r="L932" s="1461"/>
      <c r="M932" s="1461"/>
      <c r="N932" s="1461"/>
      <c r="O932" s="1461"/>
      <c r="P932" s="1461"/>
      <c r="Q932" s="1462"/>
      <c r="R932" s="1460" t="s">
        <v>454</v>
      </c>
      <c r="S932" s="1461"/>
      <c r="T932" s="1461"/>
      <c r="U932" s="1461"/>
      <c r="V932" s="1461"/>
      <c r="W932" s="1461"/>
      <c r="X932" s="1461"/>
      <c r="Y932" s="1461"/>
      <c r="Z932" s="1461"/>
      <c r="AA932" s="1462"/>
      <c r="AB932" s="1460" t="s">
        <v>455</v>
      </c>
      <c r="AC932" s="1461"/>
      <c r="AD932" s="1461"/>
      <c r="AE932" s="1461"/>
      <c r="AF932" s="1461"/>
      <c r="AG932" s="1461"/>
      <c r="AH932" s="1461"/>
      <c r="AI932" s="1462"/>
      <c r="AJ932" s="1460" t="s">
        <v>456</v>
      </c>
      <c r="AK932" s="1461"/>
      <c r="AL932" s="1461"/>
      <c r="AM932" s="1461"/>
      <c r="AN932" s="1461"/>
      <c r="AO932" s="1461"/>
      <c r="AP932" s="1461"/>
      <c r="AQ932" s="1462"/>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437727</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504695</v>
      </c>
      <c r="S934" s="1068"/>
      <c r="T934" s="1068"/>
      <c r="U934" s="1068"/>
      <c r="V934" s="1068"/>
      <c r="W934" s="1068"/>
      <c r="X934" s="1068"/>
      <c r="Y934" s="1068"/>
      <c r="Z934" s="1068"/>
      <c r="AA934" s="1068"/>
      <c r="AB934" s="1069">
        <f>BS638</f>
        <v>0</v>
      </c>
      <c r="AC934" s="1070"/>
      <c r="AD934" s="1070"/>
      <c r="AE934" s="1070"/>
      <c r="AF934" s="1070"/>
      <c r="AG934" s="1070"/>
      <c r="AH934" s="1070"/>
      <c r="AI934" s="1071"/>
      <c r="AJ934" s="1072">
        <f>IF(ISERROR((R934*AB934)),0,(R934*AB934))</f>
        <v>0</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817</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608800</v>
      </c>
      <c r="S935" s="1068"/>
      <c r="T935" s="1068"/>
      <c r="U935" s="1068"/>
      <c r="V935" s="1068"/>
      <c r="W935" s="1068"/>
      <c r="X935" s="1068"/>
      <c r="Y935" s="1068"/>
      <c r="Z935" s="1068"/>
      <c r="AA935" s="1068"/>
      <c r="AB935" s="1069">
        <f>BX638</f>
        <v>41</v>
      </c>
      <c r="AC935" s="1070"/>
      <c r="AD935" s="1070"/>
      <c r="AE935" s="1070"/>
      <c r="AF935" s="1070"/>
      <c r="AG935" s="1070"/>
      <c r="AH935" s="1070"/>
      <c r="AI935" s="1071"/>
      <c r="AJ935" s="1072">
        <f>IF(ISERROR((R935*AB935)),0,(R935*AB935))</f>
        <v>24960800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818</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779264</v>
      </c>
      <c r="S936" s="1068"/>
      <c r="T936" s="1068"/>
      <c r="U936" s="1068"/>
      <c r="V936" s="1068"/>
      <c r="W936" s="1068"/>
      <c r="X936" s="1068"/>
      <c r="Y936" s="1068"/>
      <c r="Z936" s="1068"/>
      <c r="AA936" s="1068"/>
      <c r="AB936" s="1069">
        <f>CC638</f>
        <v>20</v>
      </c>
      <c r="AC936" s="1070"/>
      <c r="AD936" s="1070"/>
      <c r="AE936" s="1070"/>
      <c r="AF936" s="1070"/>
      <c r="AG936" s="1070"/>
      <c r="AH936" s="1070"/>
      <c r="AI936" s="1071"/>
      <c r="AJ936" s="1072">
        <f>IF(ISERROR((R936*AB936)),0,(R936*AB936))</f>
        <v>15585280</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829</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868149</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1004</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61</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784</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40546080</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075" t="s">
        <v>1985</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511</v>
      </c>
      <c r="AH941" s="1081"/>
      <c r="AI941" s="85"/>
      <c r="AJ941" s="1056">
        <f>ROUND(IF(AND(AG941="yes",D943&lt;&gt;""),AJ939*0.2,0),0)</f>
        <v>0</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7" t="s">
        <v>2097</v>
      </c>
      <c r="E942" s="1458"/>
      <c r="F942" s="1458"/>
      <c r="G942" s="1458"/>
      <c r="H942" s="1458"/>
      <c r="I942" s="1458"/>
      <c r="J942" s="1458"/>
      <c r="K942" s="1458"/>
      <c r="L942" s="1458"/>
      <c r="M942" s="1458"/>
      <c r="N942" s="1458"/>
      <c r="O942" s="1458"/>
      <c r="P942" s="1458"/>
      <c r="Q942" s="1458"/>
      <c r="R942" s="1458"/>
      <c r="S942" s="1458"/>
      <c r="T942" s="1458"/>
      <c r="U942" s="1458"/>
      <c r="V942" s="1458"/>
      <c r="W942" s="1458"/>
      <c r="X942" s="1458"/>
      <c r="Y942" s="1458"/>
      <c r="Z942" s="1458"/>
      <c r="AA942" s="1458"/>
      <c r="AB942" s="1458"/>
      <c r="AC942" s="1458"/>
      <c r="AD942" s="1458"/>
      <c r="AE942" s="1459"/>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40"/>
      <c r="E943" s="1441"/>
      <c r="F943" s="1441"/>
      <c r="G943" s="1441"/>
      <c r="H943" s="1441"/>
      <c r="I943" s="1441"/>
      <c r="J943" s="1441"/>
      <c r="K943" s="1441"/>
      <c r="L943" s="1441"/>
      <c r="M943" s="1441"/>
      <c r="N943" s="1441"/>
      <c r="O943" s="1441"/>
      <c r="P943" s="1441"/>
      <c r="Q943" s="1441"/>
      <c r="R943" s="1441"/>
      <c r="S943" s="1441"/>
      <c r="T943" s="1441"/>
      <c r="U943" s="1441"/>
      <c r="V943" s="1441"/>
      <c r="W943" s="1441"/>
      <c r="X943" s="1441"/>
      <c r="Y943" s="1441"/>
      <c r="Z943" s="1441"/>
      <c r="AA943" s="1441"/>
      <c r="AB943" s="1441"/>
      <c r="AC943" s="1441"/>
      <c r="AD943" s="1441"/>
      <c r="AE943" s="1442"/>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4" t="s">
        <v>2098</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7" t="s">
        <v>1986</v>
      </c>
      <c r="E945" s="1458"/>
      <c r="F945" s="1458"/>
      <c r="G945" s="1458"/>
      <c r="H945" s="1458"/>
      <c r="I945" s="1458"/>
      <c r="J945" s="1458"/>
      <c r="K945" s="1458"/>
      <c r="L945" s="1458"/>
      <c r="M945" s="1458"/>
      <c r="N945" s="1458"/>
      <c r="O945" s="1458"/>
      <c r="P945" s="1458"/>
      <c r="Q945" s="1458"/>
      <c r="R945" s="1458"/>
      <c r="S945" s="1458"/>
      <c r="T945" s="1458"/>
      <c r="U945" s="1458"/>
      <c r="V945" s="1458"/>
      <c r="W945" s="1458"/>
      <c r="X945" s="1458"/>
      <c r="Y945" s="1458"/>
      <c r="Z945" s="1458"/>
      <c r="AA945" s="1458"/>
      <c r="AB945" s="1458"/>
      <c r="AC945" s="1458"/>
      <c r="AD945" s="1458"/>
      <c r="AE945" s="1459"/>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7"/>
      <c r="E946" s="1458"/>
      <c r="F946" s="1458"/>
      <c r="G946" s="1458"/>
      <c r="H946" s="1458"/>
      <c r="I946" s="1458"/>
      <c r="J946" s="1458"/>
      <c r="K946" s="1458"/>
      <c r="L946" s="1458"/>
      <c r="M946" s="1458"/>
      <c r="N946" s="1458"/>
      <c r="O946" s="1458"/>
      <c r="P946" s="1458"/>
      <c r="Q946" s="1458"/>
      <c r="R946" s="1458"/>
      <c r="S946" s="1458"/>
      <c r="T946" s="1458"/>
      <c r="U946" s="1458"/>
      <c r="V946" s="1458"/>
      <c r="W946" s="1458"/>
      <c r="X946" s="1458"/>
      <c r="Y946" s="1458"/>
      <c r="Z946" s="1458"/>
      <c r="AA946" s="1458"/>
      <c r="AB946" s="1458"/>
      <c r="AC946" s="1458"/>
      <c r="AD946" s="1458"/>
      <c r="AE946" s="1459"/>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7"/>
      <c r="E947" s="1458"/>
      <c r="F947" s="1458"/>
      <c r="G947" s="1458"/>
      <c r="H947" s="1458"/>
      <c r="I947" s="1458"/>
      <c r="J947" s="1458"/>
      <c r="K947" s="1458"/>
      <c r="L947" s="1458"/>
      <c r="M947" s="1458"/>
      <c r="N947" s="1458"/>
      <c r="O947" s="1458"/>
      <c r="P947" s="1458"/>
      <c r="Q947" s="1458"/>
      <c r="R947" s="1458"/>
      <c r="S947" s="1458"/>
      <c r="T947" s="1458"/>
      <c r="U947" s="1458"/>
      <c r="V947" s="1458"/>
      <c r="W947" s="1458"/>
      <c r="X947" s="1458"/>
      <c r="Y947" s="1458"/>
      <c r="Z947" s="1458"/>
      <c r="AA947" s="1458"/>
      <c r="AB947" s="1458"/>
      <c r="AC947" s="1458"/>
      <c r="AD947" s="1458"/>
      <c r="AE947" s="1459"/>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7"/>
      <c r="E948" s="1458"/>
      <c r="F948" s="1458"/>
      <c r="G948" s="1458"/>
      <c r="H948" s="1458"/>
      <c r="I948" s="1458"/>
      <c r="J948" s="1458"/>
      <c r="K948" s="1458"/>
      <c r="L948" s="1458"/>
      <c r="M948" s="1458"/>
      <c r="N948" s="1458"/>
      <c r="O948" s="1458"/>
      <c r="P948" s="1458"/>
      <c r="Q948" s="1458"/>
      <c r="R948" s="1458"/>
      <c r="S948" s="1458"/>
      <c r="T948" s="1458"/>
      <c r="U948" s="1458"/>
      <c r="V948" s="1458"/>
      <c r="W948" s="1458"/>
      <c r="X948" s="1458"/>
      <c r="Y948" s="1458"/>
      <c r="Z948" s="1458"/>
      <c r="AA948" s="1458"/>
      <c r="AB948" s="1458"/>
      <c r="AC948" s="1458"/>
      <c r="AD948" s="1458"/>
      <c r="AE948" s="1459"/>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6"/>
      <c r="E949" s="1527"/>
      <c r="F949" s="1527"/>
      <c r="G949" s="1527"/>
      <c r="H949" s="1527"/>
      <c r="I949" s="1527"/>
      <c r="J949" s="1527"/>
      <c r="K949" s="1527"/>
      <c r="L949" s="1527"/>
      <c r="M949" s="1527"/>
      <c r="N949" s="1527"/>
      <c r="O949" s="1527"/>
      <c r="P949" s="1527"/>
      <c r="Q949" s="1527"/>
      <c r="R949" s="1527"/>
      <c r="S949" s="1527"/>
      <c r="T949" s="1527"/>
      <c r="U949" s="1527"/>
      <c r="V949" s="1527"/>
      <c r="W949" s="1527"/>
      <c r="X949" s="1527"/>
      <c r="Y949" s="1527"/>
      <c r="Z949" s="1527"/>
      <c r="AA949" s="1527"/>
      <c r="AB949" s="1527"/>
      <c r="AC949" s="1527"/>
      <c r="AD949" s="1527"/>
      <c r="AE949" s="1528"/>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094" t="s">
        <v>2099</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2100</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4" t="s">
        <v>1987</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1988</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4" t="s">
        <v>1989</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511</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1990</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075" t="s">
        <v>1991</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511</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2101</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110" t="s">
        <v>1992</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4" t="str">
        <f>IF(AG963="yes","Please Select Type and Enter Amount:","")</f>
        <v/>
      </c>
      <c r="AG964" s="1545"/>
      <c r="AH964" s="1545"/>
      <c r="AI964" s="1546"/>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7" t="s">
        <v>1993</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4"/>
      <c r="AG965" s="1545"/>
      <c r="AH965" s="1545"/>
      <c r="AI965" s="1546"/>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7"/>
      <c r="AG966" s="1547"/>
      <c r="AH966" s="1547"/>
      <c r="AI966" s="1547"/>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7"/>
      <c r="AG967" s="1547"/>
      <c r="AH967" s="1547"/>
      <c r="AI967" s="1547"/>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094" t="s">
        <v>1994</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511</v>
      </c>
      <c r="AH968" s="1079"/>
      <c r="AI968" s="85"/>
      <c r="AJ968" s="1056">
        <f>ROUND(IF(AG968="Yes",AF970,0),0)</f>
        <v>0</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2102</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8" t="str">
        <f>IF(AG968="yes","Please Enter Amount:","")</f>
        <v/>
      </c>
      <c r="AG969" s="1549"/>
      <c r="AH969" s="1549"/>
      <c r="AI969" s="1550"/>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7"/>
      <c r="AG970" s="1547"/>
      <c r="AH970" s="1547"/>
      <c r="AI970" s="1547"/>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7"/>
      <c r="AG971" s="1547"/>
      <c r="AH971" s="1547"/>
      <c r="AI971" s="1547"/>
      <c r="AJ971" s="1062"/>
      <c r="AK971" s="1063"/>
      <c r="AL971" s="1063"/>
      <c r="AM971" s="1063"/>
      <c r="AN971" s="1063"/>
      <c r="AO971" s="1063"/>
      <c r="AP971" s="1063"/>
      <c r="AQ971" s="1064"/>
    </row>
    <row r="972" spans="1:97" ht="12.95" customHeight="1">
      <c r="A972" s="21"/>
      <c r="B972" s="82"/>
      <c r="C972" s="570" t="s">
        <v>609</v>
      </c>
      <c r="D972" s="1075" t="s">
        <v>1995</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116</v>
      </c>
      <c r="AH972" s="1079"/>
      <c r="AI972" s="85"/>
      <c r="AJ972" s="1056">
        <f>ROUND(IF(AG972="yes",(AJ939*0.1),0),0)</f>
        <v>4054608</v>
      </c>
      <c r="AK972" s="1057"/>
      <c r="AL972" s="1057"/>
      <c r="AM972" s="1057"/>
      <c r="AN972" s="1057"/>
      <c r="AO972" s="1057"/>
      <c r="AP972" s="1057"/>
      <c r="AQ972" s="1058"/>
    </row>
    <row r="973" spans="1:97" ht="12.95" customHeight="1">
      <c r="A973" s="21"/>
      <c r="B973" s="79"/>
      <c r="C973" s="571"/>
      <c r="D973" s="1097" t="s">
        <v>1996</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612</v>
      </c>
      <c r="D975" s="1094" t="s">
        <v>2103</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2104</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1"/>
      <c r="AG976" s="892"/>
      <c r="AH976" s="892"/>
      <c r="AI976" s="893"/>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1"/>
      <c r="AG977" s="892"/>
      <c r="AH977" s="892"/>
      <c r="AI977" s="893"/>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4"/>
      <c r="AG978" s="895"/>
      <c r="AH978" s="895"/>
      <c r="AI978" s="896"/>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075" t="s">
        <v>2105</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116</v>
      </c>
      <c r="AH979" s="1104"/>
      <c r="AI979" s="83"/>
      <c r="AJ979" s="1056">
        <f>ROUND(IF(AG979="yes",(AJ939*0.1),0),0)</f>
        <v>4054608</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2106</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094" t="s">
        <v>1997</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511</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2239</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43" t="s">
        <v>785</v>
      </c>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3"/>
      <c r="AF988" s="1443"/>
      <c r="AG988" s="1443"/>
      <c r="AH988" s="1443"/>
      <c r="AI988" s="1444"/>
      <c r="AJ988" s="1445">
        <f>SUM(AJ939:AQ987)</f>
        <v>48655296</v>
      </c>
      <c r="AK988" s="1446"/>
      <c r="AL988" s="1446"/>
      <c r="AM988" s="1446"/>
      <c r="AN988" s="1446"/>
      <c r="AO988" s="1446"/>
      <c r="AP988" s="1446"/>
      <c r="AQ988" s="144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6">
        <f>'Sources and Uses Budget'!S106+'Sources and Uses Budget'!T106</f>
        <v>31570687.64919921</v>
      </c>
      <c r="Y992" s="1436"/>
      <c r="Z992" s="1436"/>
      <c r="AA992" s="1436"/>
      <c r="AB992" s="1436"/>
      <c r="AC992" s="14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31">
        <f>IFERROR(X992/AJ988,"")</f>
        <v>0.6488643630736356</v>
      </c>
      <c r="Y993" s="1432"/>
      <c r="Z993" s="1432"/>
      <c r="AA993" s="1432"/>
      <c r="AB993" s="1432"/>
      <c r="AC993" s="143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4"/>
      <c r="C999" s="1434"/>
      <c r="D999" s="1434"/>
      <c r="E999" s="1434"/>
      <c r="F999" s="1434"/>
      <c r="G999" s="1434"/>
      <c r="H999" s="1434"/>
      <c r="I999" s="1434"/>
      <c r="J999" s="1434"/>
      <c r="K999" s="1434"/>
      <c r="L999" s="1434"/>
      <c r="M999" s="1434"/>
      <c r="N999" s="1434"/>
      <c r="O999" s="1434"/>
      <c r="P999" s="1434"/>
      <c r="Q999" s="1434"/>
      <c r="R999" s="1434"/>
      <c r="S999" s="1434"/>
      <c r="T999" s="1434"/>
      <c r="U999" s="1434"/>
      <c r="V999" s="1434"/>
      <c r="W999" s="1434"/>
      <c r="X999" s="1434"/>
      <c r="Y999" s="1434"/>
      <c r="Z999" s="1434"/>
      <c r="AA999" s="1434"/>
      <c r="AB999" s="1434"/>
      <c r="AC999" s="1434"/>
      <c r="AD999" s="1434"/>
      <c r="AE999" s="1434"/>
      <c r="AF999" s="1434"/>
      <c r="AG999" s="1434"/>
      <c r="AH999" s="1434"/>
      <c r="AI999" s="1434"/>
      <c r="AJ999" s="1434"/>
      <c r="AK999" s="143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40" t="s">
        <v>1033</v>
      </c>
      <c r="B1000" s="1540"/>
      <c r="C1000" s="1540"/>
      <c r="D1000" s="1540"/>
      <c r="E1000" s="1540"/>
      <c r="F1000" s="1540"/>
      <c r="G1000" s="1540"/>
      <c r="H1000" s="1540"/>
      <c r="I1000" s="1540"/>
      <c r="J1000" s="1540"/>
      <c r="K1000" s="1540"/>
      <c r="L1000" s="1540"/>
      <c r="M1000" s="1540"/>
      <c r="N1000" s="1540"/>
      <c r="O1000" s="1540"/>
      <c r="P1000" s="1540"/>
      <c r="Q1000" s="1540"/>
      <c r="R1000" s="1540"/>
      <c r="S1000" s="1540"/>
      <c r="T1000" s="1540"/>
      <c r="U1000" s="1540"/>
      <c r="V1000" s="1540"/>
      <c r="W1000" s="1540"/>
      <c r="X1000" s="1540"/>
      <c r="Y1000" s="1540"/>
      <c r="Z1000" s="1540"/>
      <c r="AA1000" s="1540"/>
      <c r="AB1000" s="1540"/>
      <c r="AC1000" s="1540"/>
      <c r="AD1000" s="1540"/>
      <c r="AE1000" s="1540"/>
      <c r="AF1000" s="1540"/>
      <c r="AG1000" s="1540"/>
      <c r="AH1000" s="1540"/>
      <c r="AI1000" s="1540"/>
      <c r="AJ1000" s="1540"/>
      <c r="AK1000" s="154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79" t="s">
        <v>1589</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72" t="s">
        <v>1590</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72" t="s">
        <v>2351</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72" t="s">
        <v>2148</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72" t="s">
        <v>1798</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79" t="s">
        <v>1591</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79" t="s">
        <v>1593</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72" t="s">
        <v>2118</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9" t="s">
        <v>132</v>
      </c>
      <c r="B1042" s="1539"/>
      <c r="C1042" s="352">
        <v>9</v>
      </c>
      <c r="D1042" s="972" t="s">
        <v>1592</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7" zoomScaleNormal="100" workbookViewId="0">
      <selection activeCell="G98" sqref="G98"/>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9" t="s">
        <v>195</v>
      </c>
      <c r="G1" s="1590"/>
      <c r="H1" s="1590"/>
      <c r="I1" s="1590"/>
      <c r="J1" s="1590"/>
      <c r="K1" s="1590"/>
      <c r="L1" s="1590"/>
      <c r="M1" s="1590"/>
      <c r="N1" s="1590"/>
      <c r="O1" s="1590"/>
      <c r="P1" s="1590"/>
      <c r="Q1" s="1590"/>
      <c r="R1" s="1591"/>
      <c r="S1" s="202"/>
      <c r="T1" s="201"/>
      <c r="U1" s="203"/>
    </row>
    <row r="2" spans="1:21" s="232" customFormat="1" ht="60" customHeight="1">
      <c r="A2" s="231"/>
      <c r="B2" s="232" t="s">
        <v>836</v>
      </c>
      <c r="C2" s="232" t="s">
        <v>538</v>
      </c>
      <c r="D2" s="232" t="s">
        <v>537</v>
      </c>
      <c r="E2" s="232" t="s">
        <v>837</v>
      </c>
      <c r="F2" s="233" t="str">
        <f>Application!B618&amp;Application!C618</f>
        <v xml:space="preserve">1)Citibank/Permanent Loan </v>
      </c>
      <c r="G2" s="233" t="str">
        <f>Application!B619&amp;Application!C619</f>
        <v>2)Deferred Developer Fee</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5726000</v>
      </c>
      <c r="C4" s="241">
        <v>5726000</v>
      </c>
      <c r="D4" s="241"/>
      <c r="E4" s="241">
        <f>B4-SUM(F4:Q4)</f>
        <v>5726000</v>
      </c>
      <c r="F4" s="241"/>
      <c r="G4" s="241"/>
      <c r="H4" s="241"/>
      <c r="I4" s="241"/>
      <c r="J4" s="241"/>
      <c r="K4" s="241"/>
      <c r="L4" s="241"/>
      <c r="M4" s="241"/>
      <c r="N4" s="241"/>
      <c r="O4" s="241"/>
      <c r="P4" s="241"/>
      <c r="Q4" s="241"/>
      <c r="R4" s="241">
        <f>C4</f>
        <v>5726000</v>
      </c>
      <c r="S4" s="242"/>
      <c r="T4" s="242"/>
      <c r="U4" s="237"/>
    </row>
    <row r="5" spans="1:21" s="238" customFormat="1" ht="13.5">
      <c r="A5" s="300" t="s">
        <v>73</v>
      </c>
      <c r="B5" s="240">
        <f>SUM(C5+D5)</f>
        <v>25000</v>
      </c>
      <c r="C5" s="241">
        <v>25000</v>
      </c>
      <c r="D5" s="241"/>
      <c r="E5" s="241">
        <f>C5</f>
        <v>25000</v>
      </c>
      <c r="F5" s="241"/>
      <c r="G5" s="241"/>
      <c r="H5" s="241"/>
      <c r="I5" s="241"/>
      <c r="J5" s="241"/>
      <c r="K5" s="241"/>
      <c r="L5" s="241"/>
      <c r="M5" s="241"/>
      <c r="N5" s="241"/>
      <c r="O5" s="241"/>
      <c r="P5" s="241"/>
      <c r="Q5" s="241"/>
      <c r="R5" s="241">
        <f>SUM(E5:Q5)</f>
        <v>25000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5751000</v>
      </c>
      <c r="C8" s="240">
        <f t="shared" ref="C8:R8" si="0">SUM(C4:C7)</f>
        <v>5751000</v>
      </c>
      <c r="D8" s="240">
        <f t="shared" si="0"/>
        <v>0</v>
      </c>
      <c r="E8" s="240">
        <f t="shared" si="0"/>
        <v>5751000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5751000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200000</v>
      </c>
      <c r="C10" s="241">
        <v>200000</v>
      </c>
      <c r="D10" s="241"/>
      <c r="E10" s="241">
        <f>C10</f>
        <v>200000</v>
      </c>
      <c r="F10" s="241"/>
      <c r="G10" s="241"/>
      <c r="H10" s="241"/>
      <c r="I10" s="241"/>
      <c r="J10" s="241"/>
      <c r="K10" s="241"/>
      <c r="L10" s="241"/>
      <c r="M10" s="241"/>
      <c r="N10" s="241"/>
      <c r="O10" s="241"/>
      <c r="P10" s="241"/>
      <c r="Q10" s="241"/>
      <c r="R10" s="241">
        <f>SUM(E10:Q10)</f>
        <v>200000</v>
      </c>
      <c r="S10" s="241">
        <f>C10</f>
        <v>200000</v>
      </c>
      <c r="T10" s="241"/>
      <c r="U10" s="237"/>
    </row>
    <row r="11" spans="1:21" s="238" customFormat="1">
      <c r="A11" s="243" t="s">
        <v>617</v>
      </c>
      <c r="B11" s="240">
        <f>SUM(C11:D11)</f>
        <v>200000</v>
      </c>
      <c r="C11" s="240">
        <f t="shared" ref="C11:T11" si="1">SUM(C9:C10)</f>
        <v>200000</v>
      </c>
      <c r="D11" s="240">
        <f t="shared" si="1"/>
        <v>0</v>
      </c>
      <c r="E11" s="240">
        <f t="shared" si="1"/>
        <v>200000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200000</v>
      </c>
      <c r="S11" s="242"/>
      <c r="T11" s="240">
        <f t="shared" si="1"/>
        <v>0</v>
      </c>
      <c r="U11" s="237"/>
    </row>
    <row r="12" spans="1:21" s="238" customFormat="1">
      <c r="A12" s="243" t="s">
        <v>747</v>
      </c>
      <c r="B12" s="240">
        <f t="shared" ref="B12:R12" si="2">SUM(B8+B11)</f>
        <v>5951000</v>
      </c>
      <c r="C12" s="240">
        <f t="shared" si="2"/>
        <v>5951000</v>
      </c>
      <c r="D12" s="240">
        <f t="shared" si="2"/>
        <v>0</v>
      </c>
      <c r="E12" s="240">
        <f t="shared" si="2"/>
        <v>5951000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5951000</v>
      </c>
      <c r="S12" s="242"/>
      <c r="T12" s="242"/>
      <c r="U12" s="237"/>
    </row>
    <row r="13" spans="1:21" s="238" customFormat="1">
      <c r="A13" s="469" t="s">
        <v>1157</v>
      </c>
      <c r="B13" s="240">
        <f>SUM(C13+D13)</f>
        <v>355444.44444444397</v>
      </c>
      <c r="C13" s="241">
        <v>355444.44444444397</v>
      </c>
      <c r="D13" s="241"/>
      <c r="E13" s="241">
        <f>C13-SUM(F13:Q13)</f>
        <v>355444.44444444397</v>
      </c>
      <c r="F13" s="241"/>
      <c r="G13" s="241"/>
      <c r="H13" s="241"/>
      <c r="I13" s="241"/>
      <c r="J13" s="241"/>
      <c r="K13" s="241"/>
      <c r="L13" s="241"/>
      <c r="M13" s="241"/>
      <c r="N13" s="241"/>
      <c r="O13" s="241"/>
      <c r="P13" s="241"/>
      <c r="Q13" s="241"/>
      <c r="R13" s="241">
        <f>SUM(E13:Q13)</f>
        <v>355444.44444444397</v>
      </c>
      <c r="S13" s="241">
        <v>80958.333333333299</v>
      </c>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0</v>
      </c>
      <c r="C29" s="241"/>
      <c r="D29" s="241"/>
      <c r="E29" s="241"/>
      <c r="F29" s="241"/>
      <c r="G29" s="241"/>
      <c r="H29" s="241"/>
      <c r="I29" s="241"/>
      <c r="J29" s="241"/>
      <c r="K29" s="241"/>
      <c r="L29" s="241"/>
      <c r="M29" s="241"/>
      <c r="N29" s="241"/>
      <c r="O29" s="241"/>
      <c r="P29" s="241"/>
      <c r="Q29" s="241"/>
      <c r="R29" s="241"/>
      <c r="S29" s="241"/>
      <c r="T29" s="241"/>
      <c r="U29" s="237"/>
    </row>
    <row r="30" spans="1:21" s="238" customFormat="1">
      <c r="A30" s="239" t="s">
        <v>955</v>
      </c>
      <c r="B30" s="240">
        <f t="shared" si="6"/>
        <v>18560710.955632702</v>
      </c>
      <c r="C30" s="241">
        <v>18560710.955632702</v>
      </c>
      <c r="D30" s="241"/>
      <c r="E30" s="241">
        <f>B30-SUM(F30:Q30)</f>
        <v>12411710.955632702</v>
      </c>
      <c r="F30" s="241">
        <v>6149000</v>
      </c>
      <c r="G30" s="241"/>
      <c r="H30" s="241"/>
      <c r="I30" s="241"/>
      <c r="J30" s="241"/>
      <c r="K30" s="241"/>
      <c r="L30" s="241"/>
      <c r="M30" s="241"/>
      <c r="N30" s="241"/>
      <c r="O30" s="241"/>
      <c r="P30" s="241"/>
      <c r="Q30" s="241"/>
      <c r="R30" s="241">
        <f>SUM(E30:Q30)</f>
        <v>18560710.955632702</v>
      </c>
      <c r="S30" s="241">
        <v>18560710.955632702</v>
      </c>
      <c r="T30" s="241"/>
      <c r="U30" s="237"/>
    </row>
    <row r="31" spans="1:21" s="238" customFormat="1">
      <c r="A31" s="239" t="s">
        <v>956</v>
      </c>
      <c r="B31" s="240">
        <f t="shared" si="6"/>
        <v>1408429.49308162</v>
      </c>
      <c r="C31" s="241">
        <v>1408429.49308162</v>
      </c>
      <c r="D31" s="241"/>
      <c r="E31" s="241">
        <f t="shared" ref="E31:E37" si="7">B31-SUM(F31:Q31)</f>
        <v>1408429.49308162</v>
      </c>
      <c r="F31" s="241"/>
      <c r="G31" s="241"/>
      <c r="H31" s="241"/>
      <c r="I31" s="241"/>
      <c r="J31" s="241"/>
      <c r="K31" s="241"/>
      <c r="L31" s="241"/>
      <c r="M31" s="241"/>
      <c r="N31" s="241"/>
      <c r="O31" s="241"/>
      <c r="P31" s="241"/>
      <c r="Q31" s="241"/>
      <c r="R31" s="241">
        <f t="shared" ref="R31:R37" si="8">SUM(E31:Q31)</f>
        <v>1408429.49308162</v>
      </c>
      <c r="S31" s="241">
        <v>1408429.49308162</v>
      </c>
      <c r="T31" s="241"/>
      <c r="U31" s="237"/>
    </row>
    <row r="32" spans="1:21" s="238" customFormat="1">
      <c r="A32" s="239" t="s">
        <v>957</v>
      </c>
      <c r="B32" s="240">
        <f t="shared" si="6"/>
        <v>480648.36858344998</v>
      </c>
      <c r="C32" s="241">
        <v>480648.36858344998</v>
      </c>
      <c r="D32" s="241"/>
      <c r="E32" s="241">
        <f t="shared" si="7"/>
        <v>480648.36858344998</v>
      </c>
      <c r="F32" s="241"/>
      <c r="G32" s="241"/>
      <c r="H32" s="241"/>
      <c r="I32" s="241"/>
      <c r="J32" s="241"/>
      <c r="K32" s="241"/>
      <c r="L32" s="241"/>
      <c r="M32" s="241"/>
      <c r="N32" s="241"/>
      <c r="O32" s="241"/>
      <c r="P32" s="241"/>
      <c r="Q32" s="241"/>
      <c r="R32" s="241">
        <f t="shared" si="8"/>
        <v>480648.36858344998</v>
      </c>
      <c r="S32" s="241">
        <v>480648.36858344998</v>
      </c>
      <c r="T32" s="241"/>
      <c r="U32" s="237"/>
    </row>
    <row r="33" spans="1:21" s="238" customFormat="1">
      <c r="A33" s="239" t="s">
        <v>958</v>
      </c>
      <c r="B33" s="240">
        <f t="shared" si="6"/>
        <v>480648.36858344998</v>
      </c>
      <c r="C33" s="241">
        <v>480648.36858344998</v>
      </c>
      <c r="D33" s="241"/>
      <c r="E33" s="241">
        <f>C33</f>
        <v>480648.36858344998</v>
      </c>
      <c r="F33" s="241"/>
      <c r="G33" s="241"/>
      <c r="H33" s="241"/>
      <c r="I33" s="241"/>
      <c r="J33" s="241"/>
      <c r="K33" s="241"/>
      <c r="L33" s="241"/>
      <c r="M33" s="241"/>
      <c r="N33" s="241"/>
      <c r="O33" s="241"/>
      <c r="P33" s="241"/>
      <c r="Q33" s="241"/>
      <c r="R33" s="241">
        <f>C33</f>
        <v>480648.36858344998</v>
      </c>
      <c r="S33" s="241">
        <f>C33</f>
        <v>480648.36858344998</v>
      </c>
      <c r="T33" s="241"/>
      <c r="U33" s="237"/>
    </row>
    <row r="34" spans="1:21" s="238" customFormat="1">
      <c r="A34" s="239" t="s">
        <v>959</v>
      </c>
      <c r="B34" s="240">
        <f t="shared" si="6"/>
        <v>0</v>
      </c>
      <c r="C34" s="241"/>
      <c r="D34" s="241"/>
      <c r="E34" s="241"/>
      <c r="F34" s="241"/>
      <c r="G34" s="241"/>
      <c r="H34" s="241"/>
      <c r="I34" s="241"/>
      <c r="J34" s="241"/>
      <c r="K34" s="241"/>
      <c r="L34" s="241"/>
      <c r="M34" s="241"/>
      <c r="N34" s="241"/>
      <c r="O34" s="241"/>
      <c r="P34" s="241"/>
      <c r="Q34" s="241"/>
      <c r="R34" s="241"/>
      <c r="S34" s="241"/>
      <c r="T34" s="241"/>
      <c r="U34" s="237"/>
    </row>
    <row r="35" spans="1:21" s="238" customFormat="1">
      <c r="A35" s="239" t="s">
        <v>960</v>
      </c>
      <c r="B35" s="240">
        <f t="shared" si="6"/>
        <v>130924.69734581</v>
      </c>
      <c r="C35" s="241">
        <v>130924.69734581</v>
      </c>
      <c r="D35" s="241"/>
      <c r="E35" s="241">
        <f t="shared" si="7"/>
        <v>130924.69734581</v>
      </c>
      <c r="F35" s="241"/>
      <c r="G35" s="241"/>
      <c r="H35" s="241"/>
      <c r="I35" s="241"/>
      <c r="J35" s="241"/>
      <c r="K35" s="241"/>
      <c r="L35" s="241"/>
      <c r="M35" s="241"/>
      <c r="N35" s="241"/>
      <c r="O35" s="241"/>
      <c r="P35" s="241"/>
      <c r="Q35" s="241"/>
      <c r="R35" s="241">
        <f t="shared" si="8"/>
        <v>130924.69734581</v>
      </c>
      <c r="S35" s="241">
        <v>130924.69734581</v>
      </c>
      <c r="T35" s="241"/>
      <c r="U35" s="237"/>
    </row>
    <row r="36" spans="1:21" s="238" customFormat="1">
      <c r="A36" s="250" t="s">
        <v>2052</v>
      </c>
      <c r="B36" s="240">
        <f t="shared" si="6"/>
        <v>0</v>
      </c>
      <c r="C36" s="241"/>
      <c r="D36" s="241"/>
      <c r="E36" s="241"/>
      <c r="F36" s="241"/>
      <c r="G36" s="241"/>
      <c r="H36" s="241"/>
      <c r="I36" s="241"/>
      <c r="J36" s="241"/>
      <c r="K36" s="241"/>
      <c r="L36" s="241"/>
      <c r="M36" s="241"/>
      <c r="N36" s="241"/>
      <c r="O36" s="241"/>
      <c r="P36" s="241"/>
      <c r="Q36" s="241"/>
      <c r="R36" s="241"/>
      <c r="S36" s="241"/>
      <c r="T36" s="241"/>
      <c r="U36" s="237"/>
    </row>
    <row r="37" spans="1:21" s="238" customFormat="1">
      <c r="A37" s="246" t="s">
        <v>2433</v>
      </c>
      <c r="B37" s="240">
        <f t="shared" si="6"/>
        <v>264789.194154397</v>
      </c>
      <c r="C37" s="241">
        <v>264789.194154397</v>
      </c>
      <c r="D37" s="241"/>
      <c r="E37" s="241">
        <f t="shared" si="7"/>
        <v>264789.194154397</v>
      </c>
      <c r="F37" s="241"/>
      <c r="G37" s="241"/>
      <c r="H37" s="241"/>
      <c r="I37" s="241"/>
      <c r="J37" s="241"/>
      <c r="K37" s="241"/>
      <c r="L37" s="241"/>
      <c r="M37" s="241"/>
      <c r="N37" s="241"/>
      <c r="O37" s="241"/>
      <c r="P37" s="241"/>
      <c r="Q37" s="241"/>
      <c r="R37" s="241">
        <f t="shared" si="8"/>
        <v>264789.194154397</v>
      </c>
      <c r="S37" s="241">
        <v>264789.194154397</v>
      </c>
      <c r="T37" s="241"/>
      <c r="U37" s="237"/>
    </row>
    <row r="38" spans="1:21" s="238" customFormat="1">
      <c r="A38" s="243" t="s">
        <v>963</v>
      </c>
      <c r="B38" s="240">
        <f t="shared" si="6"/>
        <v>21326151.077381425</v>
      </c>
      <c r="C38" s="240">
        <f>SUM(C29:C37)</f>
        <v>21326151.077381425</v>
      </c>
      <c r="D38" s="240">
        <f>SUM(D29:D37)</f>
        <v>0</v>
      </c>
      <c r="E38" s="240">
        <f>SUM(E29:E37)</f>
        <v>15177151.077381428</v>
      </c>
      <c r="F38" s="240">
        <f t="shared" ref="F38:T38" si="9">SUM(F29:F37)</f>
        <v>6149000</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21326151.077381425</v>
      </c>
      <c r="S38" s="244">
        <f t="shared" si="9"/>
        <v>21326151.077381425</v>
      </c>
      <c r="T38" s="244">
        <f t="shared" si="9"/>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600000</v>
      </c>
      <c r="C40" s="241">
        <v>600000</v>
      </c>
      <c r="D40" s="241"/>
      <c r="E40" s="241">
        <f>B40-SUM(F40:Q40)</f>
        <v>600000</v>
      </c>
      <c r="F40" s="241"/>
      <c r="G40" s="241"/>
      <c r="H40" s="241"/>
      <c r="I40" s="241"/>
      <c r="J40" s="241"/>
      <c r="K40" s="241"/>
      <c r="L40" s="241"/>
      <c r="M40" s="241"/>
      <c r="N40" s="241"/>
      <c r="O40" s="241"/>
      <c r="P40" s="241"/>
      <c r="Q40" s="241"/>
      <c r="R40" s="241">
        <f>SUM(E40:Q40)</f>
        <v>600000</v>
      </c>
      <c r="S40" s="241">
        <v>600000</v>
      </c>
      <c r="T40" s="241"/>
      <c r="U40" s="237"/>
    </row>
    <row r="41" spans="1:21" s="238" customFormat="1">
      <c r="A41" s="239" t="s">
        <v>966</v>
      </c>
      <c r="B41" s="240">
        <f>SUM(C41+D41)</f>
        <v>100000</v>
      </c>
      <c r="C41" s="241">
        <v>100000</v>
      </c>
      <c r="D41" s="241"/>
      <c r="E41" s="241">
        <f>B41-SUM(F41:Q41)</f>
        <v>100000</v>
      </c>
      <c r="F41" s="241"/>
      <c r="G41" s="241"/>
      <c r="H41" s="241"/>
      <c r="I41" s="241"/>
      <c r="J41" s="241"/>
      <c r="K41" s="241"/>
      <c r="L41" s="241"/>
      <c r="M41" s="241"/>
      <c r="N41" s="241"/>
      <c r="O41" s="241"/>
      <c r="P41" s="241"/>
      <c r="Q41" s="241"/>
      <c r="R41" s="241">
        <f>SUM(E41:Q41)</f>
        <v>100000</v>
      </c>
      <c r="S41" s="241">
        <v>100000</v>
      </c>
      <c r="T41" s="241"/>
      <c r="U41" s="237"/>
    </row>
    <row r="42" spans="1:21" s="238" customFormat="1">
      <c r="A42" s="243" t="s">
        <v>967</v>
      </c>
      <c r="B42" s="240">
        <f>SUM(C42:D42)</f>
        <v>700000</v>
      </c>
      <c r="C42" s="240">
        <f>SUM(C39:C41)</f>
        <v>700000</v>
      </c>
      <c r="D42" s="240">
        <f>SUM(D39:D41)</f>
        <v>0</v>
      </c>
      <c r="E42" s="240">
        <f t="shared" ref="E42:T42" si="10">SUM(E40:E41)</f>
        <v>700000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700000</v>
      </c>
      <c r="S42" s="244">
        <f t="shared" si="10"/>
        <v>700000</v>
      </c>
      <c r="T42" s="244">
        <f t="shared" si="10"/>
        <v>0</v>
      </c>
      <c r="U42" s="237"/>
    </row>
    <row r="43" spans="1:21" s="238" customFormat="1">
      <c r="A43" s="243" t="s">
        <v>968</v>
      </c>
      <c r="B43" s="240">
        <f>SUM(C43:D43)</f>
        <v>837905.3</v>
      </c>
      <c r="C43" s="241">
        <v>837905.3</v>
      </c>
      <c r="D43" s="241"/>
      <c r="E43" s="241">
        <f>C43-SUM(F43:Q43)</f>
        <v>837905.3</v>
      </c>
      <c r="F43" s="241">
        <v>0</v>
      </c>
      <c r="G43" s="241"/>
      <c r="H43" s="241"/>
      <c r="I43" s="241"/>
      <c r="J43" s="241"/>
      <c r="K43" s="241"/>
      <c r="L43" s="241"/>
      <c r="M43" s="241"/>
      <c r="N43" s="241"/>
      <c r="O43" s="241"/>
      <c r="P43" s="241"/>
      <c r="Q43" s="241"/>
      <c r="R43" s="241">
        <f>SUM(E43:Q43)</f>
        <v>837905.3</v>
      </c>
      <c r="S43" s="241">
        <v>837905.3</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1">SUM(C45+D45)</f>
        <v>2086400</v>
      </c>
      <c r="C45" s="241">
        <v>2086400</v>
      </c>
      <c r="D45" s="241"/>
      <c r="E45" s="241">
        <f>B45-SUM(F45:Q45)</f>
        <v>2086400</v>
      </c>
      <c r="F45" s="241"/>
      <c r="G45" s="241"/>
      <c r="H45" s="241"/>
      <c r="I45" s="241"/>
      <c r="J45" s="241"/>
      <c r="K45" s="241"/>
      <c r="L45" s="241"/>
      <c r="M45" s="241"/>
      <c r="N45" s="241"/>
      <c r="O45" s="241"/>
      <c r="P45" s="241"/>
      <c r="Q45" s="241"/>
      <c r="R45" s="241">
        <f t="shared" ref="R45:R51" si="12">SUM(E45:Q45)</f>
        <v>2086400</v>
      </c>
      <c r="S45" s="241">
        <v>2086400</v>
      </c>
      <c r="T45" s="241"/>
      <c r="U45" s="237"/>
    </row>
    <row r="46" spans="1:21" s="238" customFormat="1">
      <c r="A46" s="239" t="s">
        <v>971</v>
      </c>
      <c r="B46" s="240">
        <f t="shared" si="11"/>
        <v>240000</v>
      </c>
      <c r="C46" s="241">
        <v>240000</v>
      </c>
      <c r="D46" s="241"/>
      <c r="E46" s="241">
        <f t="shared" ref="E46:E51" si="13">B46-SUM(F46:Q46)</f>
        <v>240000</v>
      </c>
      <c r="F46" s="241"/>
      <c r="G46" s="241"/>
      <c r="H46" s="241"/>
      <c r="I46" s="241"/>
      <c r="J46" s="241"/>
      <c r="K46" s="241"/>
      <c r="L46" s="241"/>
      <c r="M46" s="241"/>
      <c r="N46" s="241"/>
      <c r="O46" s="241"/>
      <c r="P46" s="241"/>
      <c r="Q46" s="241"/>
      <c r="R46" s="241">
        <f t="shared" si="12"/>
        <v>240000</v>
      </c>
      <c r="S46" s="241">
        <v>184615.384615385</v>
      </c>
      <c r="T46" s="241"/>
      <c r="U46" s="237"/>
    </row>
    <row r="47" spans="1:21" s="238" customFormat="1" ht="12" customHeight="1">
      <c r="A47" s="239" t="s">
        <v>972</v>
      </c>
      <c r="B47" s="240">
        <f t="shared" si="11"/>
        <v>85000</v>
      </c>
      <c r="C47" s="241">
        <v>85000</v>
      </c>
      <c r="D47" s="241"/>
      <c r="E47" s="241">
        <f t="shared" si="13"/>
        <v>85000</v>
      </c>
      <c r="F47" s="241"/>
      <c r="G47" s="241"/>
      <c r="H47" s="241"/>
      <c r="I47" s="241"/>
      <c r="J47" s="241"/>
      <c r="K47" s="241"/>
      <c r="L47" s="241"/>
      <c r="M47" s="241"/>
      <c r="N47" s="241"/>
      <c r="O47" s="241"/>
      <c r="P47" s="241"/>
      <c r="Q47" s="241"/>
      <c r="R47" s="241">
        <f t="shared" si="12"/>
        <v>85000</v>
      </c>
      <c r="S47" s="241">
        <v>85000</v>
      </c>
      <c r="T47" s="241"/>
      <c r="U47" s="237"/>
    </row>
    <row r="48" spans="1:21" s="238" customFormat="1">
      <c r="A48" s="239" t="s">
        <v>973</v>
      </c>
      <c r="B48" s="240">
        <f t="shared" si="11"/>
        <v>0</v>
      </c>
      <c r="C48" s="241"/>
      <c r="D48" s="241"/>
      <c r="E48" s="241"/>
      <c r="F48" s="241"/>
      <c r="G48" s="241"/>
      <c r="H48" s="241"/>
      <c r="I48" s="241"/>
      <c r="J48" s="241"/>
      <c r="K48" s="241"/>
      <c r="L48" s="241"/>
      <c r="M48" s="241"/>
      <c r="N48" s="241"/>
      <c r="O48" s="241"/>
      <c r="P48" s="241"/>
      <c r="Q48" s="241"/>
      <c r="R48" s="241"/>
      <c r="S48" s="241"/>
      <c r="T48" s="241"/>
      <c r="U48" s="237"/>
    </row>
    <row r="49" spans="1:21" s="238" customFormat="1">
      <c r="A49" s="239" t="s">
        <v>976</v>
      </c>
      <c r="B49" s="240">
        <f t="shared" si="11"/>
        <v>91000</v>
      </c>
      <c r="C49" s="241">
        <v>91000</v>
      </c>
      <c r="D49" s="241"/>
      <c r="E49" s="241">
        <f t="shared" si="13"/>
        <v>91000</v>
      </c>
      <c r="F49" s="241"/>
      <c r="G49" s="241"/>
      <c r="H49" s="241"/>
      <c r="I49" s="241"/>
      <c r="J49" s="241"/>
      <c r="K49" s="241"/>
      <c r="L49" s="241"/>
      <c r="M49" s="241"/>
      <c r="N49" s="241"/>
      <c r="O49" s="241"/>
      <c r="P49" s="241"/>
      <c r="Q49" s="241"/>
      <c r="R49" s="241">
        <f t="shared" si="12"/>
        <v>91000</v>
      </c>
      <c r="S49" s="241">
        <v>85000</v>
      </c>
      <c r="T49" s="241"/>
      <c r="U49" s="237"/>
    </row>
    <row r="50" spans="1:21" s="238" customFormat="1">
      <c r="A50" s="239" t="s">
        <v>974</v>
      </c>
      <c r="B50" s="240">
        <f t="shared" si="11"/>
        <v>25000</v>
      </c>
      <c r="C50" s="241">
        <v>25000</v>
      </c>
      <c r="D50" s="241"/>
      <c r="E50" s="241">
        <f t="shared" si="13"/>
        <v>25000</v>
      </c>
      <c r="F50" s="241"/>
      <c r="G50" s="241"/>
      <c r="H50" s="241"/>
      <c r="I50" s="241"/>
      <c r="J50" s="241"/>
      <c r="K50" s="241"/>
      <c r="L50" s="241"/>
      <c r="M50" s="241"/>
      <c r="N50" s="241"/>
      <c r="O50" s="241"/>
      <c r="P50" s="241"/>
      <c r="Q50" s="241"/>
      <c r="R50" s="241">
        <f t="shared" si="12"/>
        <v>25000</v>
      </c>
      <c r="S50" s="241">
        <v>25000</v>
      </c>
      <c r="T50" s="241"/>
      <c r="U50" s="237"/>
    </row>
    <row r="51" spans="1:21" s="238" customFormat="1">
      <c r="A51" s="239" t="s">
        <v>975</v>
      </c>
      <c r="B51" s="240">
        <f t="shared" si="11"/>
        <v>650000</v>
      </c>
      <c r="C51" s="241">
        <v>650000</v>
      </c>
      <c r="D51" s="241"/>
      <c r="E51" s="241">
        <f t="shared" si="13"/>
        <v>650000</v>
      </c>
      <c r="F51" s="241"/>
      <c r="G51" s="241"/>
      <c r="H51" s="241"/>
      <c r="I51" s="241"/>
      <c r="J51" s="241"/>
      <c r="K51" s="241"/>
      <c r="L51" s="241"/>
      <c r="M51" s="241"/>
      <c r="N51" s="241"/>
      <c r="O51" s="241"/>
      <c r="P51" s="241"/>
      <c r="Q51" s="241"/>
      <c r="R51" s="241">
        <f t="shared" si="12"/>
        <v>650000</v>
      </c>
      <c r="S51" s="241">
        <v>650000</v>
      </c>
      <c r="T51" s="241"/>
      <c r="U51" s="237"/>
    </row>
    <row r="52" spans="1:21" s="238" customFormat="1">
      <c r="A52" s="246" t="s">
        <v>564</v>
      </c>
      <c r="B52" s="240">
        <f t="shared" si="11"/>
        <v>0</v>
      </c>
      <c r="C52" s="241"/>
      <c r="D52" s="241"/>
      <c r="E52" s="241"/>
      <c r="F52" s="241"/>
      <c r="G52" s="241"/>
      <c r="H52" s="241"/>
      <c r="I52" s="241"/>
      <c r="J52" s="241"/>
      <c r="K52" s="241"/>
      <c r="L52" s="241"/>
      <c r="M52" s="241"/>
      <c r="N52" s="241"/>
      <c r="O52" s="241"/>
      <c r="P52" s="241"/>
      <c r="Q52" s="241"/>
      <c r="R52" s="241"/>
      <c r="S52" s="241"/>
      <c r="T52" s="241"/>
      <c r="U52" s="237"/>
    </row>
    <row r="53" spans="1:21" s="248" customFormat="1">
      <c r="A53" s="243" t="s">
        <v>977</v>
      </c>
      <c r="B53" s="244">
        <f>SUM(C53:D53)</f>
        <v>3177400</v>
      </c>
      <c r="C53" s="244">
        <f t="shared" ref="C53:T53" si="14">SUM(C45:C52)</f>
        <v>3177400</v>
      </c>
      <c r="D53" s="244">
        <f t="shared" si="14"/>
        <v>0</v>
      </c>
      <c r="E53" s="244">
        <f t="shared" si="14"/>
        <v>3177400</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3177400</v>
      </c>
      <c r="S53" s="244">
        <f t="shared" si="14"/>
        <v>3116015.384615385</v>
      </c>
      <c r="T53" s="244">
        <f t="shared" si="14"/>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5">SUM(C55+D55)</f>
        <v>0</v>
      </c>
      <c r="C55" s="241"/>
      <c r="D55" s="241"/>
      <c r="E55" s="241"/>
      <c r="F55" s="241"/>
      <c r="G55" s="241"/>
      <c r="H55" s="241"/>
      <c r="I55" s="241"/>
      <c r="J55" s="241"/>
      <c r="K55" s="241"/>
      <c r="L55" s="241"/>
      <c r="M55" s="241"/>
      <c r="N55" s="241"/>
      <c r="O55" s="241"/>
      <c r="P55" s="241"/>
      <c r="Q55" s="241"/>
      <c r="R55" s="241"/>
      <c r="S55" s="242"/>
      <c r="T55" s="242"/>
      <c r="U55" s="237"/>
    </row>
    <row r="56" spans="1:21" s="238" customFormat="1" ht="12" customHeight="1">
      <c r="A56" s="239" t="s">
        <v>972</v>
      </c>
      <c r="B56" s="240">
        <f t="shared" si="15"/>
        <v>35000</v>
      </c>
      <c r="C56" s="241">
        <v>35000</v>
      </c>
      <c r="D56" s="241"/>
      <c r="E56" s="241">
        <f>B56-SUM(F56:Q56)</f>
        <v>35000</v>
      </c>
      <c r="F56" s="241"/>
      <c r="G56" s="241"/>
      <c r="H56" s="241"/>
      <c r="I56" s="241"/>
      <c r="J56" s="241"/>
      <c r="K56" s="241"/>
      <c r="L56" s="241"/>
      <c r="M56" s="241"/>
      <c r="N56" s="241"/>
      <c r="O56" s="241"/>
      <c r="P56" s="241"/>
      <c r="Q56" s="241"/>
      <c r="R56" s="241">
        <f t="shared" ref="R56:R60" si="16">SUM(E56:Q56)</f>
        <v>35000</v>
      </c>
      <c r="S56" s="242"/>
      <c r="T56" s="242"/>
      <c r="U56" s="237"/>
    </row>
    <row r="57" spans="1:21" s="238" customFormat="1">
      <c r="A57" s="239" t="s">
        <v>976</v>
      </c>
      <c r="B57" s="240">
        <f t="shared" si="15"/>
        <v>33500</v>
      </c>
      <c r="C57" s="241">
        <v>33500</v>
      </c>
      <c r="D57" s="241"/>
      <c r="E57" s="241">
        <f t="shared" ref="E57:E60" si="17">B57-SUM(F57:Q57)</f>
        <v>33500</v>
      </c>
      <c r="F57" s="241"/>
      <c r="G57" s="241"/>
      <c r="H57" s="241"/>
      <c r="I57" s="241"/>
      <c r="J57" s="241"/>
      <c r="K57" s="241"/>
      <c r="L57" s="241"/>
      <c r="M57" s="241"/>
      <c r="N57" s="241"/>
      <c r="O57" s="241"/>
      <c r="P57" s="241"/>
      <c r="Q57" s="241"/>
      <c r="R57" s="241">
        <f t="shared" si="16"/>
        <v>33500</v>
      </c>
      <c r="S57" s="242"/>
      <c r="T57" s="242"/>
      <c r="U57" s="237"/>
    </row>
    <row r="58" spans="1:21" s="238" customFormat="1">
      <c r="A58" s="239" t="s">
        <v>974</v>
      </c>
      <c r="B58" s="240">
        <f t="shared" si="15"/>
        <v>0</v>
      </c>
      <c r="C58" s="241"/>
      <c r="D58" s="241"/>
      <c r="E58" s="241"/>
      <c r="F58" s="241"/>
      <c r="G58" s="241"/>
      <c r="H58" s="241"/>
      <c r="I58" s="241"/>
      <c r="J58" s="241"/>
      <c r="K58" s="241"/>
      <c r="L58" s="241"/>
      <c r="M58" s="241"/>
      <c r="N58" s="241"/>
      <c r="O58" s="241"/>
      <c r="P58" s="241"/>
      <c r="Q58" s="241"/>
      <c r="R58" s="241"/>
      <c r="S58" s="242"/>
      <c r="T58" s="242"/>
      <c r="U58" s="237"/>
    </row>
    <row r="59" spans="1:21" s="238" customFormat="1">
      <c r="A59" s="239" t="s">
        <v>975</v>
      </c>
      <c r="B59" s="240">
        <f t="shared" si="15"/>
        <v>0</v>
      </c>
      <c r="C59" s="241"/>
      <c r="D59" s="241"/>
      <c r="E59" s="241"/>
      <c r="F59" s="241"/>
      <c r="G59" s="241"/>
      <c r="H59" s="241"/>
      <c r="I59" s="241"/>
      <c r="J59" s="241"/>
      <c r="K59" s="241"/>
      <c r="L59" s="241"/>
      <c r="M59" s="241"/>
      <c r="N59" s="241"/>
      <c r="O59" s="241"/>
      <c r="P59" s="241"/>
      <c r="Q59" s="241"/>
      <c r="R59" s="241"/>
      <c r="S59" s="242"/>
      <c r="T59" s="242"/>
      <c r="U59" s="237"/>
    </row>
    <row r="60" spans="1:21" s="238" customFormat="1">
      <c r="A60" s="246" t="s">
        <v>2434</v>
      </c>
      <c r="B60" s="240">
        <f t="shared" si="15"/>
        <v>497333.33333333302</v>
      </c>
      <c r="C60" s="241">
        <v>497333.33333333302</v>
      </c>
      <c r="D60" s="241"/>
      <c r="E60" s="241">
        <f t="shared" si="17"/>
        <v>497333.33333333302</v>
      </c>
      <c r="F60" s="241"/>
      <c r="G60" s="241"/>
      <c r="H60" s="241"/>
      <c r="I60" s="241"/>
      <c r="J60" s="241"/>
      <c r="K60" s="241"/>
      <c r="L60" s="241"/>
      <c r="M60" s="241"/>
      <c r="N60" s="241"/>
      <c r="O60" s="241"/>
      <c r="P60" s="241"/>
      <c r="Q60" s="241"/>
      <c r="R60" s="241">
        <f t="shared" si="16"/>
        <v>497333.33333333302</v>
      </c>
      <c r="S60" s="242"/>
      <c r="T60" s="242"/>
      <c r="U60" s="237"/>
    </row>
    <row r="61" spans="1:21" s="238" customFormat="1" ht="13.9" customHeight="1">
      <c r="A61" s="243" t="s">
        <v>529</v>
      </c>
      <c r="B61" s="240">
        <f>SUM(C61:D61)</f>
        <v>565833.33333333302</v>
      </c>
      <c r="C61" s="240">
        <f t="shared" ref="C61:R61" si="18">SUM(C55:C60)</f>
        <v>565833.33333333302</v>
      </c>
      <c r="D61" s="240">
        <f t="shared" si="18"/>
        <v>0</v>
      </c>
      <c r="E61" s="240">
        <f t="shared" si="18"/>
        <v>565833.33333333302</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565833.33333333302</v>
      </c>
      <c r="S61" s="242"/>
      <c r="T61" s="242"/>
      <c r="U61" s="237"/>
    </row>
    <row r="62" spans="1:21" s="238" customFormat="1">
      <c r="A62" s="249" t="s">
        <v>530</v>
      </c>
      <c r="B62" s="240">
        <f>SUM(C62:D62)</f>
        <v>32913734.155159201</v>
      </c>
      <c r="C62" s="240">
        <f t="shared" ref="C62:R62" si="19">SUM(C8+C11+C13+C14+C15+C26+C27+C38+C42+C43+C53+C61)</f>
        <v>32913734.155159201</v>
      </c>
      <c r="D62" s="240">
        <f t="shared" si="19"/>
        <v>0</v>
      </c>
      <c r="E62" s="240">
        <f t="shared" si="19"/>
        <v>26764734.155159205</v>
      </c>
      <c r="F62" s="240">
        <f t="shared" si="19"/>
        <v>6149000</v>
      </c>
      <c r="G62" s="240">
        <f t="shared" si="19"/>
        <v>0</v>
      </c>
      <c r="H62" s="240">
        <f t="shared" si="19"/>
        <v>0</v>
      </c>
      <c r="I62" s="240">
        <f t="shared" si="19"/>
        <v>0</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32913734.155159201</v>
      </c>
      <c r="S62" s="240">
        <f>SUM(S10+S13+S14+S15+S26+S27+S38+S42+S43+S53)</f>
        <v>26261030.095330141</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90000</v>
      </c>
      <c r="C64" s="241">
        <v>90000</v>
      </c>
      <c r="D64" s="241"/>
      <c r="E64" s="241">
        <f>B64-SUM(F64:Q64)</f>
        <v>90000</v>
      </c>
      <c r="F64" s="241"/>
      <c r="G64" s="241"/>
      <c r="H64" s="241"/>
      <c r="I64" s="241"/>
      <c r="J64" s="241"/>
      <c r="K64" s="241"/>
      <c r="L64" s="241"/>
      <c r="M64" s="241"/>
      <c r="N64" s="241"/>
      <c r="O64" s="241"/>
      <c r="P64" s="241"/>
      <c r="Q64" s="241"/>
      <c r="R64" s="241">
        <f>SUM(E64:Q64)</f>
        <v>90000</v>
      </c>
      <c r="S64" s="241">
        <v>65000</v>
      </c>
      <c r="T64" s="241"/>
      <c r="U64" s="237"/>
    </row>
    <row r="65" spans="1:21" s="238" customFormat="1" ht="24">
      <c r="A65" s="239" t="s">
        <v>2054</v>
      </c>
      <c r="B65" s="240">
        <f>SUM(C65+D65)</f>
        <v>0</v>
      </c>
      <c r="C65" s="241"/>
      <c r="D65" s="241"/>
      <c r="E65" s="241"/>
      <c r="F65" s="241"/>
      <c r="G65" s="241"/>
      <c r="H65" s="241"/>
      <c r="I65" s="241"/>
      <c r="J65" s="241"/>
      <c r="K65" s="241"/>
      <c r="L65" s="241"/>
      <c r="M65" s="241"/>
      <c r="N65" s="241"/>
      <c r="O65" s="241"/>
      <c r="P65" s="241"/>
      <c r="Q65" s="241"/>
      <c r="R65" s="241"/>
      <c r="S65" s="241"/>
      <c r="T65" s="241"/>
      <c r="U65" s="237"/>
    </row>
    <row r="66" spans="1:21" s="238" customFormat="1" ht="24">
      <c r="A66" s="239" t="s">
        <v>2055</v>
      </c>
      <c r="B66" s="240">
        <f>SUM(C66+D66)</f>
        <v>0</v>
      </c>
      <c r="C66" s="241"/>
      <c r="D66" s="241"/>
      <c r="E66" s="241"/>
      <c r="F66" s="241"/>
      <c r="G66" s="241"/>
      <c r="H66" s="241"/>
      <c r="I66" s="241"/>
      <c r="J66" s="241"/>
      <c r="K66" s="241"/>
      <c r="L66" s="241"/>
      <c r="M66" s="241"/>
      <c r="N66" s="241"/>
      <c r="O66" s="241"/>
      <c r="P66" s="241"/>
      <c r="Q66" s="241"/>
      <c r="R66" s="241"/>
      <c r="S66" s="241"/>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c r="S67" s="241"/>
      <c r="T67" s="241"/>
      <c r="U67" s="237"/>
    </row>
    <row r="68" spans="1:21" s="238" customFormat="1">
      <c r="A68" s="246" t="s">
        <v>2435</v>
      </c>
      <c r="B68" s="240">
        <f>SUM(C68+D68)</f>
        <v>125000</v>
      </c>
      <c r="C68" s="241">
        <v>125000</v>
      </c>
      <c r="D68" s="241"/>
      <c r="E68" s="241">
        <f>B68-SUM(F68:Q68)</f>
        <v>125000</v>
      </c>
      <c r="F68" s="241"/>
      <c r="G68" s="241"/>
      <c r="H68" s="241"/>
      <c r="I68" s="241"/>
      <c r="J68" s="241"/>
      <c r="K68" s="241"/>
      <c r="L68" s="241"/>
      <c r="M68" s="241"/>
      <c r="N68" s="241"/>
      <c r="O68" s="241"/>
      <c r="P68" s="241"/>
      <c r="Q68" s="241"/>
      <c r="R68" s="241">
        <f>SUM(E68:Q68)</f>
        <v>125000</v>
      </c>
      <c r="S68" s="241">
        <v>106250</v>
      </c>
      <c r="T68" s="241"/>
      <c r="U68" s="237"/>
    </row>
    <row r="69" spans="1:21" s="238" customFormat="1">
      <c r="A69" s="243" t="s">
        <v>2057</v>
      </c>
      <c r="B69" s="240">
        <f>SUM(C69:D69)</f>
        <v>215000</v>
      </c>
      <c r="C69" s="240">
        <f>SUM(C63:C68)</f>
        <v>215000</v>
      </c>
      <c r="D69" s="240">
        <f>SUM(D63:D68)</f>
        <v>0</v>
      </c>
      <c r="E69" s="240">
        <f t="shared" ref="E69:T69" si="20">SUM(E64:E68)</f>
        <v>215000</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215000</v>
      </c>
      <c r="S69" s="244">
        <f t="shared" si="20"/>
        <v>171250</v>
      </c>
      <c r="T69" s="244">
        <f t="shared" si="20"/>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208112</v>
      </c>
      <c r="C74" s="241">
        <v>208112</v>
      </c>
      <c r="D74" s="241"/>
      <c r="E74" s="241">
        <f>B74-SUM(F74:Q74)</f>
        <v>208112</v>
      </c>
      <c r="F74" s="241"/>
      <c r="G74" s="241"/>
      <c r="H74" s="241"/>
      <c r="I74" s="241"/>
      <c r="J74" s="241"/>
      <c r="K74" s="241"/>
      <c r="L74" s="241"/>
      <c r="M74" s="241"/>
      <c r="N74" s="241"/>
      <c r="O74" s="241"/>
      <c r="P74" s="241"/>
      <c r="Q74" s="241"/>
      <c r="R74" s="241">
        <f>SUM(E74:Q74)</f>
        <v>208112</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208112</v>
      </c>
      <c r="C76" s="240">
        <f t="shared" ref="C76:Q76" si="21">SUM(C71:C75)</f>
        <v>208112</v>
      </c>
      <c r="D76" s="240">
        <f t="shared" si="21"/>
        <v>0</v>
      </c>
      <c r="E76" s="240">
        <f>SUM(E71:E75)</f>
        <v>208112</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208112</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1076307.55386907</v>
      </c>
      <c r="C78" s="241">
        <v>1076307.55386907</v>
      </c>
      <c r="D78" s="241"/>
      <c r="E78" s="241">
        <f>B78-SUM(F78:Q78)</f>
        <v>1076307.55386907</v>
      </c>
      <c r="F78" s="241"/>
      <c r="G78" s="241"/>
      <c r="H78" s="241"/>
      <c r="I78" s="241"/>
      <c r="J78" s="241"/>
      <c r="K78" s="241"/>
      <c r="L78" s="241"/>
      <c r="M78" s="241"/>
      <c r="N78" s="241"/>
      <c r="O78" s="241"/>
      <c r="P78" s="241"/>
      <c r="Q78" s="241"/>
      <c r="R78" s="241">
        <f>SUM(E78:Q78)</f>
        <v>1076307.55386907</v>
      </c>
      <c r="S78" s="241">
        <v>1076307.55386907</v>
      </c>
      <c r="T78" s="241"/>
      <c r="U78" s="237"/>
    </row>
    <row r="79" spans="1:21" s="238" customFormat="1">
      <c r="A79" s="239" t="s">
        <v>569</v>
      </c>
      <c r="B79" s="240">
        <f>SUM(C79+D79)</f>
        <v>250000</v>
      </c>
      <c r="C79" s="241">
        <v>250000</v>
      </c>
      <c r="D79" s="241"/>
      <c r="E79" s="241">
        <f>B79-SUM(F79:Q79)</f>
        <v>250000</v>
      </c>
      <c r="F79" s="241"/>
      <c r="G79" s="241"/>
      <c r="H79" s="241"/>
      <c r="I79" s="241"/>
      <c r="J79" s="241"/>
      <c r="K79" s="241"/>
      <c r="L79" s="241"/>
      <c r="M79" s="241"/>
      <c r="N79" s="241"/>
      <c r="O79" s="241"/>
      <c r="P79" s="241"/>
      <c r="Q79" s="241"/>
      <c r="R79" s="241">
        <f>SUM(E79:Q79)</f>
        <v>250000</v>
      </c>
      <c r="S79" s="241">
        <v>237500</v>
      </c>
      <c r="T79" s="241"/>
      <c r="U79" s="237"/>
    </row>
    <row r="80" spans="1:21" s="238" customFormat="1">
      <c r="A80" s="243" t="s">
        <v>1819</v>
      </c>
      <c r="B80" s="240">
        <f>SUM(C80:D80)</f>
        <v>1326307.55386907</v>
      </c>
      <c r="C80" s="681">
        <f>SUM(C78:C79)</f>
        <v>1326307.55386907</v>
      </c>
      <c r="D80" s="681">
        <f t="shared" ref="D80:R80" si="22">SUM(D78:D79)</f>
        <v>0</v>
      </c>
      <c r="E80" s="681">
        <f t="shared" si="22"/>
        <v>1326307.55386907</v>
      </c>
      <c r="F80" s="681">
        <f t="shared" si="22"/>
        <v>0</v>
      </c>
      <c r="G80" s="681">
        <f t="shared" si="22"/>
        <v>0</v>
      </c>
      <c r="H80" s="681">
        <f t="shared" si="22"/>
        <v>0</v>
      </c>
      <c r="I80" s="681">
        <f t="shared" si="22"/>
        <v>0</v>
      </c>
      <c r="J80" s="681">
        <f t="shared" si="22"/>
        <v>0</v>
      </c>
      <c r="K80" s="681">
        <f t="shared" si="22"/>
        <v>0</v>
      </c>
      <c r="L80" s="681">
        <f t="shared" si="22"/>
        <v>0</v>
      </c>
      <c r="M80" s="681">
        <f t="shared" si="22"/>
        <v>0</v>
      </c>
      <c r="N80" s="681">
        <f t="shared" si="22"/>
        <v>0</v>
      </c>
      <c r="O80" s="681">
        <f t="shared" si="22"/>
        <v>0</v>
      </c>
      <c r="P80" s="681">
        <f t="shared" si="22"/>
        <v>0</v>
      </c>
      <c r="Q80" s="681">
        <f t="shared" si="22"/>
        <v>0</v>
      </c>
      <c r="R80" s="681">
        <f t="shared" si="22"/>
        <v>1326307.55386907</v>
      </c>
      <c r="S80" s="681">
        <f>SUM(S78:S79)</f>
        <v>1313807.55386907</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2240</v>
      </c>
      <c r="B82" s="240">
        <f>SUM(C82+D82)</f>
        <v>127010</v>
      </c>
      <c r="C82" s="241">
        <v>127010</v>
      </c>
      <c r="D82" s="241"/>
      <c r="E82" s="241">
        <f>B82-SUM(F82:Q82)</f>
        <v>127010</v>
      </c>
      <c r="F82" s="241"/>
      <c r="G82" s="241"/>
      <c r="H82" s="241"/>
      <c r="I82" s="241"/>
      <c r="J82" s="241"/>
      <c r="K82" s="241"/>
      <c r="L82" s="241"/>
      <c r="M82" s="241"/>
      <c r="N82" s="241"/>
      <c r="O82" s="241"/>
      <c r="P82" s="241"/>
      <c r="Q82" s="241"/>
      <c r="R82" s="241">
        <f>SUM(E82:Q82)</f>
        <v>127010</v>
      </c>
      <c r="S82" s="242"/>
      <c r="T82" s="242"/>
      <c r="U82" s="237"/>
    </row>
    <row r="83" spans="1:21" s="238" customFormat="1">
      <c r="A83" s="239" t="s">
        <v>547</v>
      </c>
      <c r="B83" s="240">
        <f t="shared" ref="B83:B93" si="23">SUM(C83+D83)</f>
        <v>19600</v>
      </c>
      <c r="C83" s="241">
        <v>19600</v>
      </c>
      <c r="D83" s="241"/>
      <c r="E83" s="241">
        <f t="shared" ref="E83:E94" si="24">B83-SUM(F83:Q83)</f>
        <v>19600</v>
      </c>
      <c r="F83" s="241"/>
      <c r="G83" s="241"/>
      <c r="H83" s="241"/>
      <c r="I83" s="241"/>
      <c r="J83" s="241"/>
      <c r="K83" s="241"/>
      <c r="L83" s="241"/>
      <c r="M83" s="241"/>
      <c r="N83" s="241"/>
      <c r="O83" s="241"/>
      <c r="P83" s="241"/>
      <c r="Q83" s="241"/>
      <c r="R83" s="241">
        <f t="shared" ref="R83:R93" si="25">SUM(E83:Q83)</f>
        <v>19600</v>
      </c>
      <c r="S83" s="241">
        <v>19600</v>
      </c>
      <c r="T83" s="241"/>
      <c r="U83" s="237"/>
    </row>
    <row r="84" spans="1:21" s="238" customFormat="1">
      <c r="A84" s="239" t="s">
        <v>548</v>
      </c>
      <c r="B84" s="240">
        <f t="shared" si="23"/>
        <v>0</v>
      </c>
      <c r="C84" s="241"/>
      <c r="D84" s="241"/>
      <c r="E84" s="241"/>
      <c r="F84" s="241"/>
      <c r="G84" s="241"/>
      <c r="H84" s="241"/>
      <c r="I84" s="241"/>
      <c r="J84" s="241"/>
      <c r="K84" s="241"/>
      <c r="L84" s="241"/>
      <c r="M84" s="241"/>
      <c r="N84" s="241"/>
      <c r="O84" s="241"/>
      <c r="P84" s="241"/>
      <c r="Q84" s="241"/>
      <c r="R84" s="241"/>
      <c r="S84" s="241"/>
      <c r="T84" s="241"/>
      <c r="U84" s="237"/>
    </row>
    <row r="85" spans="1:21" s="238" customFormat="1">
      <c r="A85" s="239" t="s">
        <v>549</v>
      </c>
      <c r="B85" s="240">
        <f t="shared" si="23"/>
        <v>1098000</v>
      </c>
      <c r="C85" s="241">
        <v>1098000</v>
      </c>
      <c r="D85" s="241"/>
      <c r="E85" s="241">
        <f t="shared" si="24"/>
        <v>1098000</v>
      </c>
      <c r="F85" s="241"/>
      <c r="G85" s="241"/>
      <c r="H85" s="241"/>
      <c r="I85" s="241"/>
      <c r="J85" s="241"/>
      <c r="K85" s="241"/>
      <c r="L85" s="241"/>
      <c r="M85" s="241"/>
      <c r="N85" s="241"/>
      <c r="O85" s="241"/>
      <c r="P85" s="241"/>
      <c r="Q85" s="241"/>
      <c r="R85" s="241">
        <f t="shared" si="25"/>
        <v>1098000</v>
      </c>
      <c r="S85" s="241">
        <v>1098000</v>
      </c>
      <c r="T85" s="241"/>
      <c r="U85" s="237"/>
    </row>
    <row r="86" spans="1:21" s="238" customFormat="1">
      <c r="A86" s="239" t="s">
        <v>550</v>
      </c>
      <c r="B86" s="240">
        <f t="shared" si="23"/>
        <v>0</v>
      </c>
      <c r="C86" s="241"/>
      <c r="D86" s="241"/>
      <c r="E86" s="241"/>
      <c r="F86" s="241"/>
      <c r="G86" s="241"/>
      <c r="H86" s="241"/>
      <c r="I86" s="241"/>
      <c r="J86" s="241"/>
      <c r="K86" s="241"/>
      <c r="L86" s="241"/>
      <c r="M86" s="241"/>
      <c r="N86" s="241"/>
      <c r="O86" s="241"/>
      <c r="P86" s="241"/>
      <c r="Q86" s="241"/>
      <c r="R86" s="241"/>
      <c r="S86" s="241"/>
      <c r="T86" s="241"/>
      <c r="U86" s="237"/>
    </row>
    <row r="87" spans="1:21" s="238" customFormat="1">
      <c r="A87" s="239" t="s">
        <v>551</v>
      </c>
      <c r="B87" s="240">
        <f t="shared" si="23"/>
        <v>95000</v>
      </c>
      <c r="C87" s="241">
        <v>95000</v>
      </c>
      <c r="D87" s="241"/>
      <c r="E87" s="241">
        <f t="shared" si="24"/>
        <v>95000</v>
      </c>
      <c r="F87" s="241"/>
      <c r="G87" s="241"/>
      <c r="H87" s="241"/>
      <c r="I87" s="241"/>
      <c r="J87" s="241"/>
      <c r="K87" s="241"/>
      <c r="L87" s="241"/>
      <c r="M87" s="241"/>
      <c r="N87" s="241"/>
      <c r="O87" s="241"/>
      <c r="P87" s="241"/>
      <c r="Q87" s="241"/>
      <c r="R87" s="241">
        <f t="shared" si="25"/>
        <v>95000</v>
      </c>
      <c r="S87" s="242"/>
      <c r="T87" s="242"/>
      <c r="U87" s="237"/>
    </row>
    <row r="88" spans="1:21" s="238" customFormat="1">
      <c r="A88" s="239" t="s">
        <v>552</v>
      </c>
      <c r="B88" s="240">
        <f t="shared" si="23"/>
        <v>175000</v>
      </c>
      <c r="C88" s="241">
        <v>175000</v>
      </c>
      <c r="D88" s="241"/>
      <c r="E88" s="241">
        <f t="shared" si="24"/>
        <v>175000</v>
      </c>
      <c r="F88" s="241"/>
      <c r="G88" s="241"/>
      <c r="H88" s="241"/>
      <c r="I88" s="241"/>
      <c r="J88" s="241"/>
      <c r="K88" s="241"/>
      <c r="L88" s="241"/>
      <c r="M88" s="241"/>
      <c r="N88" s="241"/>
      <c r="O88" s="241"/>
      <c r="P88" s="241"/>
      <c r="Q88" s="241"/>
      <c r="R88" s="241">
        <f t="shared" si="25"/>
        <v>175000</v>
      </c>
      <c r="S88" s="241">
        <v>175000</v>
      </c>
      <c r="T88" s="241"/>
      <c r="U88" s="237"/>
    </row>
    <row r="89" spans="1:21" s="238" customFormat="1">
      <c r="A89" s="239" t="s">
        <v>553</v>
      </c>
      <c r="B89" s="240">
        <f t="shared" si="23"/>
        <v>7000</v>
      </c>
      <c r="C89" s="241">
        <v>7000</v>
      </c>
      <c r="D89" s="241"/>
      <c r="E89" s="241">
        <f t="shared" si="24"/>
        <v>7000</v>
      </c>
      <c r="F89" s="241"/>
      <c r="G89" s="241"/>
      <c r="H89" s="241"/>
      <c r="I89" s="241"/>
      <c r="J89" s="241"/>
      <c r="K89" s="241"/>
      <c r="L89" s="241"/>
      <c r="M89" s="241"/>
      <c r="N89" s="241"/>
      <c r="O89" s="241"/>
      <c r="P89" s="241"/>
      <c r="Q89" s="241"/>
      <c r="R89" s="241">
        <f t="shared" si="25"/>
        <v>7000</v>
      </c>
      <c r="S89" s="241">
        <v>7000</v>
      </c>
      <c r="T89" s="241"/>
      <c r="U89" s="237"/>
    </row>
    <row r="90" spans="1:21" s="238" customFormat="1">
      <c r="A90" s="250" t="s">
        <v>1368</v>
      </c>
      <c r="B90" s="240">
        <f t="shared" si="23"/>
        <v>135000</v>
      </c>
      <c r="C90" s="241">
        <v>135000</v>
      </c>
      <c r="D90" s="241"/>
      <c r="E90" s="241">
        <f t="shared" si="24"/>
        <v>135000</v>
      </c>
      <c r="F90" s="241"/>
      <c r="G90" s="241"/>
      <c r="H90" s="241"/>
      <c r="I90" s="241"/>
      <c r="J90" s="241"/>
      <c r="K90" s="241"/>
      <c r="L90" s="241"/>
      <c r="M90" s="241"/>
      <c r="N90" s="241"/>
      <c r="O90" s="241"/>
      <c r="P90" s="241"/>
      <c r="Q90" s="241"/>
      <c r="R90" s="241">
        <f t="shared" si="25"/>
        <v>135000</v>
      </c>
      <c r="S90" s="241">
        <v>40000</v>
      </c>
      <c r="T90" s="241"/>
      <c r="U90" s="237"/>
    </row>
    <row r="91" spans="1:21" s="238" customFormat="1">
      <c r="A91" s="250" t="s">
        <v>1817</v>
      </c>
      <c r="B91" s="240">
        <f t="shared" si="23"/>
        <v>0</v>
      </c>
      <c r="C91" s="241"/>
      <c r="D91" s="241"/>
      <c r="E91" s="241"/>
      <c r="F91" s="241"/>
      <c r="G91" s="241"/>
      <c r="H91" s="241"/>
      <c r="I91" s="241"/>
      <c r="J91" s="241"/>
      <c r="K91" s="241"/>
      <c r="L91" s="241"/>
      <c r="M91" s="241"/>
      <c r="N91" s="241"/>
      <c r="O91" s="241"/>
      <c r="P91" s="241"/>
      <c r="Q91" s="241"/>
      <c r="R91" s="241"/>
      <c r="S91" s="241"/>
      <c r="T91" s="241"/>
      <c r="U91" s="237"/>
    </row>
    <row r="92" spans="1:21" s="238" customFormat="1">
      <c r="A92" s="246" t="s">
        <v>2436</v>
      </c>
      <c r="B92" s="240">
        <f t="shared" si="23"/>
        <v>1200</v>
      </c>
      <c r="C92" s="241">
        <v>1200</v>
      </c>
      <c r="D92" s="241"/>
      <c r="E92" s="241">
        <f t="shared" si="24"/>
        <v>1200</v>
      </c>
      <c r="F92" s="241"/>
      <c r="G92" s="241"/>
      <c r="H92" s="241"/>
      <c r="I92" s="241"/>
      <c r="J92" s="241"/>
      <c r="K92" s="241"/>
      <c r="L92" s="241"/>
      <c r="M92" s="241"/>
      <c r="N92" s="241"/>
      <c r="O92" s="241"/>
      <c r="P92" s="241"/>
      <c r="Q92" s="241"/>
      <c r="R92" s="241">
        <f t="shared" si="25"/>
        <v>1200</v>
      </c>
      <c r="S92" s="241"/>
      <c r="T92" s="241"/>
      <c r="U92" s="237"/>
    </row>
    <row r="93" spans="1:21" s="238" customFormat="1">
      <c r="A93" s="246" t="s">
        <v>2437</v>
      </c>
      <c r="B93" s="240">
        <f t="shared" si="23"/>
        <v>6000</v>
      </c>
      <c r="C93" s="241">
        <v>6000</v>
      </c>
      <c r="D93" s="241"/>
      <c r="E93" s="241">
        <f t="shared" si="24"/>
        <v>6000</v>
      </c>
      <c r="F93" s="241"/>
      <c r="G93" s="241"/>
      <c r="H93" s="241"/>
      <c r="I93" s="241"/>
      <c r="J93" s="241"/>
      <c r="K93" s="241"/>
      <c r="L93" s="241"/>
      <c r="M93" s="241"/>
      <c r="N93" s="241"/>
      <c r="O93" s="241"/>
      <c r="P93" s="241"/>
      <c r="Q93" s="241"/>
      <c r="R93" s="241">
        <f t="shared" si="25"/>
        <v>6000</v>
      </c>
      <c r="S93" s="241">
        <v>0</v>
      </c>
      <c r="T93" s="241"/>
      <c r="U93" s="237"/>
    </row>
    <row r="94" spans="1:21" s="238" customFormat="1">
      <c r="A94" s="246" t="s">
        <v>2438</v>
      </c>
      <c r="B94" s="240">
        <f>SUM(C94+D94)</f>
        <v>285000</v>
      </c>
      <c r="C94" s="241">
        <v>285000</v>
      </c>
      <c r="D94" s="241"/>
      <c r="E94" s="241">
        <f t="shared" si="24"/>
        <v>285000</v>
      </c>
      <c r="F94" s="241"/>
      <c r="G94" s="241"/>
      <c r="H94" s="241"/>
      <c r="I94" s="241"/>
      <c r="J94" s="241"/>
      <c r="K94" s="241"/>
      <c r="L94" s="241"/>
      <c r="M94" s="241"/>
      <c r="N94" s="241"/>
      <c r="O94" s="241"/>
      <c r="P94" s="241"/>
      <c r="Q94" s="241"/>
      <c r="R94" s="241">
        <f>SUM(E94:Q94)</f>
        <v>285000</v>
      </c>
      <c r="S94" s="241">
        <v>285000</v>
      </c>
      <c r="T94" s="241"/>
      <c r="U94" s="237"/>
    </row>
    <row r="95" spans="1:21" s="238" customFormat="1">
      <c r="A95" s="243" t="s">
        <v>554</v>
      </c>
      <c r="B95" s="240">
        <f>SUM(C95:D95)</f>
        <v>1948810</v>
      </c>
      <c r="C95" s="240">
        <f t="shared" ref="C95:R95" si="26">SUM(C82:C94)</f>
        <v>1948810</v>
      </c>
      <c r="D95" s="240">
        <f t="shared" si="26"/>
        <v>0</v>
      </c>
      <c r="E95" s="240">
        <f t="shared" si="26"/>
        <v>1948810</v>
      </c>
      <c r="F95" s="240">
        <f t="shared" si="26"/>
        <v>0</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1948810</v>
      </c>
      <c r="S95" s="244">
        <f>SUM(S83:S86,S88:S94)</f>
        <v>1624600</v>
      </c>
      <c r="T95" s="240">
        <f>SUM(T83:T86,T88:T94)</f>
        <v>0</v>
      </c>
      <c r="U95" s="237"/>
    </row>
    <row r="96" spans="1:21" s="238" customFormat="1">
      <c r="A96" s="243" t="s">
        <v>555</v>
      </c>
      <c r="B96" s="240">
        <f>SUM(C96:D96)</f>
        <v>36611963.709028274</v>
      </c>
      <c r="C96" s="240">
        <f t="shared" ref="C96:R96" si="27">SUM(C62+C69+C76+C80+C95)</f>
        <v>36611963.709028274</v>
      </c>
      <c r="D96" s="240">
        <f t="shared" si="27"/>
        <v>0</v>
      </c>
      <c r="E96" s="240">
        <f t="shared" si="27"/>
        <v>30462963.709028274</v>
      </c>
      <c r="F96" s="240">
        <f t="shared" si="27"/>
        <v>6149000</v>
      </c>
      <c r="G96" s="240">
        <f t="shared" si="27"/>
        <v>0</v>
      </c>
      <c r="H96" s="240">
        <f t="shared" si="27"/>
        <v>0</v>
      </c>
      <c r="I96" s="240">
        <f t="shared" si="27"/>
        <v>0</v>
      </c>
      <c r="J96" s="240">
        <f t="shared" si="27"/>
        <v>0</v>
      </c>
      <c r="K96" s="240">
        <f t="shared" si="27"/>
        <v>0</v>
      </c>
      <c r="L96" s="240">
        <f t="shared" si="27"/>
        <v>0</v>
      </c>
      <c r="M96" s="240">
        <f t="shared" si="27"/>
        <v>0</v>
      </c>
      <c r="N96" s="240">
        <f t="shared" si="27"/>
        <v>0</v>
      </c>
      <c r="O96" s="240">
        <f t="shared" si="27"/>
        <v>0</v>
      </c>
      <c r="P96" s="240">
        <f t="shared" si="27"/>
        <v>0</v>
      </c>
      <c r="Q96" s="240">
        <f t="shared" si="27"/>
        <v>0</v>
      </c>
      <c r="R96" s="240">
        <f t="shared" si="27"/>
        <v>36611963.709028274</v>
      </c>
      <c r="S96" s="244">
        <f>SUM(+S62+S69+S80+S95)</f>
        <v>29370687.64919921</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B98-SUM(F98:Q98)</f>
        <v>1529746.0821507275</v>
      </c>
      <c r="F98" s="241"/>
      <c r="G98" s="241">
        <v>670253.91784927249</v>
      </c>
      <c r="H98" s="241"/>
      <c r="I98" s="241"/>
      <c r="J98" s="241"/>
      <c r="K98" s="241"/>
      <c r="L98" s="241"/>
      <c r="M98" s="241"/>
      <c r="N98" s="241"/>
      <c r="O98" s="241"/>
      <c r="P98" s="241"/>
      <c r="Q98" s="241"/>
      <c r="R98" s="241">
        <f>SUM(E98:Q98)</f>
        <v>2200000</v>
      </c>
      <c r="S98" s="241">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8">SUM(C98:C102)</f>
        <v>2200000</v>
      </c>
      <c r="D103" s="240">
        <f t="shared" si="28"/>
        <v>0</v>
      </c>
      <c r="E103" s="240">
        <f t="shared" si="28"/>
        <v>1529746.0821507275</v>
      </c>
      <c r="F103" s="240">
        <f t="shared" si="28"/>
        <v>0</v>
      </c>
      <c r="G103" s="240">
        <f t="shared" si="28"/>
        <v>670253.91784927249</v>
      </c>
      <c r="H103" s="240">
        <f t="shared" si="28"/>
        <v>0</v>
      </c>
      <c r="I103" s="240">
        <f t="shared" si="28"/>
        <v>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2200000</v>
      </c>
      <c r="S103" s="244">
        <f t="shared" si="28"/>
        <v>2200000</v>
      </c>
      <c r="T103" s="244">
        <f t="shared" si="28"/>
        <v>0</v>
      </c>
      <c r="U103" s="237"/>
    </row>
    <row r="104" spans="1:21" s="238" customFormat="1">
      <c r="A104" s="243" t="s">
        <v>1204</v>
      </c>
      <c r="B104" s="244">
        <f>SUM(C104:D104)</f>
        <v>38811963.709028274</v>
      </c>
      <c r="C104" s="244">
        <f t="shared" ref="C104:R104" si="29">SUM(C96+C103)</f>
        <v>38811963.709028274</v>
      </c>
      <c r="D104" s="244">
        <f t="shared" si="29"/>
        <v>0</v>
      </c>
      <c r="E104" s="244">
        <f t="shared" si="29"/>
        <v>31992709.791179001</v>
      </c>
      <c r="F104" s="244">
        <f t="shared" si="29"/>
        <v>6149000</v>
      </c>
      <c r="G104" s="244">
        <f t="shared" si="29"/>
        <v>670253.91784927249</v>
      </c>
      <c r="H104" s="244">
        <f t="shared" si="29"/>
        <v>0</v>
      </c>
      <c r="I104" s="244">
        <f t="shared" si="29"/>
        <v>0</v>
      </c>
      <c r="J104" s="244">
        <f t="shared" si="29"/>
        <v>0</v>
      </c>
      <c r="K104" s="244">
        <f t="shared" si="29"/>
        <v>0</v>
      </c>
      <c r="L104" s="244">
        <f t="shared" si="29"/>
        <v>0</v>
      </c>
      <c r="M104" s="244">
        <f t="shared" si="29"/>
        <v>0</v>
      </c>
      <c r="N104" s="244">
        <f t="shared" si="29"/>
        <v>0</v>
      </c>
      <c r="O104" s="244">
        <f t="shared" si="29"/>
        <v>0</v>
      </c>
      <c r="P104" s="244">
        <f t="shared" si="29"/>
        <v>0</v>
      </c>
      <c r="Q104" s="244">
        <f t="shared" si="29"/>
        <v>0</v>
      </c>
      <c r="R104" s="240">
        <f t="shared" si="29"/>
        <v>38811963.709028274</v>
      </c>
      <c r="S104" s="244">
        <f>S96+S103</f>
        <v>31570687.64919921</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31570687.64919921</v>
      </c>
      <c r="T106" s="244">
        <f>T104+T105</f>
        <v>0</v>
      </c>
      <c r="U106" s="256"/>
    </row>
    <row r="107" spans="1:21" s="258" customFormat="1">
      <c r="A107" s="257" t="s">
        <v>1154</v>
      </c>
      <c r="B107" s="252"/>
      <c r="C107" s="252"/>
      <c r="D107" s="252"/>
      <c r="E107" s="240">
        <f>Application!AO631</f>
        <v>31992709.791179001</v>
      </c>
      <c r="F107" s="240">
        <f>Application!AO618</f>
        <v>6149000</v>
      </c>
      <c r="G107" s="240">
        <f>Application!AO619</f>
        <v>670253.91784927202</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93" t="s">
        <v>1344</v>
      </c>
      <c r="E122" s="1593"/>
      <c r="F122" s="1593"/>
      <c r="U122" s="256"/>
    </row>
    <row r="123" spans="1:21" s="253" customFormat="1">
      <c r="A123" s="253" t="s">
        <v>1345</v>
      </c>
      <c r="B123" s="561"/>
      <c r="D123" s="1584" t="s">
        <v>1369</v>
      </c>
      <c r="E123" s="1585"/>
      <c r="F123" s="1585"/>
      <c r="G123" s="1585"/>
      <c r="H123" s="1585"/>
      <c r="I123" s="1585"/>
      <c r="J123" s="1585"/>
      <c r="K123" s="1585"/>
      <c r="L123" s="1585"/>
      <c r="M123" s="1585"/>
      <c r="N123" s="1585"/>
      <c r="O123" s="1585"/>
      <c r="P123" s="1585"/>
      <c r="Q123" s="1585"/>
      <c r="R123" s="1585"/>
      <c r="S123" s="1585"/>
      <c r="U123" s="256"/>
    </row>
    <row r="124" spans="1:21" s="253" customFormat="1" ht="12.75">
      <c r="A124" s="209" t="s">
        <v>1346</v>
      </c>
      <c r="B124" s="561"/>
      <c r="C124" s="209"/>
      <c r="D124" s="1585"/>
      <c r="E124" s="1585"/>
      <c r="F124" s="1585"/>
      <c r="G124" s="1585"/>
      <c r="H124" s="1585"/>
      <c r="I124" s="1585"/>
      <c r="J124" s="1585"/>
      <c r="K124" s="1585"/>
      <c r="L124" s="1585"/>
      <c r="M124" s="1585"/>
      <c r="N124" s="1585"/>
      <c r="O124" s="1585"/>
      <c r="P124" s="1585"/>
      <c r="Q124" s="1585"/>
      <c r="R124" s="1585"/>
      <c r="S124" s="1585"/>
      <c r="U124" s="256"/>
    </row>
    <row r="125" spans="1:21" s="253" customFormat="1" ht="12.75">
      <c r="A125" s="209" t="s">
        <v>1347</v>
      </c>
      <c r="B125" s="561"/>
      <c r="C125" s="209"/>
      <c r="D125" s="1585"/>
      <c r="E125" s="1585"/>
      <c r="F125" s="1585"/>
      <c r="G125" s="1585"/>
      <c r="H125" s="1585"/>
      <c r="I125" s="1585"/>
      <c r="J125" s="1585"/>
      <c r="K125" s="1585"/>
      <c r="L125" s="1585"/>
      <c r="M125" s="1585"/>
      <c r="N125" s="1585"/>
      <c r="O125" s="1585"/>
      <c r="P125" s="1585"/>
      <c r="Q125" s="1585"/>
      <c r="R125" s="1585"/>
      <c r="S125" s="1585"/>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8"/>
      <c r="E128" s="1588"/>
      <c r="F128" s="1588"/>
      <c r="G128" s="1588"/>
      <c r="H128" s="1588"/>
      <c r="I128" s="209"/>
      <c r="J128" s="1583"/>
      <c r="K128" s="1583"/>
      <c r="L128" s="209"/>
      <c r="M128" s="209"/>
      <c r="N128" s="209"/>
      <c r="O128" s="209"/>
      <c r="P128" s="209"/>
      <c r="Q128" s="209"/>
      <c r="R128" s="209"/>
      <c r="S128" s="209"/>
      <c r="U128" s="256"/>
    </row>
    <row r="129" spans="1:21" s="253" customFormat="1" ht="12.75">
      <c r="A129" s="209" t="s">
        <v>528</v>
      </c>
      <c r="B129" s="561"/>
      <c r="C129" s="209"/>
      <c r="D129" s="1592" t="s">
        <v>1351</v>
      </c>
      <c r="E129" s="1592"/>
      <c r="F129" s="1592"/>
      <c r="G129" s="1592"/>
      <c r="H129" s="1592"/>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487"/>
      <c r="E131" s="1487"/>
      <c r="F131" s="1487"/>
      <c r="G131" s="1487"/>
      <c r="H131" s="1487"/>
      <c r="I131" s="209"/>
      <c r="J131" s="1487"/>
      <c r="K131" s="1487"/>
      <c r="L131" s="1487"/>
      <c r="M131" s="1487"/>
      <c r="N131" s="209"/>
      <c r="O131" s="209"/>
      <c r="P131" s="209"/>
      <c r="Q131" s="209"/>
      <c r="R131" s="209"/>
      <c r="S131" s="209"/>
      <c r="U131" s="256"/>
    </row>
    <row r="132" spans="1:21" s="253" customFormat="1" ht="12.75">
      <c r="A132" s="563"/>
      <c r="B132" s="209"/>
      <c r="C132" s="209"/>
      <c r="D132" s="1586" t="s">
        <v>1354</v>
      </c>
      <c r="E132" s="1586"/>
      <c r="F132" s="1586"/>
      <c r="G132" s="1586"/>
      <c r="H132" s="1586"/>
      <c r="I132" s="209"/>
      <c r="J132" s="1586" t="s">
        <v>1355</v>
      </c>
      <c r="K132" s="1586"/>
      <c r="L132" s="1586"/>
      <c r="M132" s="1586"/>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8"/>
      <c r="C138" s="1588"/>
      <c r="D138" s="356"/>
      <c r="E138" s="1583"/>
      <c r="F138" s="1583"/>
      <c r="G138" s="209"/>
      <c r="H138" s="209"/>
      <c r="I138" s="209"/>
      <c r="J138" s="209"/>
      <c r="K138" s="209"/>
      <c r="L138" s="209"/>
      <c r="M138" s="209"/>
      <c r="N138" s="209"/>
      <c r="O138" s="209"/>
      <c r="P138" s="209"/>
      <c r="Q138" s="209"/>
      <c r="R138" s="209"/>
      <c r="S138" s="209"/>
    </row>
    <row r="139" spans="1:21" ht="12" customHeight="1">
      <c r="A139" s="1582" t="s">
        <v>1357</v>
      </c>
      <c r="B139" s="1582"/>
      <c r="C139" s="1582"/>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17" workbookViewId="0">
      <selection activeCell="AJ53" sqref="AJ5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9" t="s">
        <v>1823</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2.9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613" t="str">
        <f>IF(T25=100%,'Sources and Basis Breakdown'!G2,'Sources and Basis Breakdown'!F2)</f>
        <v>70% PVC for New Const/
Rehabilitation
NON-DDA/
NON-QCT Building(s)</v>
      </c>
      <c r="U7" s="1613"/>
      <c r="V7" s="1613"/>
      <c r="W7" s="1613"/>
      <c r="X7" s="1613"/>
      <c r="Y7" s="1613" t="str">
        <f>IF(T25=100%," ",'Sources and Basis Breakdown'!G2)</f>
        <v xml:space="preserve"> </v>
      </c>
      <c r="Z7" s="1613"/>
      <c r="AA7" s="1613"/>
      <c r="AB7" s="1613"/>
      <c r="AC7" s="1613"/>
      <c r="AD7" s="1613" t="str">
        <f>IF(T25=100%,'Sources and Basis Breakdown'!J2,'Sources and Basis Breakdown'!I2)</f>
        <v>30% PVC for Acquisition
NON-DDA/
NON-QCT Building(s)</v>
      </c>
      <c r="AE7" s="1613"/>
      <c r="AF7" s="1613"/>
      <c r="AG7" s="1613"/>
      <c r="AH7" s="1613"/>
      <c r="AI7" s="1613" t="str">
        <f>IF(T25=100%," ",'Sources and Basis Breakdown'!J2)</f>
        <v xml:space="preserve"> </v>
      </c>
      <c r="AJ7" s="1613"/>
      <c r="AK7" s="1613"/>
      <c r="AL7" s="1613"/>
      <c r="AM7" s="1613"/>
    </row>
    <row r="8" spans="1:40" ht="12.95"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2.95"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12.9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5" customHeight="1">
      <c r="B11" s="1139" t="s">
        <v>539</v>
      </c>
      <c r="C11" s="1140"/>
      <c r="D11" s="1140"/>
      <c r="E11" s="1140"/>
      <c r="F11" s="1140"/>
      <c r="G11" s="1140"/>
      <c r="H11" s="1140"/>
      <c r="I11" s="1140"/>
      <c r="J11" s="1140"/>
      <c r="K11" s="1140"/>
      <c r="L11" s="1140"/>
      <c r="M11" s="1140"/>
      <c r="N11" s="1140"/>
      <c r="O11" s="1140"/>
      <c r="P11" s="1140"/>
      <c r="Q11" s="1140"/>
      <c r="R11" s="1140"/>
      <c r="S11" s="1141"/>
      <c r="T11" s="1623">
        <f>IF('Sources and Basis Breakdown'!F105=0,'Sources and Basis Breakdown'!E105,'Sources and Basis Breakdown'!F105)</f>
        <v>31570687.64919921</v>
      </c>
      <c r="U11" s="1614"/>
      <c r="V11" s="1614"/>
      <c r="W11" s="1614"/>
      <c r="X11" s="1614"/>
      <c r="Y11" s="1630">
        <f>IF(Y7=" ",0,IF('Sources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 ",0,IF('Sources and Basis Breakdown'!I105+'Sources and Basis Breakdown'!J105='Sources and Basis Breakdown'!H105,'Sources and Basis Breakdown'!J105,0))</f>
        <v>0</v>
      </c>
      <c r="AJ11" s="1614"/>
      <c r="AK11" s="1614"/>
      <c r="AL11" s="1614"/>
      <c r="AM11" s="1614"/>
    </row>
    <row r="12" spans="1:40" ht="12.95" customHeight="1">
      <c r="B12" s="1617" t="s">
        <v>476</v>
      </c>
      <c r="C12" s="1033"/>
      <c r="D12" s="1033"/>
      <c r="E12" s="1033"/>
      <c r="F12" s="1033"/>
      <c r="G12" s="1033"/>
      <c r="H12" s="1033"/>
      <c r="I12" s="1033"/>
      <c r="J12" s="1033"/>
      <c r="K12" s="1033"/>
      <c r="L12" s="1033"/>
      <c r="M12" s="1033"/>
      <c r="N12" s="1033"/>
      <c r="O12" s="1033"/>
      <c r="P12" s="1033"/>
      <c r="Q12" s="1033"/>
      <c r="R12" s="1033"/>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5" customHeight="1">
      <c r="B13" s="8"/>
      <c r="C13" s="1619" t="s">
        <v>1789</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2.95" customHeight="1">
      <c r="B14" s="8"/>
      <c r="C14" s="1620" t="s">
        <v>805</v>
      </c>
      <c r="D14" s="1620"/>
      <c r="E14" s="1620"/>
      <c r="F14" s="1620"/>
      <c r="G14" s="1620"/>
      <c r="H14" s="1620"/>
      <c r="I14" s="1620"/>
      <c r="J14" s="1620"/>
      <c r="K14" s="1620"/>
      <c r="L14" s="1620"/>
      <c r="M14" s="1620"/>
      <c r="N14" s="1620"/>
      <c r="O14" s="1620"/>
      <c r="P14" s="1620"/>
      <c r="Q14" s="1620"/>
      <c r="R14" s="1620"/>
      <c r="S14" s="1621"/>
      <c r="T14" s="1121"/>
      <c r="U14" s="1142"/>
      <c r="V14" s="1142"/>
      <c r="W14" s="1142"/>
      <c r="X14" s="1142"/>
      <c r="Y14" s="1121"/>
      <c r="Z14" s="1142"/>
      <c r="AA14" s="1142"/>
      <c r="AB14" s="1142"/>
      <c r="AC14" s="1142"/>
      <c r="AD14" s="1142"/>
      <c r="AE14" s="1142"/>
      <c r="AF14" s="1142"/>
      <c r="AG14" s="1142"/>
      <c r="AH14" s="1142"/>
      <c r="AI14" s="1142"/>
      <c r="AJ14" s="1142"/>
      <c r="AK14" s="1142"/>
      <c r="AL14" s="1142"/>
      <c r="AM14" s="1142"/>
    </row>
    <row r="15" spans="1:40" ht="12.95" customHeight="1">
      <c r="B15" s="8"/>
      <c r="C15" s="1620" t="s">
        <v>806</v>
      </c>
      <c r="D15" s="1620"/>
      <c r="E15" s="1620"/>
      <c r="F15" s="1620"/>
      <c r="G15" s="1620"/>
      <c r="H15" s="1620"/>
      <c r="I15" s="1620"/>
      <c r="J15" s="1620"/>
      <c r="K15" s="1620"/>
      <c r="L15" s="1620"/>
      <c r="M15" s="1620"/>
      <c r="N15" s="1620"/>
      <c r="O15" s="1620"/>
      <c r="P15" s="1620"/>
      <c r="Q15" s="1620"/>
      <c r="R15" s="1620"/>
      <c r="S15" s="1621"/>
      <c r="T15" s="1121"/>
      <c r="U15" s="1142"/>
      <c r="V15" s="1142"/>
      <c r="W15" s="1142"/>
      <c r="X15" s="1142"/>
      <c r="Y15" s="1121"/>
      <c r="Z15" s="1142"/>
      <c r="AA15" s="1142"/>
      <c r="AB15" s="1142"/>
      <c r="AC15" s="1142"/>
      <c r="AD15" s="1142"/>
      <c r="AE15" s="1142"/>
      <c r="AF15" s="1142"/>
      <c r="AG15" s="1142"/>
      <c r="AH15" s="1142"/>
      <c r="AI15" s="1142"/>
      <c r="AJ15" s="1142"/>
      <c r="AK15" s="1142"/>
      <c r="AL15" s="1142"/>
      <c r="AM15" s="1142"/>
    </row>
    <row r="16" spans="1:40" ht="12.95" customHeight="1">
      <c r="B16" s="8"/>
      <c r="C16" s="1619" t="s">
        <v>1057</v>
      </c>
      <c r="D16" s="1619"/>
      <c r="E16" s="1619"/>
      <c r="F16" s="1619"/>
      <c r="G16" s="1619"/>
      <c r="H16" s="1619"/>
      <c r="I16" s="1619"/>
      <c r="J16" s="1619"/>
      <c r="K16" s="1619"/>
      <c r="L16" s="1619"/>
      <c r="M16" s="1619"/>
      <c r="N16" s="1619"/>
      <c r="O16" s="1619"/>
      <c r="P16" s="1619"/>
      <c r="Q16" s="1619"/>
      <c r="R16" s="1619"/>
      <c r="S16" s="1622"/>
      <c r="T16" s="1121"/>
      <c r="U16" s="1142"/>
      <c r="V16" s="1142"/>
      <c r="W16" s="1142"/>
      <c r="X16" s="1142"/>
      <c r="Y16" s="1121"/>
      <c r="Z16" s="1142"/>
      <c r="AA16" s="1142"/>
      <c r="AB16" s="1142"/>
      <c r="AC16" s="1142"/>
      <c r="AD16" s="1142"/>
      <c r="AE16" s="1142"/>
      <c r="AF16" s="1142"/>
      <c r="AG16" s="1142"/>
      <c r="AH16" s="1142"/>
      <c r="AI16" s="1142"/>
      <c r="AJ16" s="1142"/>
      <c r="AK16" s="1142"/>
      <c r="AL16" s="1142"/>
      <c r="AM16" s="1142"/>
    </row>
    <row r="17" spans="1:39" ht="12.95" customHeight="1">
      <c r="B17" s="8"/>
      <c r="C17" s="1620" t="s">
        <v>807</v>
      </c>
      <c r="D17" s="1620"/>
      <c r="E17" s="1620"/>
      <c r="F17" s="1620"/>
      <c r="G17" s="1620"/>
      <c r="H17" s="1620"/>
      <c r="I17" s="1620"/>
      <c r="J17" s="1620"/>
      <c r="K17" s="1620"/>
      <c r="L17" s="1620"/>
      <c r="M17" s="1620"/>
      <c r="N17" s="1620"/>
      <c r="O17" s="1620"/>
      <c r="P17" s="1620"/>
      <c r="Q17" s="1620"/>
      <c r="R17" s="1620"/>
      <c r="S17" s="1621"/>
      <c r="T17" s="1121"/>
      <c r="U17" s="1142"/>
      <c r="V17" s="1142"/>
      <c r="W17" s="1142"/>
      <c r="X17" s="1142"/>
      <c r="Y17" s="1121"/>
      <c r="Z17" s="1142"/>
      <c r="AA17" s="1142"/>
      <c r="AB17" s="1142"/>
      <c r="AC17" s="1142"/>
      <c r="AD17" s="1142"/>
      <c r="AE17" s="1142"/>
      <c r="AF17" s="1142"/>
      <c r="AG17" s="1142"/>
      <c r="AH17" s="1142"/>
      <c r="AI17" s="1142"/>
      <c r="AJ17" s="1142"/>
      <c r="AK17" s="1142"/>
      <c r="AL17" s="1142"/>
      <c r="AM17" s="1142"/>
    </row>
    <row r="18" spans="1:39" ht="12.95" customHeight="1">
      <c r="B18" s="961"/>
      <c r="C18" s="1594" t="s">
        <v>1269</v>
      </c>
      <c r="D18" s="1594"/>
      <c r="E18" s="1594"/>
      <c r="F18" s="1594"/>
      <c r="G18" s="1594"/>
      <c r="H18" s="1594"/>
      <c r="I18" s="1594"/>
      <c r="J18" s="1594"/>
      <c r="K18" s="1594"/>
      <c r="L18" s="1594"/>
      <c r="M18" s="1594"/>
      <c r="N18" s="1594"/>
      <c r="O18" s="1594"/>
      <c r="P18" s="1594"/>
      <c r="Q18" s="1594"/>
      <c r="R18" s="1594"/>
      <c r="S18" s="1595"/>
      <c r="T18" s="1119"/>
      <c r="U18" s="1120"/>
      <c r="V18" s="1120"/>
      <c r="W18" s="1120"/>
      <c r="X18" s="1121"/>
      <c r="Y18" s="1121"/>
      <c r="Z18" s="1142"/>
      <c r="AA18" s="1142"/>
      <c r="AB18" s="1142"/>
      <c r="AC18" s="1142"/>
      <c r="AD18" s="1142"/>
      <c r="AE18" s="1142"/>
      <c r="AF18" s="1142"/>
      <c r="AG18" s="1142"/>
      <c r="AH18" s="1142"/>
      <c r="AI18" s="1142"/>
      <c r="AJ18" s="1142"/>
      <c r="AK18" s="1142"/>
      <c r="AL18" s="1142"/>
      <c r="AM18" s="1142"/>
    </row>
    <row r="19" spans="1:39" ht="12.95" customHeight="1">
      <c r="B19" s="498"/>
      <c r="C19" s="1594" t="s">
        <v>1269</v>
      </c>
      <c r="D19" s="1594"/>
      <c r="E19" s="1594"/>
      <c r="F19" s="1594"/>
      <c r="G19" s="1594"/>
      <c r="H19" s="1594"/>
      <c r="I19" s="1594"/>
      <c r="J19" s="1594"/>
      <c r="K19" s="1594"/>
      <c r="L19" s="1594"/>
      <c r="M19" s="1594"/>
      <c r="N19" s="1594"/>
      <c r="O19" s="1594"/>
      <c r="P19" s="1594"/>
      <c r="Q19" s="1594"/>
      <c r="R19" s="1594"/>
      <c r="S19" s="1595"/>
      <c r="T19" s="1121"/>
      <c r="U19" s="1142"/>
      <c r="V19" s="1142"/>
      <c r="W19" s="1142"/>
      <c r="X19" s="1142"/>
      <c r="Y19" s="1121"/>
      <c r="Z19" s="1142"/>
      <c r="AA19" s="1142"/>
      <c r="AB19" s="1142"/>
      <c r="AC19" s="1142"/>
      <c r="AD19" s="1142"/>
      <c r="AE19" s="1142"/>
      <c r="AF19" s="1142"/>
      <c r="AG19" s="1142"/>
      <c r="AH19" s="1142"/>
      <c r="AI19" s="1142"/>
      <c r="AJ19" s="1142"/>
      <c r="AK19" s="1142"/>
      <c r="AL19" s="1142"/>
      <c r="AM19" s="1142"/>
    </row>
    <row r="20" spans="1:39" ht="12.95" customHeight="1">
      <c r="B20" s="1139" t="s">
        <v>808</v>
      </c>
      <c r="C20" s="1140"/>
      <c r="D20" s="1140"/>
      <c r="E20" s="1140"/>
      <c r="F20" s="1140"/>
      <c r="G20" s="1140"/>
      <c r="H20" s="1140"/>
      <c r="I20" s="1140"/>
      <c r="J20" s="1140"/>
      <c r="K20" s="1140"/>
      <c r="L20" s="1140"/>
      <c r="M20" s="1140"/>
      <c r="N20" s="1140"/>
      <c r="O20" s="1140"/>
      <c r="P20" s="1140"/>
      <c r="Q20" s="1140"/>
      <c r="R20" s="1140"/>
      <c r="S20" s="1141"/>
      <c r="T20" s="1606">
        <f>SUM(T13:X19)</f>
        <v>0</v>
      </c>
      <c r="U20" s="1128"/>
      <c r="V20" s="1128"/>
      <c r="W20" s="1128"/>
      <c r="X20" s="1128"/>
      <c r="Y20" s="1606">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39" t="s">
        <v>1788</v>
      </c>
      <c r="C21" s="1140"/>
      <c r="D21" s="1140"/>
      <c r="E21" s="1140"/>
      <c r="F21" s="1140"/>
      <c r="G21" s="1140"/>
      <c r="H21" s="1140"/>
      <c r="I21" s="1140"/>
      <c r="J21" s="1140"/>
      <c r="K21" s="1140"/>
      <c r="L21" s="1140"/>
      <c r="M21" s="1140"/>
      <c r="N21" s="1140"/>
      <c r="O21" s="1140"/>
      <c r="P21" s="1140"/>
      <c r="Q21" s="1140"/>
      <c r="R21" s="1140"/>
      <c r="S21" s="1141"/>
      <c r="T21" s="1121"/>
      <c r="U21" s="1142"/>
      <c r="V21" s="1142"/>
      <c r="W21" s="1142"/>
      <c r="X21" s="1142"/>
      <c r="Y21" s="1121"/>
      <c r="Z21" s="1142"/>
      <c r="AA21" s="1142"/>
      <c r="AB21" s="1142"/>
      <c r="AC21" s="1142"/>
      <c r="AD21" s="1142"/>
      <c r="AE21" s="1142"/>
      <c r="AF21" s="1142"/>
      <c r="AG21" s="1142"/>
      <c r="AH21" s="1142"/>
      <c r="AI21" s="1119"/>
      <c r="AJ21" s="1120"/>
      <c r="AK21" s="1120"/>
      <c r="AL21" s="1120"/>
      <c r="AM21" s="1121"/>
    </row>
    <row r="22" spans="1:39" ht="12.95" customHeight="1">
      <c r="B22" s="1139" t="s">
        <v>809</v>
      </c>
      <c r="C22" s="1140"/>
      <c r="D22" s="1140"/>
      <c r="E22" s="1140"/>
      <c r="F22" s="1140"/>
      <c r="G22" s="1140"/>
      <c r="H22" s="1140"/>
      <c r="I22" s="1140"/>
      <c r="J22" s="1140"/>
      <c r="K22" s="1140"/>
      <c r="L22" s="1140"/>
      <c r="M22" s="1140"/>
      <c r="N22" s="1140"/>
      <c r="O22" s="1140"/>
      <c r="P22" s="1140"/>
      <c r="Q22" s="1140"/>
      <c r="R22" s="1140"/>
      <c r="S22" s="1141"/>
      <c r="T22" s="1607">
        <f>(T20+T21)*-1</f>
        <v>0</v>
      </c>
      <c r="U22" s="1608"/>
      <c r="V22" s="1608"/>
      <c r="W22" s="1608"/>
      <c r="X22" s="1608"/>
      <c r="Y22" s="1607">
        <f>(Y20+Y21)*-1</f>
        <v>0</v>
      </c>
      <c r="Z22" s="1608"/>
      <c r="AA22" s="1608"/>
      <c r="AB22" s="1608"/>
      <c r="AC22" s="1608"/>
      <c r="AD22" s="1607">
        <f>(AD20+AD21)*-1</f>
        <v>0</v>
      </c>
      <c r="AE22" s="1608"/>
      <c r="AF22" s="1608"/>
      <c r="AG22" s="1608"/>
      <c r="AH22" s="1608"/>
      <c r="AI22" s="1615">
        <f>(AI20+AI21)*-1</f>
        <v>0</v>
      </c>
      <c r="AJ22" s="1616"/>
      <c r="AK22" s="1616"/>
      <c r="AL22" s="1616"/>
      <c r="AM22" s="1607"/>
    </row>
    <row r="23" spans="1:39" ht="12.95" customHeight="1">
      <c r="B23" s="1139" t="s">
        <v>2001</v>
      </c>
      <c r="C23" s="1140"/>
      <c r="D23" s="1140"/>
      <c r="E23" s="1140"/>
      <c r="F23" s="1140"/>
      <c r="G23" s="1140"/>
      <c r="H23" s="1140"/>
      <c r="I23" s="1140"/>
      <c r="J23" s="1140"/>
      <c r="K23" s="1140"/>
      <c r="L23" s="1140"/>
      <c r="M23" s="1140"/>
      <c r="N23" s="1140"/>
      <c r="O23" s="1140"/>
      <c r="P23" s="1140"/>
      <c r="Q23" s="1140"/>
      <c r="R23" s="1140"/>
      <c r="S23" s="1141"/>
      <c r="T23" s="1606">
        <f>T11+T22</f>
        <v>31570687.64919921</v>
      </c>
      <c r="U23" s="1128"/>
      <c r="V23" s="1128"/>
      <c r="W23" s="1128"/>
      <c r="X23" s="1128"/>
      <c r="Y23" s="1606">
        <f>Y11+Y22</f>
        <v>0</v>
      </c>
      <c r="Z23" s="1128"/>
      <c r="AA23" s="1128"/>
      <c r="AB23" s="1128"/>
      <c r="AC23" s="1128"/>
      <c r="AD23" s="1606">
        <f>IF(AD11=AD21,0,AD11)</f>
        <v>0</v>
      </c>
      <c r="AE23" s="1128"/>
      <c r="AF23" s="1128"/>
      <c r="AG23" s="1128"/>
      <c r="AH23" s="1128"/>
      <c r="AI23" s="1606">
        <f>IF(AI11=AI21,0,AI11)</f>
        <v>0</v>
      </c>
      <c r="AJ23" s="1128"/>
      <c r="AK23" s="1128"/>
      <c r="AL23" s="1128"/>
      <c r="AM23" s="1128"/>
    </row>
    <row r="24" spans="1:39" ht="12.95" customHeight="1">
      <c r="B24" s="1139" t="s">
        <v>1270</v>
      </c>
      <c r="C24" s="1140"/>
      <c r="D24" s="1140"/>
      <c r="E24" s="1140"/>
      <c r="F24" s="1140"/>
      <c r="G24" s="1140"/>
      <c r="H24" s="1140"/>
      <c r="I24" s="1140"/>
      <c r="J24" s="1140"/>
      <c r="K24" s="1140"/>
      <c r="L24" s="1140"/>
      <c r="M24" s="1140"/>
      <c r="N24" s="1140"/>
      <c r="O24" s="1140"/>
      <c r="P24" s="1140"/>
      <c r="Q24" s="1140"/>
      <c r="R24" s="1140"/>
      <c r="S24" s="1141"/>
      <c r="T24" s="1604">
        <f>Application!AJ988</f>
        <v>48655296</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2.95" customHeight="1">
      <c r="B25" s="1596" t="s">
        <v>2003</v>
      </c>
      <c r="C25" s="1597"/>
      <c r="D25" s="1597"/>
      <c r="E25" s="1597"/>
      <c r="F25" s="1597"/>
      <c r="G25" s="1597"/>
      <c r="H25" s="1597"/>
      <c r="I25" s="1597"/>
      <c r="J25" s="1597"/>
      <c r="K25" s="1597"/>
      <c r="L25" s="1597"/>
      <c r="M25" s="1597"/>
      <c r="N25" s="1597"/>
      <c r="O25" s="1597"/>
      <c r="P25" s="1597"/>
      <c r="Q25" s="1597"/>
      <c r="R25" s="1597"/>
      <c r="S25" s="1598"/>
      <c r="T25" s="1610">
        <f>IF(OR(AND(Application!T193="no",Application!T194="no",Application!T196="no",Application!Y211="no"),Application!T195="yes"),1,1.3)</f>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2.95" customHeight="1">
      <c r="B26" s="1139" t="s">
        <v>811</v>
      </c>
      <c r="C26" s="1140"/>
      <c r="D26" s="1140"/>
      <c r="E26" s="1140"/>
      <c r="F26" s="1140"/>
      <c r="G26" s="1140"/>
      <c r="H26" s="1140"/>
      <c r="I26" s="1140"/>
      <c r="J26" s="1140"/>
      <c r="K26" s="1140"/>
      <c r="L26" s="1140"/>
      <c r="M26" s="1140"/>
      <c r="N26" s="1140"/>
      <c r="O26" s="1140"/>
      <c r="P26" s="1140"/>
      <c r="Q26" s="1140"/>
      <c r="R26" s="1140"/>
      <c r="S26" s="1141"/>
      <c r="T26" s="1196">
        <f>T23*T25</f>
        <v>31570687.64919921</v>
      </c>
      <c r="U26" s="1609"/>
      <c r="V26" s="1609"/>
      <c r="W26" s="1609"/>
      <c r="X26" s="1609"/>
      <c r="Y26" s="1196">
        <f>Y23*Y25</f>
        <v>0</v>
      </c>
      <c r="Z26" s="1609"/>
      <c r="AA26" s="1609"/>
      <c r="AB26" s="1609"/>
      <c r="AC26" s="1609"/>
      <c r="AD26" s="1196">
        <f>AD23*AD25</f>
        <v>0</v>
      </c>
      <c r="AE26" s="1609"/>
      <c r="AF26" s="1609"/>
      <c r="AG26" s="1609"/>
      <c r="AH26" s="1609"/>
      <c r="AI26" s="1196">
        <f>AI23*AI25</f>
        <v>0</v>
      </c>
      <c r="AJ26" s="1609"/>
      <c r="AK26" s="1609"/>
      <c r="AL26" s="1609"/>
      <c r="AM26" s="1609"/>
    </row>
    <row r="27" spans="1:39" ht="12.95" customHeight="1">
      <c r="A27" s="4"/>
      <c r="B27" s="1599" t="s">
        <v>920</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2.95" customHeight="1">
      <c r="A28" s="3"/>
      <c r="B28" s="1139" t="s">
        <v>884</v>
      </c>
      <c r="C28" s="1140"/>
      <c r="D28" s="1140"/>
      <c r="E28" s="1140"/>
      <c r="F28" s="1140"/>
      <c r="G28" s="1140"/>
      <c r="H28" s="1140"/>
      <c r="I28" s="1140"/>
      <c r="J28" s="1140"/>
      <c r="K28" s="1140"/>
      <c r="L28" s="1140"/>
      <c r="M28" s="1140"/>
      <c r="N28" s="1140"/>
      <c r="O28" s="1140"/>
      <c r="P28" s="1140"/>
      <c r="Q28" s="1140"/>
      <c r="R28" s="1140"/>
      <c r="S28" s="1141"/>
      <c r="T28" s="1196">
        <f>IF(ISERROR((T26*T27)),0,(T26*T27))</f>
        <v>31570687.64919921</v>
      </c>
      <c r="U28" s="1609"/>
      <c r="V28" s="1609"/>
      <c r="W28" s="1609"/>
      <c r="X28" s="1609"/>
      <c r="Y28" s="1196">
        <f>IF(ISERROR((Y26*Y27)),0,(Y26*Y27))</f>
        <v>0</v>
      </c>
      <c r="Z28" s="1609"/>
      <c r="AA28" s="1609"/>
      <c r="AB28" s="1609"/>
      <c r="AC28" s="1609"/>
      <c r="AD28" s="1196">
        <f>IF(ISERROR((AD26*AD27)),0,(AD26*AD27))</f>
        <v>0</v>
      </c>
      <c r="AE28" s="1609"/>
      <c r="AF28" s="1609"/>
      <c r="AG28" s="1609"/>
      <c r="AH28" s="1609"/>
      <c r="AI28" s="1196">
        <f>IF(ISERROR((AI26*AI27)),0,(AI26*AI27))</f>
        <v>0</v>
      </c>
      <c r="AJ28" s="1609"/>
      <c r="AK28" s="1609"/>
      <c r="AL28" s="1609"/>
      <c r="AM28" s="1609"/>
    </row>
    <row r="29" spans="1:39" ht="12.95" customHeight="1">
      <c r="B29" s="1139" t="s">
        <v>659</v>
      </c>
      <c r="C29" s="1140"/>
      <c r="D29" s="1140"/>
      <c r="E29" s="1140"/>
      <c r="F29" s="1140"/>
      <c r="G29" s="1140"/>
      <c r="H29" s="1140"/>
      <c r="I29" s="1140"/>
      <c r="J29" s="1140"/>
      <c r="K29" s="1140"/>
      <c r="L29" s="1140"/>
      <c r="M29" s="1140"/>
      <c r="N29" s="1140"/>
      <c r="O29" s="1140"/>
      <c r="P29" s="1140"/>
      <c r="Q29" s="1140"/>
      <c r="R29" s="1140"/>
      <c r="S29" s="1141"/>
      <c r="T29" s="1604">
        <f>T28+Y28+AD28+AI28</f>
        <v>31570687.64919921</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2.95" customHeight="1">
      <c r="B30" s="1643" t="s">
        <v>2002</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row>
    <row r="31" spans="1:39" ht="12.95" customHeight="1">
      <c r="B31" s="1644" t="s">
        <v>2004</v>
      </c>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3" t="s">
        <v>1679</v>
      </c>
      <c r="Z35" s="1613"/>
      <c r="AA35" s="1613"/>
      <c r="AB35" s="1613"/>
      <c r="AC35" s="1613"/>
      <c r="AD35" s="1185" t="s">
        <v>45</v>
      </c>
      <c r="AE35" s="1185"/>
      <c r="AF35" s="1185"/>
      <c r="AG35" s="1185"/>
      <c r="AH35" s="1185"/>
    </row>
    <row r="36" spans="1:44" ht="12.95" customHeight="1">
      <c r="B36" s="204"/>
      <c r="X36" s="71"/>
      <c r="Y36" s="1613"/>
      <c r="Z36" s="1613"/>
      <c r="AA36" s="1613"/>
      <c r="AB36" s="1613"/>
      <c r="AC36" s="1613"/>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185"/>
      <c r="AE37" s="1185"/>
      <c r="AF37" s="1185"/>
      <c r="AG37" s="1185"/>
      <c r="AH37" s="1185"/>
    </row>
    <row r="38" spans="1:44" ht="12.95" customHeight="1">
      <c r="A38" s="3"/>
      <c r="B38" s="1139" t="s">
        <v>884</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28">
        <f>IF(T24&gt;=(T23+Y23+AD23+AI23),T28+Y28,0)</f>
        <v>31570687.64919921</v>
      </c>
      <c r="Z38" s="1128"/>
      <c r="AA38" s="1128"/>
      <c r="AB38" s="1128"/>
      <c r="AC38" s="1128"/>
      <c r="AD38" s="1128">
        <f>IF(T24&gt;=(T23+Y23+AD23+AI23),AD28+AI28,0)</f>
        <v>0</v>
      </c>
      <c r="AE38" s="1128"/>
      <c r="AF38" s="1128"/>
      <c r="AG38" s="1128"/>
      <c r="AH38" s="1128"/>
    </row>
    <row r="39" spans="1:44" ht="12.95" customHeight="1">
      <c r="B39" s="1139" t="s">
        <v>1895</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648">
        <v>0.09</v>
      </c>
      <c r="Z39" s="1648"/>
      <c r="AA39" s="1648"/>
      <c r="AB39" s="1648"/>
      <c r="AC39" s="1648"/>
      <c r="AD39" s="1648">
        <v>0.04</v>
      </c>
      <c r="AE39" s="1648"/>
      <c r="AF39" s="1648"/>
      <c r="AG39" s="1648"/>
      <c r="AH39" s="1648"/>
    </row>
    <row r="40" spans="1:44" ht="12.95" customHeight="1">
      <c r="A40" s="3"/>
      <c r="B40" s="1139" t="s">
        <v>25</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28">
        <f>ROUND(Y38*Y39,0)</f>
        <v>2841362</v>
      </c>
      <c r="Z40" s="1128"/>
      <c r="AA40" s="1128"/>
      <c r="AB40" s="1128"/>
      <c r="AC40" s="1128"/>
      <c r="AD40" s="1606">
        <f>ROUND(AD38*AD39,0)</f>
        <v>0</v>
      </c>
      <c r="AE40" s="1128"/>
      <c r="AF40" s="1128"/>
      <c r="AG40" s="1128"/>
      <c r="AH40" s="1128"/>
    </row>
    <row r="41" spans="1:44" ht="12.95" customHeight="1">
      <c r="B41" s="1139" t="s">
        <v>653</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604">
        <f>IF(Application!Y211="No",'Basis &amp; Credits'!AR42,AR43)</f>
        <v>2500000</v>
      </c>
      <c r="Z41" s="1605"/>
      <c r="AA41" s="1605"/>
      <c r="AB41" s="1605"/>
      <c r="AC41" s="1605"/>
      <c r="AD41" s="1605"/>
      <c r="AE41" s="1605"/>
      <c r="AF41" s="1605"/>
      <c r="AG41" s="1605"/>
      <c r="AH41" s="1606"/>
    </row>
    <row r="42" spans="1:44" ht="12.95" customHeight="1">
      <c r="A42" s="3"/>
      <c r="B42" s="1638" t="s">
        <v>1896</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2841362</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6">
        <f>'Sources and Uses Budget'!B104-(MAX(IF('Sources and Uses Budget'!B15="",0,'Sources and Uses Budget'!B15),IF(Application!AG387="",0,Application!AG387)))</f>
        <v>38811963.709028274</v>
      </c>
      <c r="AC46" s="1157"/>
      <c r="AD46" s="1157"/>
      <c r="AE46" s="1157"/>
      <c r="AF46" s="1158"/>
    </row>
    <row r="47" spans="1:44" ht="12.95" customHeight="1">
      <c r="D47" s="3" t="s">
        <v>878</v>
      </c>
      <c r="AB47" s="1156">
        <f>Application!AO630-MAX(IF('Sources and Uses Budget'!B15="",0,'Sources and Uses Budget'!B15),IF(Application!AG387="",0,Application!AG387))</f>
        <v>6819253.9178492725</v>
      </c>
      <c r="AC47" s="1157"/>
      <c r="AD47" s="1157"/>
      <c r="AE47" s="1157"/>
      <c r="AF47" s="1158"/>
    </row>
    <row r="48" spans="1:44" ht="12.95" customHeight="1">
      <c r="D48" s="3" t="s">
        <v>403</v>
      </c>
      <c r="AB48" s="1156">
        <f>AB46-AB47</f>
        <v>31992709.791179001</v>
      </c>
      <c r="AC48" s="1157"/>
      <c r="AD48" s="1157"/>
      <c r="AE48" s="1157"/>
      <c r="AF48" s="1158"/>
    </row>
    <row r="49" spans="1:40" ht="12.95" customHeight="1">
      <c r="D49" s="3" t="s">
        <v>913</v>
      </c>
      <c r="AA49" s="34"/>
      <c r="AB49" s="1633">
        <v>0.94</v>
      </c>
      <c r="AC49" s="1634"/>
      <c r="AD49" s="1634"/>
      <c r="AE49" s="1634"/>
      <c r="AF49" s="1635"/>
    </row>
    <row r="50" spans="1:40" s="324" customFormat="1" ht="12.95" customHeight="1">
      <c r="A50"/>
      <c r="B50"/>
      <c r="C50"/>
      <c r="D50"/>
      <c r="E50" s="1642" t="s">
        <v>2051</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8"/>
      <c r="AB50" s="358"/>
      <c r="AC50" s="358"/>
      <c r="AD50" s="358"/>
      <c r="AE50" s="358"/>
      <c r="AF50" s="358"/>
      <c r="AG50"/>
      <c r="AH50"/>
      <c r="AI50"/>
      <c r="AJ50"/>
      <c r="AK50"/>
      <c r="AL50"/>
      <c r="AM50"/>
      <c r="AN50"/>
    </row>
    <row r="51" spans="1:40" s="324"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34034798</v>
      </c>
      <c r="AC53" s="1157"/>
      <c r="AD53" s="1157"/>
      <c r="AE53" s="1157"/>
      <c r="AF53" s="1158"/>
    </row>
    <row r="54" spans="1:40" ht="12.95" customHeight="1">
      <c r="D54" s="3" t="s">
        <v>592</v>
      </c>
      <c r="AB54" s="1156">
        <f>(AB53/10)</f>
        <v>3403479.8</v>
      </c>
      <c r="AC54" s="1157"/>
      <c r="AD54" s="1157"/>
      <c r="AE54" s="1157"/>
      <c r="AF54" s="1158"/>
    </row>
    <row r="55" spans="1:40" ht="12.95" customHeight="1">
      <c r="D55" s="3" t="s">
        <v>362</v>
      </c>
      <c r="AB55" s="1639">
        <f>(IF((Y41&lt;AB54),Y41,AB54))</f>
        <v>2500000</v>
      </c>
      <c r="AC55" s="1640"/>
      <c r="AD55" s="1640"/>
      <c r="AE55" s="1640"/>
      <c r="AF55" s="1641"/>
    </row>
    <row r="56" spans="1:40" ht="12.95" customHeight="1">
      <c r="D56" s="3" t="s">
        <v>115</v>
      </c>
      <c r="AB56" s="1156">
        <f>ROUND((10*AB55*AB49),0)</f>
        <v>23500000</v>
      </c>
      <c r="AC56" s="1157"/>
      <c r="AD56" s="1157"/>
      <c r="AE56" s="1157"/>
      <c r="AF56" s="1158"/>
    </row>
    <row r="57" spans="1:40" ht="12.95" customHeight="1">
      <c r="D57" s="3"/>
      <c r="AB57" s="276"/>
      <c r="AC57" s="276"/>
      <c r="AD57" s="276"/>
      <c r="AE57" s="276"/>
      <c r="AF57" s="276"/>
    </row>
    <row r="58" spans="1:40" ht="12.95" customHeight="1">
      <c r="D58" s="3" t="s">
        <v>114</v>
      </c>
      <c r="AB58" s="1174">
        <f>AB48-AB56</f>
        <v>8492709.7911790013</v>
      </c>
      <c r="AC58" s="1174"/>
      <c r="AD58" s="1174"/>
      <c r="AE58" s="1174"/>
      <c r="AF58" s="117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1827</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11"/>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row>
    <row r="62" spans="1:40" ht="12.95" customHeight="1">
      <c r="A62" s="3" t="s">
        <v>130</v>
      </c>
      <c r="C62" s="3" t="s">
        <v>540</v>
      </c>
      <c r="Y62" s="1647" t="s">
        <v>316</v>
      </c>
      <c r="Z62" s="1647"/>
      <c r="AA62" s="1647"/>
      <c r="AB62" s="1647"/>
      <c r="AC62" s="1647"/>
      <c r="AD62" s="1647" t="s">
        <v>45</v>
      </c>
      <c r="AE62" s="1647"/>
      <c r="AF62" s="1647"/>
      <c r="AG62" s="1647"/>
      <c r="AH62" s="1647"/>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31570687.64919921</v>
      </c>
      <c r="Z63" s="1636"/>
      <c r="AA63" s="1636"/>
      <c r="AB63" s="1636"/>
      <c r="AC63" s="1636"/>
      <c r="AD63" s="1128">
        <f>IF(AND(T25=1.3,Application!D214="At-Risk"),AI28,IF(Application!D214&lt;&gt;"At-Risk",0,AD28))</f>
        <v>0</v>
      </c>
      <c r="AE63" s="1636"/>
      <c r="AF63" s="1636"/>
      <c r="AG63" s="1636"/>
      <c r="AH63" s="1636"/>
    </row>
    <row r="64" spans="1:40" ht="12.95" customHeight="1">
      <c r="C64" s="3"/>
      <c r="E64" s="1646" t="s">
        <v>1342</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21.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2">
        <f>IF(Application!W198="Yes",95%, 30%)</f>
        <v>0.3</v>
      </c>
      <c r="Z66" s="1632"/>
      <c r="AA66" s="1632"/>
      <c r="AB66" s="1632"/>
      <c r="AC66" s="1632"/>
      <c r="AD66" s="1632">
        <f>IF(Application!W198="Yes",95%, 13%)</f>
        <v>0.13</v>
      </c>
      <c r="AE66" s="1632"/>
      <c r="AF66" s="1632"/>
      <c r="AG66" s="1632"/>
      <c r="AH66" s="1632"/>
    </row>
    <row r="67" spans="1:34" ht="12.95" customHeight="1">
      <c r="C67" s="3"/>
      <c r="D67" s="3" t="s">
        <v>985</v>
      </c>
      <c r="Y67" s="1128">
        <f>ROUND(Y63*Y66,0)</f>
        <v>9471206</v>
      </c>
      <c r="Z67" s="1636"/>
      <c r="AA67" s="1636"/>
      <c r="AB67" s="1636"/>
      <c r="AC67" s="1636"/>
      <c r="AD67" s="1128" t="str">
        <f>IF(OR(Application!D211="At-Risk",Application!D211="At-Risk/Located in Rural Census Tract",Application!D214="At-Risk"),ROUND(AD63*AD66,0),"$0")</f>
        <v>$0</v>
      </c>
      <c r="AE67" s="1128"/>
      <c r="AF67" s="1128"/>
      <c r="AG67" s="1128"/>
      <c r="AH67" s="1128"/>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33">
        <v>0.89668723569856545</v>
      </c>
      <c r="AC70" s="1634"/>
      <c r="AD70" s="1634"/>
      <c r="AE70" s="1634"/>
      <c r="AF70" s="1635"/>
    </row>
    <row r="71" spans="1:34" ht="12.95" customHeight="1">
      <c r="A71" s="3"/>
      <c r="C71" s="3"/>
      <c r="D71" s="3"/>
      <c r="E71" s="1637" t="s">
        <v>1822</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2.9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2.9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9">
        <f>ROUND(IF(ISERROR((AB58/AB70)),0,(AB58/AB70)),0)</f>
        <v>9471206</v>
      </c>
      <c r="AC75" s="1519"/>
      <c r="AD75" s="1519"/>
      <c r="AE75" s="1519"/>
      <c r="AF75" s="1519"/>
    </row>
    <row r="76" spans="1:34" ht="12.95" customHeight="1">
      <c r="C76" s="3"/>
      <c r="D76" s="3" t="s">
        <v>113</v>
      </c>
      <c r="AB76" s="1536">
        <f>IF((Y67+AD67&lt;AB75),Y67+AD67,AB75)</f>
        <v>9471206</v>
      </c>
      <c r="AC76" s="1537"/>
      <c r="AD76" s="1537"/>
      <c r="AE76" s="1537"/>
      <c r="AF76" s="1538"/>
    </row>
    <row r="77" spans="1:34" ht="12.95" customHeight="1">
      <c r="C77" s="3"/>
      <c r="D77" s="3" t="s">
        <v>986</v>
      </c>
      <c r="AB77" s="1631">
        <f>AB76*AB70</f>
        <v>8492709.5268716682</v>
      </c>
      <c r="AC77" s="1631"/>
      <c r="AD77" s="1631"/>
      <c r="AE77" s="1631"/>
      <c r="AF77" s="1631"/>
    </row>
    <row r="78" spans="1:34" ht="12.95" customHeight="1">
      <c r="C78" s="3"/>
      <c r="D78" s="3"/>
      <c r="AB78" s="613"/>
      <c r="AC78" s="613"/>
      <c r="AD78" s="613"/>
      <c r="AE78" s="613"/>
      <c r="AF78" s="613"/>
    </row>
    <row r="79" spans="1:34" ht="12.95" customHeight="1">
      <c r="D79" s="3" t="s">
        <v>114</v>
      </c>
      <c r="AB79" s="1174">
        <f>AB48-(AB56+AB77)</f>
        <v>0.26430733501911163</v>
      </c>
      <c r="AC79" s="1174"/>
      <c r="AD79" s="1174"/>
      <c r="AE79" s="1174"/>
      <c r="AF79" s="1174"/>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6" workbookViewId="0">
      <selection activeCell="L86" sqref="L86"/>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9" t="s">
        <v>1903</v>
      </c>
      <c r="B1" s="1650"/>
      <c r="C1" s="1650"/>
      <c r="D1" s="1650"/>
      <c r="E1" s="1650"/>
      <c r="F1" s="1650"/>
      <c r="G1" s="1650"/>
      <c r="H1" s="1650"/>
      <c r="I1" s="1650"/>
      <c r="J1" s="1651"/>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5726000</v>
      </c>
      <c r="C4" s="600"/>
      <c r="D4" s="600">
        <f>B4</f>
        <v>5726000</v>
      </c>
      <c r="E4" s="601"/>
      <c r="F4" s="601"/>
      <c r="G4" s="601"/>
      <c r="H4" s="601"/>
      <c r="I4" s="601"/>
      <c r="J4" s="601"/>
      <c r="K4" s="594"/>
    </row>
    <row r="5" spans="1:11" s="253" customFormat="1" ht="13.5">
      <c r="A5" s="300" t="s">
        <v>73</v>
      </c>
      <c r="B5" s="599">
        <f>'Sources and Uses Budget'!C5</f>
        <v>25000</v>
      </c>
      <c r="C5" s="600"/>
      <c r="D5" s="600">
        <f>B5</f>
        <v>25000</v>
      </c>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5751000</v>
      </c>
      <c r="C8" s="599">
        <f>SUM(C4:C7)</f>
        <v>0</v>
      </c>
      <c r="D8" s="599">
        <f>SUM(D4:D7)</f>
        <v>5751000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200000</v>
      </c>
      <c r="C10" s="600"/>
      <c r="D10" s="600">
        <f>B10</f>
        <v>200000</v>
      </c>
      <c r="E10" s="599">
        <f>'Sources and Uses Budget'!S10</f>
        <v>200000</v>
      </c>
      <c r="F10" s="600"/>
      <c r="G10" s="600">
        <f>D10</f>
        <v>200000</v>
      </c>
      <c r="H10" s="599">
        <f>'Sources and Uses Budget'!T10</f>
        <v>0</v>
      </c>
      <c r="I10" s="600"/>
      <c r="J10" s="600"/>
      <c r="K10" s="594"/>
    </row>
    <row r="11" spans="1:11" s="253" customFormat="1">
      <c r="A11" s="243" t="s">
        <v>617</v>
      </c>
      <c r="B11" s="599">
        <f>'Sources and Uses Budget'!C11</f>
        <v>200000</v>
      </c>
      <c r="C11" s="599">
        <f>SUM(C9:C10)</f>
        <v>0</v>
      </c>
      <c r="D11" s="599">
        <f>SUM(D9:D10)</f>
        <v>200000</v>
      </c>
      <c r="E11" s="601"/>
      <c r="F11" s="601"/>
      <c r="G11" s="601"/>
      <c r="H11" s="599">
        <f>'Sources and Uses Budget'!T11</f>
        <v>0</v>
      </c>
      <c r="I11" s="599">
        <f>SUM(I9:I10)</f>
        <v>0</v>
      </c>
      <c r="J11" s="599">
        <f>SUM(J9:J10)</f>
        <v>0</v>
      </c>
      <c r="K11" s="594"/>
    </row>
    <row r="12" spans="1:11" s="253" customFormat="1">
      <c r="A12" s="243" t="s">
        <v>747</v>
      </c>
      <c r="B12" s="599">
        <f>'Sources and Uses Budget'!C12</f>
        <v>5951000</v>
      </c>
      <c r="C12" s="599">
        <f>SUM(C8+C11)</f>
        <v>0</v>
      </c>
      <c r="D12" s="599">
        <f>SUM(D8+D11)</f>
        <v>5951000</v>
      </c>
      <c r="E12" s="601"/>
      <c r="F12" s="601"/>
      <c r="G12" s="601"/>
      <c r="H12" s="601"/>
      <c r="I12" s="601"/>
      <c r="J12" s="601"/>
      <c r="K12" s="594"/>
    </row>
    <row r="13" spans="1:11" s="253" customFormat="1">
      <c r="A13" s="469" t="s">
        <v>1157</v>
      </c>
      <c r="B13" s="599">
        <f>'Sources and Uses Budget'!C13</f>
        <v>355444.44444444397</v>
      </c>
      <c r="C13" s="600"/>
      <c r="D13" s="600">
        <f>B13</f>
        <v>355444.44444444397</v>
      </c>
      <c r="E13" s="599">
        <f>'Sources and Uses Budget'!S13</f>
        <v>80958.333333333299</v>
      </c>
      <c r="F13" s="600"/>
      <c r="G13" s="600">
        <f>E13</f>
        <v>80958.333333333299</v>
      </c>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f>'Sources and Uses Budget'!$A25</f>
        <v>0</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0</v>
      </c>
      <c r="C28" s="600"/>
      <c r="D28" s="600"/>
      <c r="E28" s="599">
        <f>'Sources and Uses Budget'!S29</f>
        <v>0</v>
      </c>
      <c r="F28" s="600"/>
      <c r="G28" s="600"/>
      <c r="H28" s="599">
        <f>'Sources and Uses Budget'!T29</f>
        <v>0</v>
      </c>
      <c r="I28" s="600"/>
      <c r="J28" s="600"/>
      <c r="K28" s="594"/>
    </row>
    <row r="29" spans="1:11" s="253" customFormat="1">
      <c r="A29" s="239" t="s">
        <v>955</v>
      </c>
      <c r="B29" s="599">
        <f>'Sources and Uses Budget'!C30</f>
        <v>18560710.955632702</v>
      </c>
      <c r="C29" s="600"/>
      <c r="D29" s="600">
        <f>B29</f>
        <v>18560710.955632702</v>
      </c>
      <c r="E29" s="599">
        <f>'Sources and Uses Budget'!S30</f>
        <v>18560710.955632702</v>
      </c>
      <c r="F29" s="600"/>
      <c r="G29" s="600">
        <f>E29</f>
        <v>18560710.955632702</v>
      </c>
      <c r="H29" s="599">
        <f>'Sources and Uses Budget'!T30</f>
        <v>0</v>
      </c>
      <c r="I29" s="600"/>
      <c r="J29" s="600"/>
      <c r="K29" s="594"/>
    </row>
    <row r="30" spans="1:11" s="253" customFormat="1">
      <c r="A30" s="239" t="s">
        <v>956</v>
      </c>
      <c r="B30" s="599">
        <f>'Sources and Uses Budget'!C31</f>
        <v>1408429.49308162</v>
      </c>
      <c r="C30" s="600"/>
      <c r="D30" s="600">
        <f t="shared" ref="D30:D31" si="0">B30</f>
        <v>1408429.49308162</v>
      </c>
      <c r="E30" s="599">
        <f>'Sources and Uses Budget'!S31</f>
        <v>1408429.49308162</v>
      </c>
      <c r="F30" s="600"/>
      <c r="G30" s="600">
        <f t="shared" ref="G30:G31" si="1">E30</f>
        <v>1408429.49308162</v>
      </c>
      <c r="H30" s="599">
        <f>'Sources and Uses Budget'!T31</f>
        <v>0</v>
      </c>
      <c r="I30" s="600"/>
      <c r="J30" s="600"/>
      <c r="K30" s="594"/>
    </row>
    <row r="31" spans="1:11" s="253" customFormat="1">
      <c r="A31" s="239" t="s">
        <v>957</v>
      </c>
      <c r="B31" s="599">
        <f>'Sources and Uses Budget'!C32</f>
        <v>480648.36858344998</v>
      </c>
      <c r="C31" s="600"/>
      <c r="D31" s="600">
        <f t="shared" si="0"/>
        <v>480648.36858344998</v>
      </c>
      <c r="E31" s="599">
        <f>'Sources and Uses Budget'!S32</f>
        <v>480648.36858344998</v>
      </c>
      <c r="F31" s="600"/>
      <c r="G31" s="600">
        <f t="shared" si="1"/>
        <v>480648.36858344998</v>
      </c>
      <c r="H31" s="599">
        <f>'Sources and Uses Budget'!T32</f>
        <v>0</v>
      </c>
      <c r="I31" s="600"/>
      <c r="J31" s="600"/>
      <c r="K31" s="594"/>
    </row>
    <row r="32" spans="1:11" s="253" customFormat="1">
      <c r="A32" s="239" t="s">
        <v>958</v>
      </c>
      <c r="B32" s="599">
        <f>'Sources and Uses Budget'!C33</f>
        <v>480648.36858344998</v>
      </c>
      <c r="C32" s="600"/>
      <c r="D32" s="600">
        <f>B32</f>
        <v>480648.36858344998</v>
      </c>
      <c r="E32" s="599">
        <f>'Sources and Uses Budget'!S33</f>
        <v>480648.36858344998</v>
      </c>
      <c r="F32" s="600"/>
      <c r="G32" s="600">
        <f>B32</f>
        <v>480648.36858344998</v>
      </c>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130924.69734581</v>
      </c>
      <c r="C34" s="600"/>
      <c r="D34" s="600">
        <f>B34</f>
        <v>130924.69734581</v>
      </c>
      <c r="E34" s="599">
        <f>'Sources and Uses Budget'!S35</f>
        <v>130924.69734581</v>
      </c>
      <c r="F34" s="600"/>
      <c r="G34" s="600">
        <f>E34</f>
        <v>130924.69734581</v>
      </c>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Payment and Performace Bonds</v>
      </c>
      <c r="B36" s="599">
        <f>'Sources and Uses Budget'!C37</f>
        <v>264789.194154397</v>
      </c>
      <c r="C36" s="600"/>
      <c r="D36" s="600">
        <f>B36</f>
        <v>264789.194154397</v>
      </c>
      <c r="E36" s="599">
        <f>'Sources and Uses Budget'!S37</f>
        <v>264789.194154397</v>
      </c>
      <c r="F36" s="600"/>
      <c r="G36" s="600">
        <f>E36</f>
        <v>264789.194154397</v>
      </c>
      <c r="H36" s="599">
        <f>'Sources and Uses Budget'!T37</f>
        <v>0</v>
      </c>
      <c r="I36" s="600"/>
      <c r="J36" s="600"/>
      <c r="K36" s="594"/>
    </row>
    <row r="37" spans="1:11" s="253" customFormat="1">
      <c r="A37" s="243" t="s">
        <v>963</v>
      </c>
      <c r="B37" s="599">
        <f>'Sources and Uses Budget'!C38</f>
        <v>21326151.077381425</v>
      </c>
      <c r="C37" s="599">
        <f>SUM(C28:C36)</f>
        <v>0</v>
      </c>
      <c r="D37" s="599">
        <f>SUM(D28:D36)</f>
        <v>21326151.077381425</v>
      </c>
      <c r="E37" s="599">
        <f>'Sources and Uses Budget'!S38</f>
        <v>21326151.077381425</v>
      </c>
      <c r="F37" s="602">
        <f>SUM(F28:F36)</f>
        <v>0</v>
      </c>
      <c r="G37" s="602">
        <f>SUM(G28:G36)</f>
        <v>21326151.077381425</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600000</v>
      </c>
      <c r="C39" s="600"/>
      <c r="D39" s="600">
        <f>B39</f>
        <v>600000</v>
      </c>
      <c r="E39" s="599">
        <f>'Sources and Uses Budget'!S40</f>
        <v>600000</v>
      </c>
      <c r="F39" s="600"/>
      <c r="G39" s="600">
        <f>E39</f>
        <v>600000</v>
      </c>
      <c r="H39" s="599">
        <f>'Sources and Uses Budget'!T40</f>
        <v>0</v>
      </c>
      <c r="I39" s="600"/>
      <c r="J39" s="600"/>
      <c r="K39" s="594"/>
    </row>
    <row r="40" spans="1:11" s="253" customFormat="1">
      <c r="A40" s="239" t="s">
        <v>966</v>
      </c>
      <c r="B40" s="599">
        <f>'Sources and Uses Budget'!C41</f>
        <v>100000</v>
      </c>
      <c r="C40" s="600"/>
      <c r="D40" s="600">
        <f>B40</f>
        <v>100000</v>
      </c>
      <c r="E40" s="599">
        <f>'Sources and Uses Budget'!S41</f>
        <v>100000</v>
      </c>
      <c r="F40" s="600"/>
      <c r="G40" s="600">
        <f>E40</f>
        <v>100000</v>
      </c>
      <c r="H40" s="599">
        <f>'Sources and Uses Budget'!T41</f>
        <v>0</v>
      </c>
      <c r="I40" s="600"/>
      <c r="J40" s="600"/>
      <c r="K40" s="594"/>
    </row>
    <row r="41" spans="1:11" s="253" customFormat="1">
      <c r="A41" s="243" t="s">
        <v>967</v>
      </c>
      <c r="B41" s="599">
        <f>'Sources and Uses Budget'!C42</f>
        <v>700000</v>
      </c>
      <c r="C41" s="599">
        <f>SUM(C38:C40)</f>
        <v>0</v>
      </c>
      <c r="D41" s="599">
        <f>SUM(D38:D40)</f>
        <v>700000</v>
      </c>
      <c r="E41" s="599">
        <f>'Sources and Uses Budget'!S42</f>
        <v>700000</v>
      </c>
      <c r="F41" s="602">
        <f>SUM(F39:F40)</f>
        <v>0</v>
      </c>
      <c r="G41" s="602">
        <f>SUM(G39:G40)</f>
        <v>700000</v>
      </c>
      <c r="H41" s="599">
        <f>'Sources and Uses Budget'!T42</f>
        <v>0</v>
      </c>
      <c r="I41" s="602">
        <f>SUM(I39:I40)</f>
        <v>0</v>
      </c>
      <c r="J41" s="602">
        <f>SUM(J39:J40)</f>
        <v>0</v>
      </c>
      <c r="K41" s="594"/>
    </row>
    <row r="42" spans="1:11" s="253" customFormat="1">
      <c r="A42" s="243" t="s">
        <v>968</v>
      </c>
      <c r="B42" s="599">
        <f>'Sources and Uses Budget'!C43</f>
        <v>837905.3</v>
      </c>
      <c r="C42" s="600"/>
      <c r="D42" s="600">
        <f>B42</f>
        <v>837905.3</v>
      </c>
      <c r="E42" s="599">
        <f>'Sources and Uses Budget'!S43</f>
        <v>837905.3</v>
      </c>
      <c r="F42" s="600"/>
      <c r="G42" s="600">
        <f>E42</f>
        <v>837905.3</v>
      </c>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2086400</v>
      </c>
      <c r="C44" s="600"/>
      <c r="D44" s="600">
        <f>B44</f>
        <v>2086400</v>
      </c>
      <c r="E44" s="599">
        <f>'Sources and Uses Budget'!S45</f>
        <v>2086400</v>
      </c>
      <c r="F44" s="600"/>
      <c r="G44" s="600">
        <f>E44</f>
        <v>2086400</v>
      </c>
      <c r="H44" s="599">
        <f>'Sources and Uses Budget'!T45</f>
        <v>0</v>
      </c>
      <c r="I44" s="600"/>
      <c r="J44" s="600"/>
      <c r="K44" s="594"/>
    </row>
    <row r="45" spans="1:11" s="253" customFormat="1">
      <c r="A45" s="239" t="s">
        <v>971</v>
      </c>
      <c r="B45" s="599">
        <f>'Sources and Uses Budget'!C46</f>
        <v>240000</v>
      </c>
      <c r="C45" s="600"/>
      <c r="D45" s="600">
        <f t="shared" ref="D45:D46" si="2">B45</f>
        <v>240000</v>
      </c>
      <c r="E45" s="599">
        <f>'Sources and Uses Budget'!S46</f>
        <v>184615.384615385</v>
      </c>
      <c r="F45" s="600"/>
      <c r="G45" s="600">
        <f t="shared" ref="G45:G46" si="3">E45</f>
        <v>184615.384615385</v>
      </c>
      <c r="H45" s="599">
        <f>'Sources and Uses Budget'!T46</f>
        <v>0</v>
      </c>
      <c r="I45" s="600"/>
      <c r="J45" s="600"/>
      <c r="K45" s="594"/>
    </row>
    <row r="46" spans="1:11" s="253" customFormat="1" ht="12" customHeight="1">
      <c r="A46" s="239" t="s">
        <v>972</v>
      </c>
      <c r="B46" s="599">
        <f>'Sources and Uses Budget'!C47</f>
        <v>85000</v>
      </c>
      <c r="C46" s="600"/>
      <c r="D46" s="600">
        <f t="shared" si="2"/>
        <v>85000</v>
      </c>
      <c r="E46" s="599">
        <f>'Sources and Uses Budget'!S47</f>
        <v>85000</v>
      </c>
      <c r="F46" s="600"/>
      <c r="G46" s="600">
        <f t="shared" si="3"/>
        <v>85000</v>
      </c>
      <c r="H46" s="599">
        <f>'Sources and Uses Budget'!T47</f>
        <v>0</v>
      </c>
      <c r="I46" s="600"/>
      <c r="J46" s="600"/>
      <c r="K46" s="594"/>
    </row>
    <row r="47" spans="1:11" s="253" customFormat="1">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976</v>
      </c>
      <c r="B48" s="599">
        <f>'Sources and Uses Budget'!C49</f>
        <v>91000</v>
      </c>
      <c r="C48" s="600"/>
      <c r="D48" s="600">
        <f>B48</f>
        <v>91000</v>
      </c>
      <c r="E48" s="599">
        <f>'Sources and Uses Budget'!S49</f>
        <v>85000</v>
      </c>
      <c r="F48" s="600"/>
      <c r="G48" s="600">
        <f>E48</f>
        <v>85000</v>
      </c>
      <c r="H48" s="599">
        <f>'Sources and Uses Budget'!T49</f>
        <v>0</v>
      </c>
      <c r="I48" s="600"/>
      <c r="J48" s="600"/>
      <c r="K48" s="594"/>
    </row>
    <row r="49" spans="1:11" s="253" customFormat="1">
      <c r="A49" s="239" t="s">
        <v>974</v>
      </c>
      <c r="B49" s="599">
        <f>'Sources and Uses Budget'!C50</f>
        <v>25000</v>
      </c>
      <c r="C49" s="600"/>
      <c r="D49" s="600">
        <f t="shared" ref="D49:D50" si="4">B49</f>
        <v>25000</v>
      </c>
      <c r="E49" s="599">
        <f>'Sources and Uses Budget'!S50</f>
        <v>25000</v>
      </c>
      <c r="F49" s="600"/>
      <c r="G49" s="600">
        <f t="shared" ref="G49:G50" si="5">E49</f>
        <v>25000</v>
      </c>
      <c r="H49" s="599">
        <f>'Sources and Uses Budget'!T50</f>
        <v>0</v>
      </c>
      <c r="I49" s="600"/>
      <c r="J49" s="600"/>
      <c r="K49" s="594"/>
    </row>
    <row r="50" spans="1:11" s="253" customFormat="1">
      <c r="A50" s="239" t="s">
        <v>975</v>
      </c>
      <c r="B50" s="599">
        <f>'Sources and Uses Budget'!C51</f>
        <v>650000</v>
      </c>
      <c r="C50" s="600"/>
      <c r="D50" s="600">
        <f t="shared" si="4"/>
        <v>650000</v>
      </c>
      <c r="E50" s="599">
        <f>'Sources and Uses Budget'!S51</f>
        <v>650000</v>
      </c>
      <c r="F50" s="600"/>
      <c r="G50" s="600">
        <f t="shared" si="5"/>
        <v>650000</v>
      </c>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977</v>
      </c>
      <c r="B52" s="599">
        <f>'Sources and Uses Budget'!C53</f>
        <v>3177400</v>
      </c>
      <c r="C52" s="602">
        <f>SUM(C44:C51)</f>
        <v>0</v>
      </c>
      <c r="D52" s="602">
        <f>SUM(D44:D51)</f>
        <v>3177400</v>
      </c>
      <c r="E52" s="599">
        <f>'Sources and Uses Budget'!S53</f>
        <v>3116015.384615385</v>
      </c>
      <c r="F52" s="602">
        <f>SUM(F44:F51)</f>
        <v>0</v>
      </c>
      <c r="G52" s="602">
        <f>SUM(G44:G51)</f>
        <v>3116015.384615385</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35000</v>
      </c>
      <c r="C55" s="600"/>
      <c r="D55" s="600">
        <f>B55</f>
        <v>35000</v>
      </c>
      <c r="E55" s="601"/>
      <c r="F55" s="601"/>
      <c r="G55" s="601"/>
      <c r="H55" s="601"/>
      <c r="I55" s="601"/>
      <c r="J55" s="601"/>
      <c r="K55" s="594"/>
    </row>
    <row r="56" spans="1:11" s="253" customFormat="1">
      <c r="A56" s="239" t="s">
        <v>976</v>
      </c>
      <c r="B56" s="599">
        <f>'Sources and Uses Budget'!C57</f>
        <v>33500</v>
      </c>
      <c r="C56" s="600"/>
      <c r="D56" s="600">
        <f>B56</f>
        <v>33500</v>
      </c>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Perm Loan Interest ( Const Lender)</v>
      </c>
      <c r="B59" s="599">
        <f>'Sources and Uses Budget'!C60</f>
        <v>497333.33333333302</v>
      </c>
      <c r="C59" s="600"/>
      <c r="D59" s="600">
        <f>B59</f>
        <v>497333.33333333302</v>
      </c>
      <c r="E59" s="601"/>
      <c r="F59" s="601"/>
      <c r="G59" s="601"/>
      <c r="H59" s="601"/>
      <c r="I59" s="601"/>
      <c r="J59" s="601"/>
      <c r="K59" s="594"/>
    </row>
    <row r="60" spans="1:11" s="253" customFormat="1" ht="13.9" customHeight="1">
      <c r="A60" s="243" t="s">
        <v>529</v>
      </c>
      <c r="B60" s="599">
        <f>'Sources and Uses Budget'!C61</f>
        <v>565833.33333333302</v>
      </c>
      <c r="C60" s="599">
        <f>SUM(C54:C59)</f>
        <v>0</v>
      </c>
      <c r="D60" s="599">
        <f>SUM(D54:D59)</f>
        <v>565833.33333333302</v>
      </c>
      <c r="E60" s="601"/>
      <c r="F60" s="601"/>
      <c r="G60" s="601"/>
      <c r="H60" s="601"/>
      <c r="I60" s="601"/>
      <c r="J60" s="601"/>
      <c r="K60" s="594"/>
    </row>
    <row r="61" spans="1:11" s="253" customFormat="1">
      <c r="A61" s="249" t="s">
        <v>530</v>
      </c>
      <c r="B61" s="599">
        <f>'Sources and Uses Budget'!C62</f>
        <v>32913734.155159201</v>
      </c>
      <c r="C61" s="599">
        <f>SUM(C8+C11+C13+C14+C15+C25+C26+C37+C41+C42+C52+C60)</f>
        <v>0</v>
      </c>
      <c r="D61" s="599">
        <f>SUM(D8+D11+D13+D14+D15+D25+D26+D37+D41+D42+D52+D60)</f>
        <v>32913734.155159201</v>
      </c>
      <c r="E61" s="599">
        <f>'Sources and Uses Budget'!S62</f>
        <v>26261030.095330141</v>
      </c>
      <c r="F61" s="599">
        <f>SUM(F10+F13+F14+F15+F25+F26+F37+F41+F42+F52)</f>
        <v>0</v>
      </c>
      <c r="G61" s="599">
        <f>SUM(G10+G13+G14+G15+G25+G26+G37+G41+G42+G52)</f>
        <v>26261030.095330141</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90000</v>
      </c>
      <c r="C63" s="600"/>
      <c r="D63" s="600">
        <f>B63</f>
        <v>90000</v>
      </c>
      <c r="E63" s="599">
        <f>'Sources and Uses Budget'!S64</f>
        <v>65000</v>
      </c>
      <c r="F63" s="600"/>
      <c r="G63" s="600">
        <f>E63</f>
        <v>65000</v>
      </c>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Partnership Legal / Other</v>
      </c>
      <c r="B67" s="599">
        <f>'Sources and Uses Budget'!C68</f>
        <v>125000</v>
      </c>
      <c r="C67" s="600"/>
      <c r="D67" s="600">
        <f>B67</f>
        <v>125000</v>
      </c>
      <c r="E67" s="599">
        <f>'Sources and Uses Budget'!S68</f>
        <v>106250</v>
      </c>
      <c r="F67" s="600"/>
      <c r="G67" s="600">
        <f>E67</f>
        <v>106250</v>
      </c>
      <c r="H67" s="599">
        <f>'Sources and Uses Budget'!T68</f>
        <v>0</v>
      </c>
      <c r="I67" s="600"/>
      <c r="J67" s="600"/>
      <c r="K67" s="594"/>
    </row>
    <row r="68" spans="1:11" s="253" customFormat="1">
      <c r="A68" s="243" t="s">
        <v>2057</v>
      </c>
      <c r="B68" s="599">
        <f>'Sources and Uses Budget'!C69</f>
        <v>215000</v>
      </c>
      <c r="C68" s="599">
        <f>SUM(C62:C67)</f>
        <v>0</v>
      </c>
      <c r="D68" s="599">
        <f>SUM(D62:D67)</f>
        <v>215000</v>
      </c>
      <c r="E68" s="599">
        <f>'Sources and Uses Budget'!S69</f>
        <v>171250</v>
      </c>
      <c r="F68" s="602">
        <f>SUM(F63:F67)</f>
        <v>0</v>
      </c>
      <c r="G68" s="602">
        <f>SUM(G63:G67)</f>
        <v>171250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208112</v>
      </c>
      <c r="C73" s="600"/>
      <c r="D73" s="600">
        <f>B73</f>
        <v>208112</v>
      </c>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208112</v>
      </c>
      <c r="C75" s="599">
        <f>SUM(C70:C74)</f>
        <v>0</v>
      </c>
      <c r="D75" s="599">
        <f>SUM(D70:D74)</f>
        <v>208112</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1076307.55386907</v>
      </c>
      <c r="C77" s="600"/>
      <c r="D77" s="600">
        <f>B77</f>
        <v>1076307.55386907</v>
      </c>
      <c r="E77" s="599">
        <f>'Sources and Uses Budget'!S78</f>
        <v>1076307.55386907</v>
      </c>
      <c r="F77" s="600"/>
      <c r="G77" s="600">
        <f>E77</f>
        <v>1076307.55386907</v>
      </c>
      <c r="H77" s="599">
        <f>'Sources and Uses Budget'!T78</f>
        <v>0</v>
      </c>
      <c r="I77" s="600"/>
      <c r="J77" s="600"/>
      <c r="K77" s="594"/>
    </row>
    <row r="78" spans="1:11" s="253" customFormat="1">
      <c r="A78" s="239" t="s">
        <v>569</v>
      </c>
      <c r="B78" s="599">
        <f>'Sources and Uses Budget'!C79</f>
        <v>250000</v>
      </c>
      <c r="C78" s="600"/>
      <c r="D78" s="600">
        <f>B78</f>
        <v>250000</v>
      </c>
      <c r="E78" s="599">
        <f>'Sources and Uses Budget'!S79</f>
        <v>237500</v>
      </c>
      <c r="F78" s="600"/>
      <c r="G78" s="600">
        <f>E78</f>
        <v>237500</v>
      </c>
      <c r="H78" s="599">
        <f>'Sources and Uses Budget'!T79</f>
        <v>0</v>
      </c>
      <c r="I78" s="600"/>
      <c r="J78" s="600"/>
      <c r="K78" s="594"/>
    </row>
    <row r="79" spans="1:11" s="253" customFormat="1">
      <c r="A79" s="243" t="s">
        <v>1819</v>
      </c>
      <c r="B79" s="599">
        <f>'Sources and Uses Budget'!C80</f>
        <v>1326307.55386907</v>
      </c>
      <c r="C79" s="682">
        <f>SUM(C77:C78)</f>
        <v>0</v>
      </c>
      <c r="D79" s="682">
        <f>SUM(D77:D78)</f>
        <v>1326307.55386907</v>
      </c>
      <c r="E79" s="599">
        <f>'Sources and Uses Budget'!S80</f>
        <v>1313807.55386907</v>
      </c>
      <c r="F79" s="682">
        <f>SUM(F77:F78)</f>
        <v>0</v>
      </c>
      <c r="G79" s="682">
        <f>SUM(G77:G78)</f>
        <v>1313807.55386907</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2240</v>
      </c>
      <c r="B81" s="599">
        <f>'Sources and Uses Budget'!C82</f>
        <v>127010</v>
      </c>
      <c r="C81" s="600"/>
      <c r="D81" s="600">
        <f>B81</f>
        <v>127010</v>
      </c>
      <c r="E81" s="601"/>
      <c r="F81" s="601"/>
      <c r="G81" s="601"/>
      <c r="H81" s="601"/>
      <c r="I81" s="601"/>
      <c r="J81" s="601"/>
      <c r="K81" s="594"/>
    </row>
    <row r="82" spans="1:11" s="253" customFormat="1">
      <c r="A82" s="239" t="s">
        <v>547</v>
      </c>
      <c r="B82" s="599">
        <f>'Sources and Uses Budget'!C83</f>
        <v>19600</v>
      </c>
      <c r="C82" s="600"/>
      <c r="D82" s="600">
        <f>B82</f>
        <v>19600</v>
      </c>
      <c r="E82" s="599">
        <f>'Sources and Uses Budget'!S83</f>
        <v>19600</v>
      </c>
      <c r="F82" s="600"/>
      <c r="G82" s="600">
        <f>E82</f>
        <v>19600</v>
      </c>
      <c r="H82" s="599">
        <f>'Sources and Uses Budget'!T83</f>
        <v>0</v>
      </c>
      <c r="I82" s="600"/>
      <c r="J82" s="600"/>
      <c r="K82" s="594"/>
    </row>
    <row r="83" spans="1:11" s="253" customFormat="1">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c r="A84" s="239" t="s">
        <v>549</v>
      </c>
      <c r="B84" s="599">
        <f>'Sources and Uses Budget'!C85</f>
        <v>1098000</v>
      </c>
      <c r="C84" s="600"/>
      <c r="D84" s="600">
        <f>B84</f>
        <v>1098000</v>
      </c>
      <c r="E84" s="599">
        <f>'Sources and Uses Budget'!S85</f>
        <v>1098000</v>
      </c>
      <c r="F84" s="600"/>
      <c r="G84" s="600">
        <f>E84</f>
        <v>1098000</v>
      </c>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95000</v>
      </c>
      <c r="C86" s="600"/>
      <c r="D86" s="600">
        <f>B86</f>
        <v>95000</v>
      </c>
      <c r="E86" s="601"/>
      <c r="F86" s="601"/>
      <c r="G86" s="601"/>
      <c r="H86" s="601"/>
      <c r="I86" s="601"/>
      <c r="J86" s="601"/>
      <c r="K86" s="594"/>
    </row>
    <row r="87" spans="1:11" s="253" customFormat="1">
      <c r="A87" s="239" t="s">
        <v>552</v>
      </c>
      <c r="B87" s="599">
        <f>'Sources and Uses Budget'!C88</f>
        <v>175000</v>
      </c>
      <c r="C87" s="600"/>
      <c r="D87" s="600">
        <f t="shared" ref="D87:D89" si="6">B87</f>
        <v>175000</v>
      </c>
      <c r="E87" s="599">
        <f>'Sources and Uses Budget'!S88</f>
        <v>175000</v>
      </c>
      <c r="F87" s="600"/>
      <c r="G87" s="600">
        <f>E87</f>
        <v>175000</v>
      </c>
      <c r="H87" s="599">
        <f>'Sources and Uses Budget'!T88</f>
        <v>0</v>
      </c>
      <c r="I87" s="600"/>
      <c r="J87" s="600"/>
      <c r="K87" s="594"/>
    </row>
    <row r="88" spans="1:11" s="253" customFormat="1">
      <c r="A88" s="239" t="s">
        <v>553</v>
      </c>
      <c r="B88" s="599">
        <f>'Sources and Uses Budget'!C89</f>
        <v>7000</v>
      </c>
      <c r="C88" s="600"/>
      <c r="D88" s="600">
        <f t="shared" si="6"/>
        <v>7000</v>
      </c>
      <c r="E88" s="599">
        <f>'Sources and Uses Budget'!S89</f>
        <v>7000</v>
      </c>
      <c r="F88" s="600"/>
      <c r="G88" s="600">
        <f t="shared" ref="G88:G89" si="7">E88</f>
        <v>7000</v>
      </c>
      <c r="H88" s="599">
        <f>'Sources and Uses Budget'!T89</f>
        <v>0</v>
      </c>
      <c r="I88" s="600"/>
      <c r="J88" s="600"/>
      <c r="K88" s="594"/>
    </row>
    <row r="89" spans="1:11" s="253" customFormat="1">
      <c r="A89" s="239" t="s">
        <v>1368</v>
      </c>
      <c r="B89" s="599">
        <f>'Sources and Uses Budget'!C90</f>
        <v>135000</v>
      </c>
      <c r="C89" s="600"/>
      <c r="D89" s="600">
        <f t="shared" si="6"/>
        <v>135000</v>
      </c>
      <c r="E89" s="599">
        <f>'Sources and Uses Budget'!S90</f>
        <v>40000</v>
      </c>
      <c r="F89" s="600"/>
      <c r="G89" s="600">
        <f t="shared" si="7"/>
        <v>40000</v>
      </c>
      <c r="H89" s="599">
        <f>'Sources and Uses Budget'!T90</f>
        <v>0</v>
      </c>
      <c r="I89" s="600"/>
      <c r="J89" s="600"/>
      <c r="K89" s="594"/>
    </row>
    <row r="90" spans="1:11" s="253" customFormat="1">
      <c r="A90" s="239" t="s">
        <v>1817</v>
      </c>
      <c r="B90" s="599">
        <f>'Sources and Uses Budget'!C91</f>
        <v>0</v>
      </c>
      <c r="C90" s="600"/>
      <c r="D90" s="600"/>
      <c r="E90" s="599">
        <f>'Sources and Uses Budget'!S91</f>
        <v>0</v>
      </c>
      <c r="F90" s="600"/>
      <c r="G90" s="600"/>
      <c r="H90" s="599">
        <f>'Sources and Uses Budget'!T91</f>
        <v>0</v>
      </c>
      <c r="I90" s="600"/>
      <c r="J90" s="600"/>
      <c r="K90" s="594"/>
    </row>
    <row r="91" spans="1:11" s="253" customFormat="1">
      <c r="A91" s="239" t="str">
        <f>'Sources and Uses Budget'!$A92</f>
        <v xml:space="preserve"> Misc City/County/Other fees</v>
      </c>
      <c r="B91" s="599">
        <f>'Sources and Uses Budget'!C92</f>
        <v>1200</v>
      </c>
      <c r="C91" s="600"/>
      <c r="D91" s="600">
        <f>B91</f>
        <v>1200</v>
      </c>
      <c r="E91" s="599">
        <f>'Sources and Uses Budget'!S92</f>
        <v>0</v>
      </c>
      <c r="F91" s="600"/>
      <c r="G91" s="600"/>
      <c r="H91" s="599">
        <f>'Sources and Uses Budget'!T92</f>
        <v>0</v>
      </c>
      <c r="I91" s="600"/>
      <c r="J91" s="600"/>
      <c r="K91" s="594"/>
    </row>
    <row r="92" spans="1:11" s="253" customFormat="1">
      <c r="A92" s="239" t="str">
        <f>'Sources and Uses Budget'!$A93</f>
        <v>Organizational Costs</v>
      </c>
      <c r="B92" s="599">
        <f>'Sources and Uses Budget'!C93</f>
        <v>6000</v>
      </c>
      <c r="C92" s="600"/>
      <c r="D92" s="600">
        <f t="shared" ref="D92:D93" si="8">B92</f>
        <v>6000</v>
      </c>
      <c r="E92" s="599">
        <f>'Sources and Uses Budget'!S93</f>
        <v>0</v>
      </c>
      <c r="F92" s="600"/>
      <c r="G92" s="600">
        <f>E92</f>
        <v>0</v>
      </c>
      <c r="H92" s="599">
        <f>'Sources and Uses Budget'!T93</f>
        <v>0</v>
      </c>
      <c r="I92" s="600"/>
      <c r="J92" s="600"/>
      <c r="K92" s="594"/>
    </row>
    <row r="93" spans="1:11" s="253" customFormat="1">
      <c r="A93" s="239" t="str">
        <f>'Sources and Uses Budget'!$A94</f>
        <v>Utility Connectons/Deposits</v>
      </c>
      <c r="B93" s="599">
        <f>'Sources and Uses Budget'!C94</f>
        <v>285000</v>
      </c>
      <c r="C93" s="600"/>
      <c r="D93" s="600">
        <f t="shared" si="8"/>
        <v>285000</v>
      </c>
      <c r="E93" s="599">
        <f>'Sources and Uses Budget'!S94</f>
        <v>285000</v>
      </c>
      <c r="F93" s="600"/>
      <c r="G93" s="600">
        <f>E93</f>
        <v>285000</v>
      </c>
      <c r="H93" s="599">
        <f>'Sources and Uses Budget'!T94</f>
        <v>0</v>
      </c>
      <c r="I93" s="600"/>
      <c r="J93" s="600"/>
      <c r="K93" s="594"/>
    </row>
    <row r="94" spans="1:11" s="253" customFormat="1">
      <c r="A94" s="243" t="s">
        <v>554</v>
      </c>
      <c r="B94" s="599">
        <f>'Sources and Uses Budget'!C95</f>
        <v>1948810</v>
      </c>
      <c r="C94" s="599">
        <f>SUM(C81:C93)</f>
        <v>0</v>
      </c>
      <c r="D94" s="599">
        <f>SUM(D81:D93)</f>
        <v>1948810</v>
      </c>
      <c r="E94" s="599">
        <f>'Sources and Uses Budget'!S95</f>
        <v>1624600</v>
      </c>
      <c r="F94" s="602">
        <f>SUM(F82:F85,F87:F93)</f>
        <v>0</v>
      </c>
      <c r="G94" s="602">
        <f>SUM(G82:G85,G87:G93)</f>
        <v>1624600</v>
      </c>
      <c r="H94" s="599">
        <f>'Sources and Uses Budget'!T95</f>
        <v>0</v>
      </c>
      <c r="I94" s="599">
        <f>SUM(I82:I85,I87:I93)</f>
        <v>0</v>
      </c>
      <c r="J94" s="599">
        <f>SUM(J82:J85,J87:J93)</f>
        <v>0</v>
      </c>
      <c r="K94" s="594"/>
    </row>
    <row r="95" spans="1:11" s="253" customFormat="1">
      <c r="A95" s="243" t="s">
        <v>1419</v>
      </c>
      <c r="B95" s="599">
        <f>'Sources and Uses Budget'!C96</f>
        <v>36611963.709028274</v>
      </c>
      <c r="C95" s="599">
        <f>SUM(C61+C68+C75+C79+C94)</f>
        <v>0</v>
      </c>
      <c r="D95" s="599">
        <f>SUM(D61+D68+D75+D79+D94)</f>
        <v>36611963.709028274</v>
      </c>
      <c r="E95" s="599">
        <f>'Sources and Uses Budget'!S96</f>
        <v>29370687.64919921</v>
      </c>
      <c r="F95" s="602">
        <f>SUM(+F61+F68+F79+F94)</f>
        <v>0</v>
      </c>
      <c r="G95" s="602">
        <f>SUM(+G61+G68+G79+G94)</f>
        <v>29370687.64919921</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f>B97</f>
        <v>2200000</v>
      </c>
      <c r="E97" s="599">
        <f>'Sources and Uses Budget'!S98</f>
        <v>2200000</v>
      </c>
      <c r="F97" s="600"/>
      <c r="G97" s="600">
        <f>E97</f>
        <v>2200000</v>
      </c>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2200000</v>
      </c>
      <c r="E102" s="599">
        <f>'Sources and Uses Budget'!S103</f>
        <v>2200000</v>
      </c>
      <c r="F102" s="602">
        <f>SUM(F97:F101)</f>
        <v>0</v>
      </c>
      <c r="G102" s="602">
        <f>SUM(G97:G101)</f>
        <v>2200000</v>
      </c>
      <c r="H102" s="599">
        <f>'Sources and Uses Budget'!T103</f>
        <v>0</v>
      </c>
      <c r="I102" s="602">
        <f>SUM(I97:I101)</f>
        <v>0</v>
      </c>
      <c r="J102" s="602">
        <f>SUM(J97:J101)</f>
        <v>0</v>
      </c>
      <c r="K102" s="594"/>
    </row>
    <row r="103" spans="1:11" s="253" customFormat="1">
      <c r="A103" s="243" t="s">
        <v>1420</v>
      </c>
      <c r="B103" s="599">
        <f>'Sources and Uses Budget'!C104</f>
        <v>38811963.709028274</v>
      </c>
      <c r="C103" s="602">
        <f>SUM(C95+C102)</f>
        <v>0</v>
      </c>
      <c r="D103" s="602">
        <f>SUM(D95+D102)</f>
        <v>38811963.709028274</v>
      </c>
      <c r="E103" s="599">
        <f>'Sources and Uses Budget'!S104</f>
        <v>31570687.64919921</v>
      </c>
      <c r="F103" s="602">
        <f>F95+F102</f>
        <v>0</v>
      </c>
      <c r="G103" s="602">
        <f>G95+G102</f>
        <v>31570687.64919921</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31570687.64919921</v>
      </c>
      <c r="F105" s="602">
        <f>F103+F104</f>
        <v>0</v>
      </c>
      <c r="G105" s="602">
        <f>G103+G104</f>
        <v>31570687.64919921</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abSelected="1" topLeftCell="A275" zoomScale="110" zoomScaleNormal="110" workbookViewId="0">
      <selection activeCell="AA309" sqref="AA309:AK30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8" t="s">
        <v>887</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row>
    <row r="2" spans="1:42" s="5" customFormat="1" ht="12.7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8" t="s">
        <v>389</v>
      </c>
      <c r="AF4" s="1818"/>
      <c r="AG4" s="1818"/>
      <c r="AH4" s="1818"/>
      <c r="AI4" s="1818"/>
      <c r="AJ4" s="1818"/>
      <c r="AK4" s="1818"/>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14" t="s">
        <v>895</v>
      </c>
      <c r="AG6" s="1714"/>
      <c r="AH6" s="1714"/>
      <c r="AI6" s="1714"/>
      <c r="AJ6" s="1714"/>
      <c r="AK6" s="1714"/>
      <c r="AL6" s="1714"/>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4" t="s">
        <v>2470</v>
      </c>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14" t="s">
        <v>1296</v>
      </c>
      <c r="C11" s="1814"/>
      <c r="D11" s="1814"/>
      <c r="E11" s="1814"/>
      <c r="F11" s="1814"/>
      <c r="G11" s="1814"/>
      <c r="H11" s="1814"/>
      <c r="I11" s="1814"/>
      <c r="J11" s="1814"/>
      <c r="K11" s="1814"/>
      <c r="L11" s="1814"/>
      <c r="M11" s="1814"/>
      <c r="N11" s="1814"/>
      <c r="O11" s="1814"/>
      <c r="P11" s="1814"/>
      <c r="Q11" s="1814"/>
      <c r="R11" s="1814"/>
      <c r="S11" s="1814"/>
      <c r="T11" s="1814"/>
      <c r="U11" s="1814"/>
      <c r="V11" s="1814"/>
      <c r="W11" s="1814"/>
      <c r="X11" s="1814"/>
      <c r="Y11" s="1814"/>
      <c r="Z11" s="1814"/>
      <c r="AA11" s="1814"/>
      <c r="AB11" s="1814"/>
      <c r="AC11" s="1814"/>
      <c r="AD11" s="1814"/>
      <c r="AE11" s="1814"/>
      <c r="AF11" s="1814"/>
      <c r="AG11" s="1814"/>
      <c r="AH11" s="1814"/>
      <c r="AI11" s="1814"/>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5" t="s">
        <v>132</v>
      </c>
      <c r="AC13" s="1815"/>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14" t="s">
        <v>1166</v>
      </c>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Z16" s="1814"/>
      <c r="AA16" s="1814"/>
      <c r="AB16" s="1814"/>
      <c r="AC16" s="1814"/>
      <c r="AD16" s="1814"/>
      <c r="AE16" s="1814"/>
      <c r="AF16" s="1814"/>
      <c r="AG16" s="1814"/>
      <c r="AH16" s="1814"/>
      <c r="AI16" s="1814"/>
      <c r="AJ16" s="1814"/>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2" t="s">
        <v>2343</v>
      </c>
      <c r="C20" s="1652"/>
      <c r="D20" s="1652"/>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03"/>
      <c r="AM20" s="27"/>
      <c r="AN20" s="685"/>
    </row>
    <row r="21" spans="1:42" s="5" customFormat="1" ht="12.75" customHeight="1">
      <c r="A21" s="27"/>
      <c r="B21" s="1652"/>
      <c r="C21" s="1652"/>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03"/>
      <c r="AM21" s="27"/>
      <c r="AN21" s="685"/>
      <c r="AP21" s="341"/>
    </row>
    <row r="22" spans="1:42" s="5" customFormat="1" ht="12.75" customHeight="1">
      <c r="A22" s="27"/>
      <c r="B22" s="1652"/>
      <c r="C22" s="1652"/>
      <c r="D22" s="1652"/>
      <c r="E22" s="1652"/>
      <c r="F22" s="1652"/>
      <c r="G22" s="1652"/>
      <c r="H22" s="1652"/>
      <c r="I22" s="1652"/>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03"/>
      <c r="AM22" s="27"/>
      <c r="AN22" s="685"/>
    </row>
    <row r="23" spans="1:42" s="4" customFormat="1" ht="12.75" customHeight="1">
      <c r="A23" s="27"/>
      <c r="B23" s="1652"/>
      <c r="C23" s="1652"/>
      <c r="D23" s="1652"/>
      <c r="E23" s="1652"/>
      <c r="F23" s="1652"/>
      <c r="G23" s="1652"/>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03"/>
      <c r="AM23" s="27"/>
      <c r="AN23" s="281"/>
    </row>
    <row r="24" spans="1:42" s="4" customFormat="1" ht="12.75" customHeight="1">
      <c r="A24" s="27"/>
      <c r="B24" s="1652"/>
      <c r="C24" s="1652"/>
      <c r="D24" s="1652"/>
      <c r="E24" s="1652"/>
      <c r="F24" s="1652"/>
      <c r="G24" s="1652"/>
      <c r="H24" s="1652"/>
      <c r="I24" s="1652"/>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03"/>
      <c r="AM24" s="27"/>
      <c r="AN24" s="687"/>
      <c r="AO24" s="91"/>
    </row>
    <row r="25" spans="1:42" s="4" customFormat="1" ht="12.75" customHeight="1">
      <c r="A25" s="27"/>
      <c r="B25" s="1652"/>
      <c r="C25" s="1652"/>
      <c r="D25" s="1652"/>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c r="AK25" s="1652"/>
      <c r="AL25" s="103"/>
      <c r="AM25" s="27"/>
      <c r="AN25" s="687"/>
    </row>
    <row r="26" spans="1:42" s="4" customFormat="1" ht="12.75" customHeight="1">
      <c r="A26" s="27"/>
      <c r="B26" s="1652"/>
      <c r="C26" s="1652"/>
      <c r="D26" s="1652"/>
      <c r="E26" s="1652"/>
      <c r="F26" s="1652"/>
      <c r="G26" s="1652"/>
      <c r="H26" s="1652"/>
      <c r="I26" s="1652"/>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c r="AK26" s="1652"/>
      <c r="AL26" s="103"/>
      <c r="AM26" s="27"/>
      <c r="AN26" s="281"/>
    </row>
    <row r="27" spans="1:42" s="4" customFormat="1" ht="12.75" customHeight="1">
      <c r="A27" s="27"/>
      <c r="B27" s="1652"/>
      <c r="C27" s="1652"/>
      <c r="D27" s="1652"/>
      <c r="E27" s="1652"/>
      <c r="F27" s="1652"/>
      <c r="G27" s="1652"/>
      <c r="H27" s="1652"/>
      <c r="I27" s="1652"/>
      <c r="J27" s="1652"/>
      <c r="K27" s="1652"/>
      <c r="L27" s="1652"/>
      <c r="M27" s="1652"/>
      <c r="N27" s="1652"/>
      <c r="O27" s="1652"/>
      <c r="P27" s="1652"/>
      <c r="Q27" s="1652"/>
      <c r="R27" s="1652"/>
      <c r="S27" s="1652"/>
      <c r="T27" s="1652"/>
      <c r="U27" s="1652"/>
      <c r="V27" s="1652"/>
      <c r="W27" s="1652"/>
      <c r="X27" s="1652"/>
      <c r="Y27" s="1652"/>
      <c r="Z27" s="1652"/>
      <c r="AA27" s="1652"/>
      <c r="AB27" s="1652"/>
      <c r="AC27" s="1652"/>
      <c r="AD27" s="1652"/>
      <c r="AE27" s="1652"/>
      <c r="AF27" s="1652"/>
      <c r="AG27" s="1652"/>
      <c r="AH27" s="1652"/>
      <c r="AI27" s="1652"/>
      <c r="AJ27" s="1652"/>
      <c r="AK27" s="1652"/>
      <c r="AL27" s="103"/>
      <c r="AM27" s="27"/>
      <c r="AN27" s="629"/>
    </row>
    <row r="28" spans="1:42" s="4" customFormat="1" ht="12.75" customHeight="1">
      <c r="A28" s="27"/>
      <c r="B28" s="1652"/>
      <c r="C28" s="1652"/>
      <c r="D28" s="1652"/>
      <c r="E28" s="1652"/>
      <c r="F28" s="1652"/>
      <c r="G28" s="1652"/>
      <c r="H28" s="1652"/>
      <c r="I28" s="1652"/>
      <c r="J28" s="1652"/>
      <c r="K28" s="1652"/>
      <c r="L28" s="1652"/>
      <c r="M28" s="1652"/>
      <c r="N28" s="1652"/>
      <c r="O28" s="1652"/>
      <c r="P28" s="1652"/>
      <c r="Q28" s="1652"/>
      <c r="R28" s="1652"/>
      <c r="S28" s="1652"/>
      <c r="T28" s="1652"/>
      <c r="U28" s="1652"/>
      <c r="V28" s="1652"/>
      <c r="W28" s="1652"/>
      <c r="X28" s="1652"/>
      <c r="Y28" s="1652"/>
      <c r="Z28" s="1652"/>
      <c r="AA28" s="1652"/>
      <c r="AB28" s="1652"/>
      <c r="AC28" s="1652"/>
      <c r="AD28" s="1652"/>
      <c r="AE28" s="1652"/>
      <c r="AF28" s="1652"/>
      <c r="AG28" s="1652"/>
      <c r="AH28" s="1652"/>
      <c r="AI28" s="1652"/>
      <c r="AJ28" s="1652"/>
      <c r="AK28" s="1652"/>
      <c r="AL28" s="103"/>
      <c r="AM28" s="27"/>
      <c r="AN28" s="629"/>
    </row>
    <row r="29" spans="1:42" s="4" customFormat="1" ht="31.7" customHeight="1">
      <c r="A29" s="27"/>
      <c r="B29" s="1652"/>
      <c r="C29" s="1652"/>
      <c r="D29" s="1652"/>
      <c r="E29" s="1652"/>
      <c r="F29" s="1652"/>
      <c r="G29" s="1652"/>
      <c r="H29" s="1652"/>
      <c r="I29" s="1652"/>
      <c r="J29" s="1652"/>
      <c r="K29" s="1652"/>
      <c r="L29" s="1652"/>
      <c r="M29" s="1652"/>
      <c r="N29" s="1652"/>
      <c r="O29" s="1652"/>
      <c r="P29" s="1652"/>
      <c r="Q29" s="1652"/>
      <c r="R29" s="1652"/>
      <c r="S29" s="1652"/>
      <c r="T29" s="1652"/>
      <c r="U29" s="1652"/>
      <c r="V29" s="1652"/>
      <c r="W29" s="1652"/>
      <c r="X29" s="1652"/>
      <c r="Y29" s="1652"/>
      <c r="Z29" s="1652"/>
      <c r="AA29" s="1652"/>
      <c r="AB29" s="1652"/>
      <c r="AC29" s="1652"/>
      <c r="AD29" s="1652"/>
      <c r="AE29" s="1652"/>
      <c r="AF29" s="1652"/>
      <c r="AG29" s="1652"/>
      <c r="AH29" s="1652"/>
      <c r="AI29" s="1652"/>
      <c r="AJ29" s="1652"/>
      <c r="AK29" s="1652"/>
      <c r="AL29" s="103"/>
      <c r="AM29" s="27"/>
      <c r="AN29" s="629"/>
      <c r="AO29" s="365" t="s">
        <v>84</v>
      </c>
      <c r="AP29" s="365"/>
    </row>
    <row r="30" spans="1:42" s="4" customFormat="1" ht="12.75" customHeight="1">
      <c r="A30" s="5"/>
      <c r="B30" s="1821"/>
      <c r="C30" s="1821"/>
      <c r="D30" s="1821"/>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71">
        <f>IF((AND(AND(OR(Application!D211="Nonprofit (qualified nonprofit organization)",Application!D211="Nonprofit (homeless assistance)",Application!D211="Special Needs/SRO"),Application!D214="Special Needs"),$AB$13="N/A")),VLOOKUP($B$16,$AO$14:$AP$16,2,FALSE),VLOOKUP($B$11,$AO$9:$AP$11,2,FALSE))</f>
        <v>7</v>
      </c>
      <c r="AK31" s="1671"/>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4" t="s">
        <v>65</v>
      </c>
      <c r="AG33" s="1714"/>
      <c r="AH33" s="1714"/>
      <c r="AI33" s="1714"/>
      <c r="AJ33" s="1714"/>
      <c r="AK33" s="1714"/>
      <c r="AL33" s="1714"/>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14" t="s">
        <v>1300</v>
      </c>
      <c r="D35" s="1814"/>
      <c r="E35" s="1814"/>
      <c r="F35" s="1814"/>
      <c r="G35" s="1814"/>
      <c r="H35" s="1814"/>
      <c r="I35" s="1814"/>
      <c r="J35" s="1814"/>
      <c r="K35" s="1814"/>
      <c r="L35" s="1814"/>
      <c r="M35" s="1814"/>
      <c r="N35" s="1814"/>
      <c r="O35" s="1814"/>
      <c r="P35" s="1814"/>
      <c r="Q35" s="1814"/>
      <c r="R35" s="1814"/>
      <c r="S35" s="1814"/>
      <c r="T35" s="1814"/>
      <c r="U35" s="1814"/>
      <c r="V35" s="1814"/>
      <c r="W35" s="1814"/>
      <c r="X35" s="1814"/>
      <c r="Y35" s="1814"/>
      <c r="Z35" s="1814"/>
      <c r="AA35" s="1814"/>
      <c r="AB35" s="1814"/>
      <c r="AC35" s="1814"/>
      <c r="AD35" s="1814"/>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5" t="s">
        <v>132</v>
      </c>
      <c r="AD37" s="1815"/>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4" t="s">
        <v>1166</v>
      </c>
      <c r="D40" s="1814"/>
      <c r="E40" s="1814"/>
      <c r="F40" s="1814"/>
      <c r="G40" s="1814"/>
      <c r="H40" s="1814"/>
      <c r="I40" s="1814"/>
      <c r="J40" s="1814"/>
      <c r="K40" s="1814"/>
      <c r="L40" s="1814"/>
      <c r="M40" s="1814"/>
      <c r="N40" s="1814"/>
      <c r="O40" s="1814"/>
      <c r="P40" s="1814"/>
      <c r="Q40" s="1814"/>
      <c r="R40" s="1814"/>
      <c r="S40" s="1814"/>
      <c r="T40" s="1814"/>
      <c r="U40" s="1814"/>
      <c r="V40" s="1814"/>
      <c r="W40" s="1814"/>
      <c r="X40" s="1814"/>
      <c r="Y40" s="1814"/>
      <c r="Z40" s="1814"/>
      <c r="AA40" s="1814"/>
      <c r="AB40" s="1814"/>
      <c r="AC40" s="1814"/>
      <c r="AD40" s="1814"/>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4" t="s">
        <v>2471</v>
      </c>
      <c r="D45" s="1814"/>
      <c r="E45" s="1814"/>
      <c r="F45" s="1814"/>
      <c r="G45" s="1814"/>
      <c r="H45" s="1814"/>
      <c r="I45" s="1814"/>
      <c r="J45" s="1814"/>
      <c r="K45" s="1814"/>
      <c r="L45" s="1814"/>
      <c r="M45" s="1814"/>
      <c r="N45" s="1814"/>
      <c r="O45" s="1814"/>
      <c r="P45" s="1814"/>
      <c r="Q45" s="1814"/>
      <c r="R45" s="1814"/>
      <c r="S45" s="1814"/>
      <c r="T45" s="1814"/>
      <c r="U45" s="1814"/>
      <c r="V45" s="1814"/>
      <c r="W45" s="1814"/>
      <c r="X45" s="1814"/>
      <c r="Y45" s="1814"/>
      <c r="Z45" s="1814"/>
      <c r="AA45" s="1814"/>
      <c r="AB45" s="1814"/>
      <c r="AC45" s="1814"/>
      <c r="AD45" s="1814"/>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6">
        <f>IF((AND(AND(OR(Application!D211="Nonprofit (qualified nonprofit organization)",Application!D211="Nonprofit (homeless assistance)",Application!D211="Special Needs/SRO"),Application!D214="Special Needs"),$AC$37="N/A")),VLOOKUP($C$40,$AO$35:$AP$37,2,FALSE),VLOOKUP($C$35,$AO$29:$AP$32,2,FALSE))</f>
        <v>3</v>
      </c>
      <c r="AK47" s="1766"/>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52" t="s">
        <v>1539</v>
      </c>
      <c r="C49" s="1652"/>
      <c r="D49" s="1652"/>
      <c r="E49" s="1652"/>
      <c r="F49" s="1652"/>
      <c r="G49" s="1652"/>
      <c r="H49" s="1652"/>
      <c r="I49" s="1652"/>
      <c r="J49" s="1652"/>
      <c r="K49" s="1652"/>
      <c r="L49" s="1652"/>
      <c r="M49" s="1652"/>
      <c r="N49" s="1652"/>
      <c r="O49" s="1652"/>
      <c r="P49" s="1652"/>
      <c r="Q49" s="1652"/>
      <c r="R49" s="1652"/>
      <c r="S49" s="1652"/>
      <c r="T49" s="1652"/>
      <c r="U49" s="1652"/>
      <c r="V49" s="1652"/>
      <c r="W49" s="1652"/>
      <c r="X49" s="1652"/>
      <c r="Y49" s="1652"/>
      <c r="Z49" s="1652"/>
      <c r="AA49" s="1652"/>
      <c r="AB49" s="1652"/>
      <c r="AC49" s="1652"/>
      <c r="AD49" s="1652"/>
      <c r="AE49" s="1652"/>
      <c r="AF49" s="1652"/>
      <c r="AG49" s="1652"/>
      <c r="AH49" s="1652"/>
      <c r="AI49" s="1652"/>
      <c r="AJ49" s="1652"/>
      <c r="AK49" s="1652"/>
      <c r="AL49" s="103"/>
      <c r="AM49" s="27"/>
      <c r="AN49" s="281"/>
      <c r="AP49" s="4" t="s">
        <v>595</v>
      </c>
      <c r="AQ49" s="4">
        <v>10</v>
      </c>
    </row>
    <row r="50" spans="1:43" s="4" customFormat="1" ht="12.75" customHeight="1">
      <c r="A50" s="26"/>
      <c r="B50" s="1652"/>
      <c r="C50" s="1652"/>
      <c r="D50" s="1652"/>
      <c r="E50" s="1652"/>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1652"/>
      <c r="AB50" s="1652"/>
      <c r="AC50" s="1652"/>
      <c r="AD50" s="1652"/>
      <c r="AE50" s="1652"/>
      <c r="AF50" s="1652"/>
      <c r="AG50" s="1652"/>
      <c r="AH50" s="1652"/>
      <c r="AI50" s="1652"/>
      <c r="AJ50" s="1652"/>
      <c r="AK50" s="1652"/>
      <c r="AL50" s="103"/>
      <c r="AM50" s="27"/>
      <c r="AN50" s="281"/>
      <c r="AP50" s="4" t="s">
        <v>651</v>
      </c>
      <c r="AQ50" s="4">
        <v>10</v>
      </c>
    </row>
    <row r="51" spans="1:43" s="4" customFormat="1" ht="12.75" customHeight="1">
      <c r="A51" s="26"/>
      <c r="B51" s="1652"/>
      <c r="C51" s="1652"/>
      <c r="D51" s="1652"/>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c r="AH51" s="1652"/>
      <c r="AI51" s="1652"/>
      <c r="AJ51" s="1652"/>
      <c r="AK51" s="1652"/>
      <c r="AL51" s="103"/>
      <c r="AM51" s="27"/>
      <c r="AN51" s="281"/>
    </row>
    <row r="52" spans="1:43" s="4" customFormat="1" ht="12.75" customHeight="1">
      <c r="A52" s="26"/>
      <c r="B52" s="1652"/>
      <c r="C52" s="1652"/>
      <c r="D52" s="1652"/>
      <c r="E52" s="1652"/>
      <c r="F52" s="1652"/>
      <c r="G52" s="1652"/>
      <c r="H52" s="1652"/>
      <c r="I52" s="1652"/>
      <c r="J52" s="1652"/>
      <c r="K52" s="1652"/>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652"/>
      <c r="AL52" s="103"/>
      <c r="AM52" s="27"/>
      <c r="AN52" s="281"/>
    </row>
    <row r="53" spans="1:43" s="4" customFormat="1" ht="12.75" customHeight="1">
      <c r="A53" s="26"/>
      <c r="B53" s="1652"/>
      <c r="C53" s="1652"/>
      <c r="D53" s="1652"/>
      <c r="E53" s="1652"/>
      <c r="F53" s="1652"/>
      <c r="G53" s="1652"/>
      <c r="H53" s="1652"/>
      <c r="I53" s="1652"/>
      <c r="J53" s="1652"/>
      <c r="K53" s="1652"/>
      <c r="L53" s="1652"/>
      <c r="M53" s="1652"/>
      <c r="N53" s="1652"/>
      <c r="O53" s="165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652"/>
      <c r="AL53" s="103"/>
      <c r="AM53" s="27"/>
      <c r="AN53" s="281"/>
    </row>
    <row r="54" spans="1:43" s="4" customFormat="1" ht="12.75" customHeight="1">
      <c r="A54" s="26"/>
      <c r="B54" s="1652"/>
      <c r="C54" s="1652"/>
      <c r="D54" s="1652"/>
      <c r="E54" s="1652"/>
      <c r="F54" s="1652"/>
      <c r="G54" s="1652"/>
      <c r="H54" s="1652"/>
      <c r="I54" s="1652"/>
      <c r="J54" s="1652"/>
      <c r="K54" s="1652"/>
      <c r="L54" s="1652"/>
      <c r="M54" s="1652"/>
      <c r="N54" s="1652"/>
      <c r="O54" s="1652"/>
      <c r="P54" s="1652"/>
      <c r="Q54" s="1652"/>
      <c r="R54" s="1652"/>
      <c r="S54" s="1652"/>
      <c r="T54" s="1652"/>
      <c r="U54" s="1652"/>
      <c r="V54" s="1652"/>
      <c r="W54" s="1652"/>
      <c r="X54" s="1652"/>
      <c r="Y54" s="1652"/>
      <c r="Z54" s="1652"/>
      <c r="AA54" s="1652"/>
      <c r="AB54" s="1652"/>
      <c r="AC54" s="1652"/>
      <c r="AD54" s="1652"/>
      <c r="AE54" s="1652"/>
      <c r="AF54" s="1652"/>
      <c r="AG54" s="1652"/>
      <c r="AH54" s="1652"/>
      <c r="AI54" s="1652"/>
      <c r="AJ54" s="1652"/>
      <c r="AK54" s="1652"/>
      <c r="AL54" s="103"/>
      <c r="AM54" s="27"/>
      <c r="AN54" s="281"/>
    </row>
    <row r="55" spans="1:43" s="4" customFormat="1" ht="33.4" customHeight="1">
      <c r="A55" s="26"/>
      <c r="B55" s="1652"/>
      <c r="C55" s="1652"/>
      <c r="D55" s="1652"/>
      <c r="E55" s="1652"/>
      <c r="F55" s="1652"/>
      <c r="G55" s="1652"/>
      <c r="H55" s="1652"/>
      <c r="I55" s="1652"/>
      <c r="J55" s="1652"/>
      <c r="K55" s="1652"/>
      <c r="L55" s="1652"/>
      <c r="M55" s="1652"/>
      <c r="N55" s="1652"/>
      <c r="O55" s="1652"/>
      <c r="P55" s="1652"/>
      <c r="Q55" s="1652"/>
      <c r="R55" s="1652"/>
      <c r="S55" s="1652"/>
      <c r="T55" s="1652"/>
      <c r="U55" s="1652"/>
      <c r="V55" s="1652"/>
      <c r="W55" s="1652"/>
      <c r="X55" s="1652"/>
      <c r="Y55" s="1652"/>
      <c r="Z55" s="1652"/>
      <c r="AA55" s="1652"/>
      <c r="AB55" s="1652"/>
      <c r="AC55" s="1652"/>
      <c r="AD55" s="1652"/>
      <c r="AE55" s="1652"/>
      <c r="AF55" s="1652"/>
      <c r="AG55" s="1652"/>
      <c r="AH55" s="1652"/>
      <c r="AI55" s="1652"/>
      <c r="AJ55" s="1652"/>
      <c r="AK55" s="165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2" t="s">
        <v>2333</v>
      </c>
      <c r="C57" s="1652"/>
      <c r="D57" s="1652"/>
      <c r="E57" s="1652"/>
      <c r="F57" s="1652"/>
      <c r="G57" s="1652"/>
      <c r="H57" s="1652"/>
      <c r="I57" s="1652"/>
      <c r="J57" s="1652"/>
      <c r="K57" s="1652"/>
      <c r="L57" s="1652"/>
      <c r="M57" s="1652"/>
      <c r="N57" s="1652"/>
      <c r="O57" s="1652"/>
      <c r="P57" s="1652"/>
      <c r="Q57" s="1652"/>
      <c r="R57" s="1652"/>
      <c r="S57" s="1652"/>
      <c r="T57" s="1652"/>
      <c r="U57" s="1652"/>
      <c r="V57" s="1652"/>
      <c r="W57" s="1652"/>
      <c r="X57" s="1652"/>
      <c r="Y57" s="1652"/>
      <c r="Z57" s="1652"/>
      <c r="AA57" s="1652"/>
      <c r="AB57" s="1652"/>
      <c r="AC57" s="1652"/>
      <c r="AD57" s="1652"/>
      <c r="AE57" s="1652"/>
      <c r="AF57" s="1652"/>
      <c r="AG57" s="1652"/>
      <c r="AH57" s="1652"/>
      <c r="AI57" s="1652"/>
      <c r="AJ57" s="1652"/>
      <c r="AK57" s="1652"/>
      <c r="AL57" s="103"/>
      <c r="AM57" s="27"/>
      <c r="AN57" s="281"/>
    </row>
    <row r="58" spans="1:43" s="4" customFormat="1" ht="12.75" customHeight="1">
      <c r="B58" s="1652"/>
      <c r="C58" s="1652"/>
      <c r="D58" s="1652"/>
      <c r="E58" s="1652"/>
      <c r="F58" s="1652"/>
      <c r="G58" s="1652"/>
      <c r="H58" s="1652"/>
      <c r="I58" s="1652"/>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1652"/>
      <c r="AH58" s="1652"/>
      <c r="AI58" s="1652"/>
      <c r="AJ58" s="1652"/>
      <c r="AK58" s="1652"/>
      <c r="AL58" s="103"/>
      <c r="AM58" s="27"/>
      <c r="AN58" s="281"/>
    </row>
    <row r="59" spans="1:43" s="4" customFormat="1" ht="22.9" customHeight="1">
      <c r="A59" s="437"/>
      <c r="B59" s="1652"/>
      <c r="C59" s="1652"/>
      <c r="D59" s="1652"/>
      <c r="E59" s="1652"/>
      <c r="F59" s="1652"/>
      <c r="G59" s="1652"/>
      <c r="H59" s="1652"/>
      <c r="I59" s="1652"/>
      <c r="J59" s="1652"/>
      <c r="K59" s="1652"/>
      <c r="L59" s="1652"/>
      <c r="M59" s="1652"/>
      <c r="N59" s="1652"/>
      <c r="O59" s="1652"/>
      <c r="P59" s="1652"/>
      <c r="Q59" s="1652"/>
      <c r="R59" s="1652"/>
      <c r="S59" s="1652"/>
      <c r="T59" s="1652"/>
      <c r="U59" s="1652"/>
      <c r="V59" s="1652"/>
      <c r="W59" s="1652"/>
      <c r="X59" s="1652"/>
      <c r="Y59" s="1652"/>
      <c r="Z59" s="1652"/>
      <c r="AA59" s="1652"/>
      <c r="AB59" s="1652"/>
      <c r="AC59" s="1652"/>
      <c r="AD59" s="1652"/>
      <c r="AE59" s="1652"/>
      <c r="AF59" s="1652"/>
      <c r="AG59" s="1652"/>
      <c r="AH59" s="1652"/>
      <c r="AI59" s="1652"/>
      <c r="AJ59" s="1652"/>
      <c r="AK59" s="165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52">
        <f>$AJ$31+$AJ$47</f>
        <v>10</v>
      </c>
      <c r="AL61" s="1753"/>
      <c r="AM61" s="175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8" t="s">
        <v>389</v>
      </c>
      <c r="AF64" s="1818"/>
      <c r="AG64" s="1818"/>
      <c r="AH64" s="1818"/>
      <c r="AI64" s="1818"/>
      <c r="AJ64" s="1818"/>
      <c r="AK64" s="181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4" t="s">
        <v>699</v>
      </c>
      <c r="C66" s="1814"/>
      <c r="D66" s="1814"/>
      <c r="E66" s="1814"/>
      <c r="F66" s="1814"/>
      <c r="G66" s="1814"/>
      <c r="H66" s="1814"/>
      <c r="I66" s="1814"/>
      <c r="J66" s="1814"/>
      <c r="K66" s="1814"/>
      <c r="AF66" s="1714" t="s">
        <v>982</v>
      </c>
      <c r="AG66" s="1714"/>
      <c r="AH66" s="1714"/>
      <c r="AI66" s="1714"/>
      <c r="AJ66" s="1714"/>
      <c r="AK66" s="1714"/>
      <c r="AL66" s="1714"/>
      <c r="AN66" s="281"/>
      <c r="AP66" s="4" t="s">
        <v>132</v>
      </c>
    </row>
    <row r="67" spans="1:42" s="4" customFormat="1" ht="12.75" customHeight="1">
      <c r="B67" s="1824" t="s">
        <v>1372</v>
      </c>
      <c r="C67" s="1824"/>
      <c r="D67" s="1824"/>
      <c r="E67" s="1824"/>
      <c r="F67" s="1824"/>
      <c r="G67" s="1824"/>
      <c r="H67" s="1824"/>
      <c r="I67" s="1824"/>
      <c r="J67" s="1824"/>
      <c r="K67" s="1824"/>
      <c r="L67" s="1824"/>
      <c r="M67" s="1824"/>
      <c r="N67" s="1824"/>
      <c r="O67" s="1824"/>
      <c r="P67" s="1824"/>
      <c r="Q67" s="1824"/>
      <c r="R67" s="1824"/>
      <c r="S67" s="1824"/>
      <c r="T67" s="1814" t="s">
        <v>132</v>
      </c>
      <c r="U67" s="1814"/>
      <c r="V67" s="1814"/>
      <c r="W67" s="1814"/>
      <c r="X67" s="1814"/>
      <c r="Y67" s="1814"/>
      <c r="Z67" s="1814"/>
      <c r="AA67" s="1814"/>
      <c r="AB67" s="1814"/>
      <c r="AC67" s="1814"/>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6">
        <f>VLOOKUP($B$66,$AP$45:$AR$50,2,FALSE)</f>
        <v>10</v>
      </c>
      <c r="AL68" s="1257"/>
      <c r="AM68" s="1257"/>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8" t="s">
        <v>1021</v>
      </c>
      <c r="AF73" s="1818"/>
      <c r="AG73" s="1818"/>
      <c r="AH73" s="1818"/>
      <c r="AI73" s="1818"/>
      <c r="AJ73" s="1818"/>
      <c r="AK73" s="181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2" t="s">
        <v>2242</v>
      </c>
      <c r="C75" s="1652"/>
      <c r="D75" s="1652"/>
      <c r="E75" s="1652"/>
      <c r="F75" s="1652"/>
      <c r="G75" s="1652"/>
      <c r="H75" s="1652"/>
      <c r="I75" s="1652"/>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03"/>
      <c r="AM75" s="27"/>
      <c r="AN75" s="281"/>
    </row>
    <row r="76" spans="1:42" s="4" customFormat="1" ht="12.75" customHeight="1">
      <c r="A76" s="27"/>
      <c r="B76" s="1652"/>
      <c r="C76" s="1652"/>
      <c r="D76" s="1652"/>
      <c r="E76" s="1652"/>
      <c r="F76" s="1652"/>
      <c r="G76" s="1652"/>
      <c r="H76" s="1652"/>
      <c r="I76" s="1652"/>
      <c r="J76" s="1652"/>
      <c r="K76" s="1652"/>
      <c r="L76" s="1652"/>
      <c r="M76" s="1652"/>
      <c r="N76" s="1652"/>
      <c r="O76" s="1652"/>
      <c r="P76" s="1652"/>
      <c r="Q76" s="1652"/>
      <c r="R76" s="1652"/>
      <c r="S76" s="1652"/>
      <c r="T76" s="1652"/>
      <c r="U76" s="1652"/>
      <c r="V76" s="1652"/>
      <c r="W76" s="1652"/>
      <c r="X76" s="1652"/>
      <c r="Y76" s="1652"/>
      <c r="Z76" s="1652"/>
      <c r="AA76" s="1652"/>
      <c r="AB76" s="1652"/>
      <c r="AC76" s="1652"/>
      <c r="AD76" s="1652"/>
      <c r="AE76" s="1652"/>
      <c r="AF76" s="1652"/>
      <c r="AG76" s="1652"/>
      <c r="AH76" s="1652"/>
      <c r="AI76" s="1652"/>
      <c r="AJ76" s="1652"/>
      <c r="AK76" s="1652"/>
      <c r="AL76" s="103"/>
      <c r="AM76" s="27"/>
      <c r="AN76" s="281"/>
    </row>
    <row r="77" spans="1:42" s="4" customFormat="1" ht="12.75" customHeight="1">
      <c r="A77" s="27"/>
      <c r="B77" s="1652"/>
      <c r="C77" s="1652"/>
      <c r="D77" s="1652"/>
      <c r="E77" s="1652"/>
      <c r="F77" s="1652"/>
      <c r="G77" s="1652"/>
      <c r="H77" s="1652"/>
      <c r="I77" s="1652"/>
      <c r="J77" s="1652"/>
      <c r="K77" s="1652"/>
      <c r="L77" s="1652"/>
      <c r="M77" s="1652"/>
      <c r="N77" s="1652"/>
      <c r="O77" s="1652"/>
      <c r="P77" s="1652"/>
      <c r="Q77" s="1652"/>
      <c r="R77" s="1652"/>
      <c r="S77" s="1652"/>
      <c r="T77" s="1652"/>
      <c r="U77" s="1652"/>
      <c r="V77" s="1652"/>
      <c r="W77" s="1652"/>
      <c r="X77" s="1652"/>
      <c r="Y77" s="1652"/>
      <c r="Z77" s="1652"/>
      <c r="AA77" s="1652"/>
      <c r="AB77" s="1652"/>
      <c r="AC77" s="1652"/>
      <c r="AD77" s="1652"/>
      <c r="AE77" s="1652"/>
      <c r="AF77" s="1652"/>
      <c r="AG77" s="1652"/>
      <c r="AH77" s="1652"/>
      <c r="AI77" s="1652"/>
      <c r="AJ77" s="1652"/>
      <c r="AK77" s="1652"/>
      <c r="AL77" s="103"/>
      <c r="AM77" s="27"/>
      <c r="AN77" s="281"/>
    </row>
    <row r="78" spans="1:42" s="4" customFormat="1" ht="12.75" customHeight="1">
      <c r="A78" s="27"/>
      <c r="B78" s="1652"/>
      <c r="C78" s="1652"/>
      <c r="D78" s="1652"/>
      <c r="E78" s="1652"/>
      <c r="F78" s="1652"/>
      <c r="G78" s="1652"/>
      <c r="H78" s="1652"/>
      <c r="I78" s="1652"/>
      <c r="J78" s="1652"/>
      <c r="K78" s="1652"/>
      <c r="L78" s="1652"/>
      <c r="M78" s="1652"/>
      <c r="N78" s="1652"/>
      <c r="O78" s="1652"/>
      <c r="P78" s="1652"/>
      <c r="Q78" s="1652"/>
      <c r="R78" s="1652"/>
      <c r="S78" s="1652"/>
      <c r="T78" s="1652"/>
      <c r="U78" s="1652"/>
      <c r="V78" s="1652"/>
      <c r="W78" s="1652"/>
      <c r="X78" s="1652"/>
      <c r="Y78" s="1652"/>
      <c r="Z78" s="1652"/>
      <c r="AA78" s="1652"/>
      <c r="AB78" s="1652"/>
      <c r="AC78" s="1652"/>
      <c r="AD78" s="1652"/>
      <c r="AE78" s="1652"/>
      <c r="AF78" s="1652"/>
      <c r="AG78" s="1652"/>
      <c r="AH78" s="1652"/>
      <c r="AI78" s="1652"/>
      <c r="AJ78" s="1652"/>
      <c r="AK78" s="1652"/>
      <c r="AL78" s="103"/>
      <c r="AM78" s="27"/>
      <c r="AN78" s="281"/>
    </row>
    <row r="79" spans="1:42" s="4" customFormat="1" ht="12.75" customHeight="1">
      <c r="A79" s="27"/>
      <c r="B79" s="1652"/>
      <c r="C79" s="1652"/>
      <c r="D79" s="1652"/>
      <c r="E79" s="1652"/>
      <c r="F79" s="1652"/>
      <c r="G79" s="1652"/>
      <c r="H79" s="1652"/>
      <c r="I79" s="1652"/>
      <c r="J79" s="1652"/>
      <c r="K79" s="1652"/>
      <c r="L79" s="1652"/>
      <c r="M79" s="1652"/>
      <c r="N79" s="1652"/>
      <c r="O79" s="1652"/>
      <c r="P79" s="1652"/>
      <c r="Q79" s="1652"/>
      <c r="R79" s="1652"/>
      <c r="S79" s="1652"/>
      <c r="T79" s="1652"/>
      <c r="U79" s="1652"/>
      <c r="V79" s="1652"/>
      <c r="W79" s="1652"/>
      <c r="X79" s="1652"/>
      <c r="Y79" s="1652"/>
      <c r="Z79" s="1652"/>
      <c r="AA79" s="1652"/>
      <c r="AB79" s="1652"/>
      <c r="AC79" s="1652"/>
      <c r="AD79" s="1652"/>
      <c r="AE79" s="1652"/>
      <c r="AF79" s="1652"/>
      <c r="AG79" s="1652"/>
      <c r="AH79" s="1652"/>
      <c r="AI79" s="1652"/>
      <c r="AJ79" s="1652"/>
      <c r="AK79" s="1652"/>
      <c r="AL79" s="103"/>
      <c r="AM79" s="27"/>
      <c r="AN79" s="281"/>
    </row>
    <row r="80" spans="1:42" s="4" customFormat="1" ht="12.75" customHeight="1">
      <c r="A80" s="27"/>
      <c r="B80" s="1652"/>
      <c r="C80" s="1652"/>
      <c r="D80" s="1652"/>
      <c r="E80" s="1652"/>
      <c r="F80" s="1652"/>
      <c r="G80" s="1652"/>
      <c r="H80" s="1652"/>
      <c r="I80" s="1652"/>
      <c r="J80" s="1652"/>
      <c r="K80" s="1652"/>
      <c r="L80" s="1652"/>
      <c r="M80" s="1652"/>
      <c r="N80" s="1652"/>
      <c r="O80" s="1652"/>
      <c r="P80" s="1652"/>
      <c r="Q80" s="1652"/>
      <c r="R80" s="1652"/>
      <c r="S80" s="1652"/>
      <c r="T80" s="1652"/>
      <c r="U80" s="1652"/>
      <c r="V80" s="1652"/>
      <c r="W80" s="1652"/>
      <c r="X80" s="1652"/>
      <c r="Y80" s="1652"/>
      <c r="Z80" s="1652"/>
      <c r="AA80" s="1652"/>
      <c r="AB80" s="1652"/>
      <c r="AC80" s="1652"/>
      <c r="AD80" s="1652"/>
      <c r="AE80" s="1652"/>
      <c r="AF80" s="1652"/>
      <c r="AG80" s="1652"/>
      <c r="AH80" s="1652"/>
      <c r="AI80" s="1652"/>
      <c r="AJ80" s="1652"/>
      <c r="AK80" s="1652"/>
      <c r="AL80" s="103"/>
      <c r="AM80" s="27"/>
      <c r="AN80" s="281"/>
    </row>
    <row r="81" spans="1:42" ht="12.75" customHeight="1">
      <c r="A81" s="27"/>
      <c r="B81" s="1652"/>
      <c r="C81" s="1652"/>
      <c r="D81" s="1652"/>
      <c r="E81" s="1652"/>
      <c r="F81" s="1652"/>
      <c r="G81" s="1652"/>
      <c r="H81" s="1652"/>
      <c r="I81" s="1652"/>
      <c r="J81" s="1652"/>
      <c r="K81" s="1652"/>
      <c r="L81" s="1652"/>
      <c r="M81" s="1652"/>
      <c r="N81" s="1652"/>
      <c r="O81" s="1652"/>
      <c r="P81" s="1652"/>
      <c r="Q81" s="1652"/>
      <c r="R81" s="1652"/>
      <c r="S81" s="1652"/>
      <c r="T81" s="1652"/>
      <c r="U81" s="1652"/>
      <c r="V81" s="1652"/>
      <c r="W81" s="1652"/>
      <c r="X81" s="1652"/>
      <c r="Y81" s="1652"/>
      <c r="Z81" s="1652"/>
      <c r="AA81" s="1652"/>
      <c r="AB81" s="1652"/>
      <c r="AC81" s="1652"/>
      <c r="AD81" s="1652"/>
      <c r="AE81" s="1652"/>
      <c r="AF81" s="1652"/>
      <c r="AG81" s="1652"/>
      <c r="AH81" s="1652"/>
      <c r="AI81" s="1652"/>
      <c r="AJ81" s="1652"/>
      <c r="AK81" s="1652"/>
      <c r="AL81" s="103"/>
      <c r="AM81" s="27"/>
    </row>
    <row r="82" spans="1:42" s="4" customFormat="1" ht="12.75" customHeight="1">
      <c r="B82" s="1652"/>
      <c r="C82" s="1652"/>
      <c r="D82" s="1652"/>
      <c r="E82" s="1652"/>
      <c r="F82" s="1652"/>
      <c r="G82" s="1652"/>
      <c r="H82" s="1652"/>
      <c r="I82" s="1652"/>
      <c r="J82" s="1652"/>
      <c r="K82" s="1652"/>
      <c r="L82" s="1652"/>
      <c r="M82" s="1652"/>
      <c r="N82" s="1652"/>
      <c r="O82" s="1652"/>
      <c r="P82" s="1652"/>
      <c r="Q82" s="1652"/>
      <c r="R82" s="1652"/>
      <c r="S82" s="1652"/>
      <c r="T82" s="1652"/>
      <c r="U82" s="1652"/>
      <c r="V82" s="1652"/>
      <c r="W82" s="1652"/>
      <c r="X82" s="1652"/>
      <c r="Y82" s="1652"/>
      <c r="Z82" s="1652"/>
      <c r="AA82" s="1652"/>
      <c r="AB82" s="1652"/>
      <c r="AC82" s="1652"/>
      <c r="AD82" s="1652"/>
      <c r="AE82" s="1652"/>
      <c r="AF82" s="1652"/>
      <c r="AG82" s="1652"/>
      <c r="AH82" s="1652"/>
      <c r="AI82" s="1652"/>
      <c r="AJ82" s="1652"/>
      <c r="AK82" s="1652"/>
      <c r="AL82" s="103"/>
      <c r="AN82" s="281"/>
    </row>
    <row r="83" spans="1:42" s="4" customFormat="1" ht="12.75" customHeight="1">
      <c r="B83" s="1652"/>
      <c r="C83" s="1652"/>
      <c r="D83" s="1652"/>
      <c r="E83" s="1652"/>
      <c r="F83" s="1652"/>
      <c r="G83" s="1652"/>
      <c r="H83" s="1652"/>
      <c r="I83" s="1652"/>
      <c r="J83" s="1652"/>
      <c r="K83" s="1652"/>
      <c r="L83" s="1652"/>
      <c r="M83" s="1652"/>
      <c r="N83" s="1652"/>
      <c r="O83" s="1652"/>
      <c r="P83" s="1652"/>
      <c r="Q83" s="1652"/>
      <c r="R83" s="1652"/>
      <c r="S83" s="1652"/>
      <c r="T83" s="1652"/>
      <c r="U83" s="1652"/>
      <c r="V83" s="1652"/>
      <c r="W83" s="1652"/>
      <c r="X83" s="1652"/>
      <c r="Y83" s="1652"/>
      <c r="Z83" s="1652"/>
      <c r="AA83" s="1652"/>
      <c r="AB83" s="1652"/>
      <c r="AC83" s="1652"/>
      <c r="AD83" s="1652"/>
      <c r="AE83" s="1652"/>
      <c r="AF83" s="1652"/>
      <c r="AG83" s="1652"/>
      <c r="AH83" s="1652"/>
      <c r="AI83" s="1652"/>
      <c r="AJ83" s="1652"/>
      <c r="AK83" s="1652"/>
      <c r="AL83" s="103"/>
      <c r="AN83" s="281"/>
    </row>
    <row r="84" spans="1:42" s="4" customFormat="1" ht="14.45" customHeight="1">
      <c r="B84" s="1652"/>
      <c r="C84" s="1652"/>
      <c r="D84" s="1652"/>
      <c r="E84" s="1652"/>
      <c r="F84" s="1652"/>
      <c r="G84" s="1652"/>
      <c r="H84" s="1652"/>
      <c r="I84" s="1652"/>
      <c r="J84" s="1652"/>
      <c r="K84" s="1652"/>
      <c r="L84" s="1652"/>
      <c r="M84" s="1652"/>
      <c r="N84" s="1652"/>
      <c r="O84" s="1652"/>
      <c r="P84" s="1652"/>
      <c r="Q84" s="1652"/>
      <c r="R84" s="1652"/>
      <c r="S84" s="1652"/>
      <c r="T84" s="1652"/>
      <c r="U84" s="1652"/>
      <c r="V84" s="1652"/>
      <c r="W84" s="1652"/>
      <c r="X84" s="1652"/>
      <c r="Y84" s="1652"/>
      <c r="Z84" s="1652"/>
      <c r="AA84" s="1652"/>
      <c r="AB84" s="1652"/>
      <c r="AC84" s="1652"/>
      <c r="AD84" s="1652"/>
      <c r="AE84" s="1652"/>
      <c r="AF84" s="1652"/>
      <c r="AG84" s="1652"/>
      <c r="AH84" s="1652"/>
      <c r="AI84" s="1652"/>
      <c r="AJ84" s="1652"/>
      <c r="AK84" s="1652"/>
      <c r="AL84" s="103"/>
      <c r="AN84" s="281"/>
    </row>
    <row r="85" spans="1:42" s="4" customFormat="1" ht="12.75" customHeight="1">
      <c r="B85" s="1652"/>
      <c r="C85" s="1652"/>
      <c r="D85" s="1652"/>
      <c r="E85" s="1652"/>
      <c r="F85" s="1652"/>
      <c r="G85" s="1652"/>
      <c r="H85" s="1652"/>
      <c r="I85" s="1652"/>
      <c r="J85" s="1652"/>
      <c r="K85" s="1652"/>
      <c r="L85" s="1652"/>
      <c r="M85" s="1652"/>
      <c r="N85" s="1652"/>
      <c r="O85" s="1652"/>
      <c r="P85" s="1652"/>
      <c r="Q85" s="1652"/>
      <c r="R85" s="1652"/>
      <c r="S85" s="1652"/>
      <c r="T85" s="1652"/>
      <c r="U85" s="1652"/>
      <c r="V85" s="1652"/>
      <c r="W85" s="1652"/>
      <c r="X85" s="1652"/>
      <c r="Y85" s="1652"/>
      <c r="Z85" s="1652"/>
      <c r="AA85" s="1652"/>
      <c r="AB85" s="1652"/>
      <c r="AC85" s="1652"/>
      <c r="AD85" s="1652"/>
      <c r="AE85" s="1652"/>
      <c r="AF85" s="1652"/>
      <c r="AG85" s="1652"/>
      <c r="AH85" s="1652"/>
      <c r="AI85" s="1652"/>
      <c r="AJ85" s="1652"/>
      <c r="AK85" s="1652"/>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14" t="s">
        <v>895</v>
      </c>
      <c r="AG90" s="1714"/>
      <c r="AH90" s="1714"/>
      <c r="AI90" s="1714"/>
      <c r="AJ90" s="1714"/>
      <c r="AK90" s="1714"/>
      <c r="AL90" s="1714"/>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4" t="s">
        <v>62</v>
      </c>
      <c r="AG95" s="1714"/>
      <c r="AH95" s="1714"/>
      <c r="AI95" s="1714"/>
      <c r="AJ95" s="1714"/>
      <c r="AK95" s="1714"/>
      <c r="AL95" s="1714"/>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4" t="s">
        <v>63</v>
      </c>
      <c r="AG100" s="1714"/>
      <c r="AH100" s="1714"/>
      <c r="AI100" s="1714"/>
      <c r="AJ100" s="1714"/>
      <c r="AK100" s="1714"/>
      <c r="AL100" s="1714"/>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4" t="s">
        <v>64</v>
      </c>
      <c r="AG105" s="1714"/>
      <c r="AH105" s="1714"/>
      <c r="AI105" s="1714"/>
      <c r="AJ105" s="1714"/>
      <c r="AK105" s="1714"/>
      <c r="AL105" s="1714"/>
      <c r="AN105" s="281"/>
      <c r="AO105" s="4" t="str">
        <f>S133</f>
        <v>Yes</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4" t="s">
        <v>65</v>
      </c>
      <c r="AG109" s="1714"/>
      <c r="AH109" s="1714"/>
      <c r="AI109" s="1714"/>
      <c r="AJ109" s="1714"/>
      <c r="AK109" s="1714"/>
      <c r="AL109" s="1714"/>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9" t="s">
        <v>612</v>
      </c>
      <c r="I112" s="1819"/>
      <c r="J112" s="116"/>
      <c r="K112" s="116"/>
      <c r="L112" s="116"/>
      <c r="M112" s="116"/>
      <c r="O112" s="957" t="s">
        <v>2204</v>
      </c>
      <c r="T112" s="1823"/>
      <c r="U112" s="1823"/>
      <c r="V112" s="1823"/>
      <c r="W112" s="1823"/>
      <c r="X112" s="1823"/>
      <c r="Y112" s="1823"/>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22" t="s">
        <v>132</v>
      </c>
      <c r="I118" s="1822"/>
      <c r="J118" s="1822"/>
      <c r="K118" s="1822"/>
      <c r="L118" s="1822"/>
      <c r="M118" s="1822"/>
      <c r="N118" s="1822"/>
      <c r="O118" s="1822"/>
      <c r="P118" s="1822"/>
      <c r="Q118" s="1822"/>
      <c r="R118" s="1822"/>
      <c r="S118" s="1822"/>
      <c r="T118" s="1822"/>
      <c r="U118" s="1822"/>
      <c r="V118" s="1822"/>
      <c r="W118" s="1822"/>
      <c r="X118" s="1822"/>
      <c r="Y118" s="1822"/>
      <c r="Z118" s="1822"/>
      <c r="AA118" s="1822"/>
      <c r="AB118" s="1822"/>
      <c r="AC118" s="1822"/>
      <c r="AD118" s="1822"/>
      <c r="AE118" s="1822"/>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52" t="s">
        <v>1848</v>
      </c>
      <c r="F120" s="1652"/>
      <c r="G120" s="1652"/>
      <c r="H120" s="1652"/>
      <c r="I120" s="1652"/>
      <c r="J120" s="1652"/>
      <c r="K120" s="1652"/>
      <c r="L120" s="1652"/>
      <c r="M120" s="1652"/>
      <c r="N120" s="1652"/>
      <c r="O120" s="1652"/>
      <c r="P120" s="1652"/>
      <c r="Q120" s="1652"/>
      <c r="R120" s="1652"/>
      <c r="S120" s="1652"/>
      <c r="T120" s="1652"/>
      <c r="U120" s="1652"/>
      <c r="V120" s="1652"/>
      <c r="W120" s="1652"/>
      <c r="X120" s="1652"/>
      <c r="Y120" s="1652"/>
      <c r="Z120" s="1652"/>
      <c r="AA120" s="1652"/>
      <c r="AB120" s="1652"/>
      <c r="AC120" s="1652"/>
      <c r="AD120" s="1652"/>
      <c r="AE120" s="1652"/>
      <c r="AF120" s="1652"/>
      <c r="AG120" s="1652"/>
      <c r="AH120" s="49"/>
      <c r="AI120" s="49"/>
      <c r="AJ120" s="49"/>
      <c r="AK120" s="49"/>
      <c r="AL120" s="49"/>
      <c r="AN120" s="281"/>
    </row>
    <row r="121" spans="1:47" s="4" customFormat="1" ht="12.75" customHeight="1">
      <c r="B121" s="5"/>
      <c r="C121" s="115"/>
      <c r="D121" s="49"/>
      <c r="E121" s="1652"/>
      <c r="F121" s="1652"/>
      <c r="G121" s="1652"/>
      <c r="H121" s="1652"/>
      <c r="I121" s="1652"/>
      <c r="J121" s="1652"/>
      <c r="K121" s="1652"/>
      <c r="L121" s="1652"/>
      <c r="M121" s="1652"/>
      <c r="N121" s="1652"/>
      <c r="O121" s="1652"/>
      <c r="P121" s="1652"/>
      <c r="Q121" s="1652"/>
      <c r="R121" s="1652"/>
      <c r="S121" s="1652"/>
      <c r="T121" s="1652"/>
      <c r="U121" s="1652"/>
      <c r="V121" s="1652"/>
      <c r="W121" s="1652"/>
      <c r="X121" s="1652"/>
      <c r="Y121" s="1652"/>
      <c r="Z121" s="1652"/>
      <c r="AA121" s="1652"/>
      <c r="AB121" s="1652"/>
      <c r="AC121" s="1652"/>
      <c r="AD121" s="1652"/>
      <c r="AE121" s="1652"/>
      <c r="AF121" s="1652"/>
      <c r="AG121" s="1652"/>
      <c r="AH121" s="49"/>
      <c r="AI121" s="49"/>
      <c r="AJ121" s="49"/>
      <c r="AK121" s="49"/>
      <c r="AL121" s="49"/>
      <c r="AN121" s="281"/>
    </row>
    <row r="122" spans="1:47" s="4" customFormat="1" ht="12.75" customHeight="1">
      <c r="B122" s="5"/>
      <c r="C122" s="115"/>
      <c r="D122" s="49"/>
      <c r="E122" s="1652"/>
      <c r="F122" s="1652"/>
      <c r="G122" s="1652"/>
      <c r="H122" s="1652"/>
      <c r="I122" s="1652"/>
      <c r="J122" s="1652"/>
      <c r="K122" s="1652"/>
      <c r="L122" s="1652"/>
      <c r="M122" s="1652"/>
      <c r="N122" s="1652"/>
      <c r="O122" s="1652"/>
      <c r="P122" s="1652"/>
      <c r="Q122" s="1652"/>
      <c r="R122" s="1652"/>
      <c r="S122" s="1652"/>
      <c r="T122" s="1652"/>
      <c r="U122" s="1652"/>
      <c r="V122" s="1652"/>
      <c r="W122" s="1652"/>
      <c r="X122" s="1652"/>
      <c r="Y122" s="1652"/>
      <c r="Z122" s="1652"/>
      <c r="AA122" s="1652"/>
      <c r="AB122" s="1652"/>
      <c r="AC122" s="1652"/>
      <c r="AD122" s="1652"/>
      <c r="AE122" s="1652"/>
      <c r="AF122" s="1652"/>
      <c r="AG122" s="1652"/>
      <c r="AH122" s="49"/>
      <c r="AI122" s="49"/>
      <c r="AJ122" s="49"/>
      <c r="AK122" s="49"/>
      <c r="AL122" s="49"/>
      <c r="AN122" s="281"/>
    </row>
    <row r="123" spans="1:47" s="4" customFormat="1" ht="12.75" customHeight="1">
      <c r="B123" s="5"/>
      <c r="C123" s="115"/>
      <c r="D123" s="299"/>
      <c r="E123" s="1821"/>
      <c r="F123" s="1821"/>
      <c r="G123" s="1821"/>
      <c r="H123" s="1821"/>
      <c r="I123" s="1821"/>
      <c r="J123" s="1821"/>
      <c r="K123" s="1821"/>
      <c r="L123" s="1821"/>
      <c r="M123" s="1821"/>
      <c r="N123" s="1821"/>
      <c r="O123" s="1821"/>
      <c r="P123" s="1821"/>
      <c r="Q123" s="1821"/>
      <c r="R123" s="1821"/>
      <c r="S123" s="1821"/>
      <c r="T123" s="1821"/>
      <c r="U123" s="1821"/>
      <c r="V123" s="1821"/>
      <c r="W123" s="1821"/>
      <c r="X123" s="1821"/>
      <c r="Y123" s="1821"/>
      <c r="Z123" s="1821"/>
      <c r="AA123" s="1821"/>
      <c r="AB123" s="1821"/>
      <c r="AC123" s="1821"/>
      <c r="AD123" s="1821"/>
      <c r="AE123" s="1821"/>
      <c r="AF123" s="1821"/>
      <c r="AG123" s="182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6">
        <f>VLOOKUP($H$112,$AO$96:$AP$101,2,FALSE)+IF(T112=AO108,0,VLOOKUP($H$118,$AO$116:$AP$118,2,FALSE))</f>
        <v>7</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20" t="s">
        <v>1921</v>
      </c>
      <c r="F128" s="1820"/>
      <c r="G128" s="1820"/>
      <c r="H128" s="1820"/>
      <c r="I128" s="1820"/>
      <c r="J128" s="1820"/>
      <c r="K128" s="1820"/>
      <c r="L128" s="1820"/>
      <c r="M128" s="1820"/>
      <c r="N128" s="1820"/>
      <c r="O128" s="1820"/>
      <c r="P128" s="1820"/>
      <c r="Q128" s="1820"/>
      <c r="R128" s="1820"/>
      <c r="S128" s="1820"/>
      <c r="T128" s="1820"/>
      <c r="U128" s="1820"/>
      <c r="V128" s="1820"/>
      <c r="W128" s="1820"/>
      <c r="X128" s="1820"/>
      <c r="Y128" s="1820"/>
      <c r="Z128" s="1820"/>
      <c r="AA128" s="1820"/>
      <c r="AB128" s="1820"/>
      <c r="AC128" s="1820"/>
      <c r="AD128" s="1820"/>
      <c r="AF128" s="1714" t="s">
        <v>65</v>
      </c>
      <c r="AG128" s="1714"/>
      <c r="AH128" s="1714"/>
      <c r="AI128" s="1714"/>
      <c r="AJ128" s="1714"/>
      <c r="AK128" s="1714"/>
      <c r="AL128" s="1714"/>
      <c r="AM128" s="4"/>
      <c r="AN128" s="298"/>
    </row>
    <row r="129" spans="1:42" s="4" customFormat="1" ht="12.75" customHeight="1">
      <c r="A129" s="120"/>
      <c r="B129" s="5"/>
      <c r="C129" s="115"/>
      <c r="D129" s="26"/>
      <c r="E129" s="1820"/>
      <c r="F129" s="1820"/>
      <c r="G129" s="1820"/>
      <c r="H129" s="1820"/>
      <c r="I129" s="1820"/>
      <c r="J129" s="1820"/>
      <c r="K129" s="1820"/>
      <c r="L129" s="1820"/>
      <c r="M129" s="1820"/>
      <c r="N129" s="1820"/>
      <c r="O129" s="1820"/>
      <c r="P129" s="1820"/>
      <c r="Q129" s="1820"/>
      <c r="R129" s="1820"/>
      <c r="S129" s="1820"/>
      <c r="T129" s="1820"/>
      <c r="U129" s="1820"/>
      <c r="V129" s="1820"/>
      <c r="W129" s="1820"/>
      <c r="X129" s="1820"/>
      <c r="Y129" s="1820"/>
      <c r="Z129" s="1820"/>
      <c r="AA129" s="1820"/>
      <c r="AB129" s="1820"/>
      <c r="AC129" s="1820"/>
      <c r="AD129" s="1820"/>
      <c r="AF129" s="5"/>
      <c r="AN129" s="281"/>
    </row>
    <row r="130" spans="1:42" s="4" customFormat="1" ht="12.75" customHeight="1">
      <c r="B130" s="5"/>
      <c r="C130" s="45"/>
      <c r="D130" s="26"/>
      <c r="E130" s="1820"/>
      <c r="F130" s="1820"/>
      <c r="G130" s="1820"/>
      <c r="H130" s="1820"/>
      <c r="I130" s="1820"/>
      <c r="J130" s="1820"/>
      <c r="K130" s="1820"/>
      <c r="L130" s="1820"/>
      <c r="M130" s="1820"/>
      <c r="N130" s="1820"/>
      <c r="O130" s="1820"/>
      <c r="P130" s="1820"/>
      <c r="Q130" s="1820"/>
      <c r="R130" s="1820"/>
      <c r="S130" s="1820"/>
      <c r="T130" s="1820"/>
      <c r="U130" s="1820"/>
      <c r="V130" s="1820"/>
      <c r="W130" s="1820"/>
      <c r="X130" s="1820"/>
      <c r="Y130" s="1820"/>
      <c r="Z130" s="1820"/>
      <c r="AA130" s="1820"/>
      <c r="AB130" s="1820"/>
      <c r="AC130" s="1820"/>
      <c r="AD130" s="1820"/>
      <c r="AF130" s="5"/>
      <c r="AN130" s="281"/>
    </row>
    <row r="131" spans="1:42" s="4" customFormat="1" ht="12.75" customHeight="1">
      <c r="A131" s="35"/>
      <c r="B131" s="102"/>
      <c r="C131" s="121"/>
      <c r="D131" s="26"/>
      <c r="E131" s="1820"/>
      <c r="F131" s="1820"/>
      <c r="G131" s="1820"/>
      <c r="H131" s="1820"/>
      <c r="I131" s="1820"/>
      <c r="J131" s="1820"/>
      <c r="K131" s="1820"/>
      <c r="L131" s="1820"/>
      <c r="M131" s="1820"/>
      <c r="N131" s="1820"/>
      <c r="O131" s="1820"/>
      <c r="P131" s="1820"/>
      <c r="Q131" s="1820"/>
      <c r="R131" s="1820"/>
      <c r="S131" s="1820"/>
      <c r="T131" s="1820"/>
      <c r="U131" s="1820"/>
      <c r="V131" s="1820"/>
      <c r="W131" s="1820"/>
      <c r="X131" s="1820"/>
      <c r="Y131" s="1820"/>
      <c r="Z131" s="1820"/>
      <c r="AA131" s="1820"/>
      <c r="AB131" s="1820"/>
      <c r="AC131" s="1820"/>
      <c r="AD131" s="1820"/>
      <c r="AE131" s="19"/>
      <c r="AF131" s="102"/>
      <c r="AG131" s="19"/>
      <c r="AH131" s="19"/>
      <c r="AI131" s="19"/>
      <c r="AJ131" s="19"/>
      <c r="AN131" s="281"/>
    </row>
    <row r="132" spans="1:42" s="4" customFormat="1" ht="22.9" customHeight="1">
      <c r="B132" s="102"/>
      <c r="C132" s="121"/>
      <c r="D132" s="26"/>
      <c r="E132" s="1820"/>
      <c r="F132" s="1820"/>
      <c r="G132" s="1820"/>
      <c r="H132" s="1820"/>
      <c r="I132" s="1820"/>
      <c r="J132" s="1820"/>
      <c r="K132" s="1820"/>
      <c r="L132" s="1820"/>
      <c r="M132" s="1820"/>
      <c r="N132" s="1820"/>
      <c r="O132" s="1820"/>
      <c r="P132" s="1820"/>
      <c r="Q132" s="1820"/>
      <c r="R132" s="1820"/>
      <c r="S132" s="1820"/>
      <c r="T132" s="1820"/>
      <c r="U132" s="1820"/>
      <c r="V132" s="1820"/>
      <c r="W132" s="1820"/>
      <c r="X132" s="1820"/>
      <c r="Y132" s="1820"/>
      <c r="Z132" s="1820"/>
      <c r="AA132" s="1820"/>
      <c r="AB132" s="1820"/>
      <c r="AC132" s="1820"/>
      <c r="AD132" s="1820"/>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6" t="s">
        <v>116</v>
      </c>
      <c r="T133" s="1816"/>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4" t="s">
        <v>111</v>
      </c>
      <c r="AG135" s="1714"/>
      <c r="AH135" s="1714"/>
      <c r="AI135" s="1714"/>
      <c r="AJ135" s="1714"/>
      <c r="AK135" s="1714"/>
      <c r="AL135" s="1714"/>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9" t="s">
        <v>612</v>
      </c>
      <c r="I137" s="1819"/>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6">
        <f>VLOOKUP($H$137,$AO$111:$AP$113,2,FALSE)</f>
        <v>3</v>
      </c>
      <c r="AK139" s="125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4" t="s">
        <v>65</v>
      </c>
      <c r="AG143" s="1714"/>
      <c r="AH143" s="1714"/>
      <c r="AI143" s="1714"/>
      <c r="AJ143" s="1714"/>
      <c r="AK143" s="1714"/>
      <c r="AL143" s="1714"/>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4" t="s">
        <v>111</v>
      </c>
      <c r="AG146" s="1714"/>
      <c r="AH146" s="1714"/>
      <c r="AI146" s="1714"/>
      <c r="AJ146" s="1714"/>
      <c r="AK146" s="1714"/>
      <c r="AL146" s="1714"/>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9" t="s">
        <v>132</v>
      </c>
      <c r="I149" s="181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6">
        <f>VLOOKUP(H149,AT111:AU113,2,FALSE)</f>
        <v>0</v>
      </c>
      <c r="AK151" s="1258"/>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52" t="s">
        <v>782</v>
      </c>
      <c r="F156" s="1652"/>
      <c r="G156" s="1652"/>
      <c r="H156" s="1652"/>
      <c r="I156" s="1652"/>
      <c r="J156" s="1652"/>
      <c r="K156" s="1652"/>
      <c r="L156" s="1652"/>
      <c r="M156" s="1652"/>
      <c r="N156" s="1652"/>
      <c r="O156" s="1652"/>
      <c r="P156" s="1652"/>
      <c r="Q156" s="1652"/>
      <c r="R156" s="1652"/>
      <c r="S156" s="1652"/>
      <c r="T156" s="1652"/>
      <c r="U156" s="1652"/>
      <c r="V156" s="1652"/>
      <c r="W156" s="1652"/>
      <c r="X156" s="1652"/>
      <c r="Y156" s="1652"/>
      <c r="Z156" s="1652"/>
      <c r="AA156" s="1652"/>
      <c r="AB156" s="1652"/>
      <c r="AC156" s="1652"/>
      <c r="AF156" s="1714" t="s">
        <v>63</v>
      </c>
      <c r="AG156" s="1714"/>
      <c r="AH156" s="1714"/>
      <c r="AI156" s="1714"/>
      <c r="AJ156" s="1714"/>
      <c r="AK156" s="1714"/>
      <c r="AL156" s="1714"/>
      <c r="AN156" s="281"/>
    </row>
    <row r="157" spans="1:42" s="4" customFormat="1" ht="12.75" customHeight="1">
      <c r="C157" s="3"/>
      <c r="E157" s="1652"/>
      <c r="F157" s="1652"/>
      <c r="G157" s="1652"/>
      <c r="H157" s="1652"/>
      <c r="I157" s="1652"/>
      <c r="J157" s="1652"/>
      <c r="K157" s="1652"/>
      <c r="L157" s="1652"/>
      <c r="M157" s="1652"/>
      <c r="N157" s="1652"/>
      <c r="O157" s="1652"/>
      <c r="P157" s="1652"/>
      <c r="Q157" s="1652"/>
      <c r="R157" s="1652"/>
      <c r="S157" s="1652"/>
      <c r="T157" s="1652"/>
      <c r="U157" s="1652"/>
      <c r="V157" s="1652"/>
      <c r="W157" s="1652"/>
      <c r="X157" s="1652"/>
      <c r="Y157" s="1652"/>
      <c r="Z157" s="1652"/>
      <c r="AA157" s="1652"/>
      <c r="AB157" s="1652"/>
      <c r="AC157" s="1652"/>
      <c r="AN157" s="281"/>
    </row>
    <row r="158" spans="1:42" s="4" customFormat="1" ht="12.75" customHeight="1">
      <c r="C158" s="3"/>
      <c r="D158" s="26"/>
      <c r="E158" s="1652"/>
      <c r="F158" s="1652"/>
      <c r="G158" s="1652"/>
      <c r="H158" s="1652"/>
      <c r="I158" s="1652"/>
      <c r="J158" s="1652"/>
      <c r="K158" s="1652"/>
      <c r="L158" s="1652"/>
      <c r="M158" s="1652"/>
      <c r="N158" s="1652"/>
      <c r="O158" s="1652"/>
      <c r="P158" s="1652"/>
      <c r="Q158" s="1652"/>
      <c r="R158" s="1652"/>
      <c r="S158" s="1652"/>
      <c r="T158" s="1652"/>
      <c r="U158" s="1652"/>
      <c r="V158" s="1652"/>
      <c r="W158" s="1652"/>
      <c r="X158" s="1652"/>
      <c r="Y158" s="1652"/>
      <c r="Z158" s="1652"/>
      <c r="AA158" s="1652"/>
      <c r="AB158" s="1652"/>
      <c r="AC158" s="165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2" t="s">
        <v>1790</v>
      </c>
      <c r="F160" s="1652"/>
      <c r="G160" s="1652"/>
      <c r="H160" s="1652"/>
      <c r="I160" s="1652"/>
      <c r="J160" s="1652"/>
      <c r="K160" s="1652"/>
      <c r="L160" s="1652"/>
      <c r="M160" s="1652"/>
      <c r="N160" s="1652"/>
      <c r="O160" s="1652"/>
      <c r="P160" s="1652"/>
      <c r="Q160" s="1652"/>
      <c r="R160" s="1652"/>
      <c r="S160" s="1652"/>
      <c r="T160" s="1652"/>
      <c r="U160" s="1652"/>
      <c r="V160" s="1652"/>
      <c r="W160" s="1652"/>
      <c r="X160" s="1652"/>
      <c r="Y160" s="1652"/>
      <c r="Z160" s="1652"/>
      <c r="AA160" s="1652"/>
      <c r="AB160" s="1652"/>
      <c r="AC160" s="1652"/>
      <c r="AF160" s="1714" t="s">
        <v>64</v>
      </c>
      <c r="AG160" s="1714"/>
      <c r="AH160" s="1714"/>
      <c r="AI160" s="1714"/>
      <c r="AJ160" s="1714"/>
      <c r="AK160" s="1714"/>
      <c r="AL160" s="1714"/>
      <c r="AN160" s="281"/>
    </row>
    <row r="161" spans="1:42" s="4" customFormat="1" ht="12.75" customHeight="1">
      <c r="C161" s="3"/>
      <c r="E161" s="1652"/>
      <c r="F161" s="1652"/>
      <c r="G161" s="1652"/>
      <c r="H161" s="1652"/>
      <c r="I161" s="1652"/>
      <c r="J161" s="1652"/>
      <c r="K161" s="1652"/>
      <c r="L161" s="1652"/>
      <c r="M161" s="1652"/>
      <c r="N161" s="1652"/>
      <c r="O161" s="1652"/>
      <c r="P161" s="1652"/>
      <c r="Q161" s="1652"/>
      <c r="R161" s="1652"/>
      <c r="S161" s="1652"/>
      <c r="T161" s="1652"/>
      <c r="U161" s="1652"/>
      <c r="V161" s="1652"/>
      <c r="W161" s="1652"/>
      <c r="X161" s="1652"/>
      <c r="Y161" s="1652"/>
      <c r="Z161" s="1652"/>
      <c r="AA161" s="1652"/>
      <c r="AB161" s="1652"/>
      <c r="AC161" s="1652"/>
      <c r="AN161" s="281"/>
    </row>
    <row r="162" spans="1:42" s="4" customFormat="1" ht="15" customHeight="1">
      <c r="C162" s="3"/>
      <c r="D162" s="26"/>
      <c r="E162" s="1652"/>
      <c r="F162" s="1652"/>
      <c r="G162" s="1652"/>
      <c r="H162" s="1652"/>
      <c r="I162" s="1652"/>
      <c r="J162" s="1652"/>
      <c r="K162" s="1652"/>
      <c r="L162" s="1652"/>
      <c r="M162" s="1652"/>
      <c r="N162" s="1652"/>
      <c r="O162" s="1652"/>
      <c r="P162" s="1652"/>
      <c r="Q162" s="1652"/>
      <c r="R162" s="1652"/>
      <c r="S162" s="1652"/>
      <c r="T162" s="1652"/>
      <c r="U162" s="1652"/>
      <c r="V162" s="1652"/>
      <c r="W162" s="1652"/>
      <c r="X162" s="1652"/>
      <c r="Y162" s="1652"/>
      <c r="Z162" s="1652"/>
      <c r="AA162" s="1652"/>
      <c r="AB162" s="1652"/>
      <c r="AC162" s="165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52" t="s">
        <v>1791</v>
      </c>
      <c r="F164" s="1652"/>
      <c r="G164" s="1652"/>
      <c r="H164" s="1652"/>
      <c r="I164" s="1652"/>
      <c r="J164" s="1652"/>
      <c r="K164" s="1652"/>
      <c r="L164" s="1652"/>
      <c r="M164" s="1652"/>
      <c r="N164" s="1652"/>
      <c r="O164" s="1652"/>
      <c r="P164" s="1652"/>
      <c r="Q164" s="1652"/>
      <c r="R164" s="1652"/>
      <c r="S164" s="1652"/>
      <c r="T164" s="1652"/>
      <c r="U164" s="1652"/>
      <c r="V164" s="1652"/>
      <c r="W164" s="1652"/>
      <c r="X164" s="1652"/>
      <c r="Y164" s="1652"/>
      <c r="Z164" s="1652"/>
      <c r="AA164" s="1652"/>
      <c r="AB164" s="1652"/>
      <c r="AC164" s="1652"/>
      <c r="AF164" s="1714" t="s">
        <v>65</v>
      </c>
      <c r="AG164" s="1714"/>
      <c r="AH164" s="1714"/>
      <c r="AI164" s="1714"/>
      <c r="AJ164" s="1714"/>
      <c r="AK164" s="1714"/>
      <c r="AL164" s="1714"/>
      <c r="AN164" s="281"/>
    </row>
    <row r="165" spans="1:42" s="4" customFormat="1" ht="12.75" customHeight="1">
      <c r="B165" s="5"/>
      <c r="C165" s="45"/>
      <c r="E165" s="1652"/>
      <c r="F165" s="1652"/>
      <c r="G165" s="1652"/>
      <c r="H165" s="1652"/>
      <c r="I165" s="1652"/>
      <c r="J165" s="1652"/>
      <c r="K165" s="1652"/>
      <c r="L165" s="1652"/>
      <c r="M165" s="1652"/>
      <c r="N165" s="1652"/>
      <c r="O165" s="1652"/>
      <c r="P165" s="1652"/>
      <c r="Q165" s="1652"/>
      <c r="R165" s="1652"/>
      <c r="S165" s="1652"/>
      <c r="T165" s="1652"/>
      <c r="U165" s="1652"/>
      <c r="V165" s="1652"/>
      <c r="W165" s="1652"/>
      <c r="X165" s="1652"/>
      <c r="Y165" s="1652"/>
      <c r="Z165" s="1652"/>
      <c r="AA165" s="1652"/>
      <c r="AB165" s="1652"/>
      <c r="AC165" s="1652"/>
      <c r="AE165" s="1714"/>
      <c r="AF165" s="1714"/>
      <c r="AG165" s="1714"/>
      <c r="AH165" s="1714"/>
      <c r="AI165" s="1714"/>
      <c r="AJ165" s="1714"/>
      <c r="AK165" s="1714"/>
      <c r="AL165" s="108"/>
      <c r="AN165" s="281"/>
      <c r="AO165" s="4" t="s">
        <v>132</v>
      </c>
      <c r="AP165" s="486">
        <v>0</v>
      </c>
    </row>
    <row r="166" spans="1:42" s="4" customFormat="1" ht="12.75" customHeight="1">
      <c r="A166" s="120"/>
      <c r="D166" s="26"/>
      <c r="E166" s="1652"/>
      <c r="F166" s="1652"/>
      <c r="G166" s="1652"/>
      <c r="H166" s="1652"/>
      <c r="I166" s="1652"/>
      <c r="J166" s="1652"/>
      <c r="K166" s="1652"/>
      <c r="L166" s="1652"/>
      <c r="M166" s="1652"/>
      <c r="N166" s="1652"/>
      <c r="O166" s="1652"/>
      <c r="P166" s="1652"/>
      <c r="Q166" s="1652"/>
      <c r="R166" s="1652"/>
      <c r="S166" s="1652"/>
      <c r="T166" s="1652"/>
      <c r="U166" s="1652"/>
      <c r="V166" s="1652"/>
      <c r="W166" s="1652"/>
      <c r="X166" s="1652"/>
      <c r="Y166" s="1652"/>
      <c r="Z166" s="1652"/>
      <c r="AA166" s="1652"/>
      <c r="AB166" s="1652"/>
      <c r="AC166" s="1652"/>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52" t="s">
        <v>1792</v>
      </c>
      <c r="F168" s="1652"/>
      <c r="G168" s="1652"/>
      <c r="H168" s="1652"/>
      <c r="I168" s="1652"/>
      <c r="J168" s="1652"/>
      <c r="K168" s="1652"/>
      <c r="L168" s="1652"/>
      <c r="M168" s="1652"/>
      <c r="N168" s="1652"/>
      <c r="O168" s="1652"/>
      <c r="P168" s="1652"/>
      <c r="Q168" s="1652"/>
      <c r="R168" s="1652"/>
      <c r="S168" s="1652"/>
      <c r="T168" s="1652"/>
      <c r="U168" s="1652"/>
      <c r="V168" s="1652"/>
      <c r="W168" s="1652"/>
      <c r="X168" s="1652"/>
      <c r="Y168" s="1652"/>
      <c r="Z168" s="1652"/>
      <c r="AA168" s="1652"/>
      <c r="AB168" s="1652"/>
      <c r="AC168" s="1652"/>
      <c r="AF168" s="1714" t="s">
        <v>64</v>
      </c>
      <c r="AG168" s="1714"/>
      <c r="AH168" s="1714"/>
      <c r="AI168" s="1714"/>
      <c r="AJ168" s="1714"/>
      <c r="AK168" s="1714"/>
      <c r="AL168" s="1714"/>
      <c r="AN168" s="281"/>
    </row>
    <row r="169" spans="1:42" s="4" customFormat="1" ht="12.75" customHeight="1">
      <c r="A169" s="111"/>
      <c r="B169" s="5"/>
      <c r="C169" s="126"/>
      <c r="D169" s="26"/>
      <c r="E169" s="1652"/>
      <c r="F169" s="1652"/>
      <c r="G169" s="1652"/>
      <c r="H169" s="1652"/>
      <c r="I169" s="1652"/>
      <c r="J169" s="1652"/>
      <c r="K169" s="1652"/>
      <c r="L169" s="1652"/>
      <c r="M169" s="1652"/>
      <c r="N169" s="1652"/>
      <c r="O169" s="1652"/>
      <c r="P169" s="1652"/>
      <c r="Q169" s="1652"/>
      <c r="R169" s="1652"/>
      <c r="S169" s="1652"/>
      <c r="T169" s="1652"/>
      <c r="U169" s="1652"/>
      <c r="V169" s="1652"/>
      <c r="W169" s="1652"/>
      <c r="X169" s="1652"/>
      <c r="Y169" s="1652"/>
      <c r="Z169" s="1652"/>
      <c r="AA169" s="1652"/>
      <c r="AB169" s="1652"/>
      <c r="AC169" s="1652"/>
      <c r="AE169" s="108"/>
      <c r="AF169" s="108"/>
      <c r="AG169" s="108"/>
      <c r="AH169" s="108"/>
      <c r="AI169" s="108"/>
      <c r="AJ169" s="108"/>
      <c r="AK169" s="108"/>
      <c r="AL169" s="108"/>
      <c r="AM169" s="20"/>
      <c r="AN169" s="281"/>
    </row>
    <row r="170" spans="1:42" s="4" customFormat="1" ht="12.75" customHeight="1">
      <c r="A170" s="111"/>
      <c r="B170" s="5"/>
      <c r="C170" s="126"/>
      <c r="D170" s="26"/>
      <c r="E170" s="1652"/>
      <c r="F170" s="1652"/>
      <c r="G170" s="1652"/>
      <c r="H170" s="1652"/>
      <c r="I170" s="1652"/>
      <c r="J170" s="1652"/>
      <c r="K170" s="1652"/>
      <c r="L170" s="1652"/>
      <c r="M170" s="1652"/>
      <c r="N170" s="1652"/>
      <c r="O170" s="1652"/>
      <c r="P170" s="1652"/>
      <c r="Q170" s="1652"/>
      <c r="R170" s="1652"/>
      <c r="S170" s="1652"/>
      <c r="T170" s="1652"/>
      <c r="U170" s="1652"/>
      <c r="V170" s="1652"/>
      <c r="W170" s="1652"/>
      <c r="X170" s="1652"/>
      <c r="Y170" s="1652"/>
      <c r="Z170" s="1652"/>
      <c r="AA170" s="1652"/>
      <c r="AB170" s="1652"/>
      <c r="AC170" s="165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52" t="s">
        <v>1793</v>
      </c>
      <c r="F172" s="1652"/>
      <c r="G172" s="1652"/>
      <c r="H172" s="1652"/>
      <c r="I172" s="1652"/>
      <c r="J172" s="1652"/>
      <c r="K172" s="1652"/>
      <c r="L172" s="1652"/>
      <c r="M172" s="1652"/>
      <c r="N172" s="1652"/>
      <c r="O172" s="1652"/>
      <c r="P172" s="1652"/>
      <c r="Q172" s="1652"/>
      <c r="R172" s="1652"/>
      <c r="S172" s="1652"/>
      <c r="T172" s="1652"/>
      <c r="U172" s="1652"/>
      <c r="V172" s="1652"/>
      <c r="W172" s="1652"/>
      <c r="X172" s="1652"/>
      <c r="Y172" s="1652"/>
      <c r="Z172" s="1652"/>
      <c r="AA172" s="1652"/>
      <c r="AB172" s="1652"/>
      <c r="AC172" s="1652"/>
      <c r="AF172" s="1714" t="s">
        <v>65</v>
      </c>
      <c r="AG172" s="1714"/>
      <c r="AH172" s="1714"/>
      <c r="AI172" s="1714"/>
      <c r="AJ172" s="1714"/>
      <c r="AK172" s="1714"/>
      <c r="AL172" s="1714"/>
      <c r="AM172" s="20"/>
      <c r="AN172" s="281"/>
    </row>
    <row r="173" spans="1:42" s="4" customFormat="1" ht="12.75" customHeight="1">
      <c r="B173" s="5"/>
      <c r="C173" s="45"/>
      <c r="D173" s="26"/>
      <c r="E173" s="1652"/>
      <c r="F173" s="1652"/>
      <c r="G173" s="1652"/>
      <c r="H173" s="1652"/>
      <c r="I173" s="1652"/>
      <c r="J173" s="1652"/>
      <c r="K173" s="1652"/>
      <c r="L173" s="1652"/>
      <c r="M173" s="1652"/>
      <c r="N173" s="1652"/>
      <c r="O173" s="1652"/>
      <c r="P173" s="1652"/>
      <c r="Q173" s="1652"/>
      <c r="R173" s="1652"/>
      <c r="S173" s="1652"/>
      <c r="T173" s="1652"/>
      <c r="U173" s="1652"/>
      <c r="V173" s="1652"/>
      <c r="W173" s="1652"/>
      <c r="X173" s="1652"/>
      <c r="Y173" s="1652"/>
      <c r="Z173" s="1652"/>
      <c r="AA173" s="1652"/>
      <c r="AB173" s="1652"/>
      <c r="AC173" s="1652"/>
      <c r="AF173" s="5"/>
      <c r="AM173" s="20"/>
      <c r="AN173" s="281"/>
    </row>
    <row r="174" spans="1:42" s="4" customFormat="1" ht="12.75" customHeight="1">
      <c r="B174" s="5"/>
      <c r="C174" s="45"/>
      <c r="D174" s="26"/>
      <c r="E174" s="1652"/>
      <c r="F174" s="1652"/>
      <c r="G174" s="1652"/>
      <c r="H174" s="1652"/>
      <c r="I174" s="1652"/>
      <c r="J174" s="1652"/>
      <c r="K174" s="1652"/>
      <c r="L174" s="1652"/>
      <c r="M174" s="1652"/>
      <c r="N174" s="1652"/>
      <c r="O174" s="1652"/>
      <c r="P174" s="1652"/>
      <c r="Q174" s="1652"/>
      <c r="R174" s="1652"/>
      <c r="S174" s="1652"/>
      <c r="T174" s="1652"/>
      <c r="U174" s="1652"/>
      <c r="V174" s="1652"/>
      <c r="W174" s="1652"/>
      <c r="X174" s="1652"/>
      <c r="Y174" s="1652"/>
      <c r="Z174" s="1652"/>
      <c r="AA174" s="1652"/>
      <c r="AB174" s="1652"/>
      <c r="AC174" s="1652"/>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2" t="s">
        <v>1542</v>
      </c>
      <c r="F176" s="1652"/>
      <c r="G176" s="1652"/>
      <c r="H176" s="1652"/>
      <c r="I176" s="1652"/>
      <c r="J176" s="1652"/>
      <c r="K176" s="1652"/>
      <c r="L176" s="1652"/>
      <c r="M176" s="1652"/>
      <c r="N176" s="1652"/>
      <c r="O176" s="1652"/>
      <c r="P176" s="1652"/>
      <c r="Q176" s="1652"/>
      <c r="R176" s="1652"/>
      <c r="S176" s="1652"/>
      <c r="T176" s="1652"/>
      <c r="U176" s="1652"/>
      <c r="V176" s="1652"/>
      <c r="W176" s="1652"/>
      <c r="X176" s="1652"/>
      <c r="Y176" s="1652"/>
      <c r="Z176" s="1652"/>
      <c r="AA176" s="1652"/>
      <c r="AB176" s="1652"/>
      <c r="AC176" s="1652"/>
      <c r="AF176" s="1714" t="s">
        <v>111</v>
      </c>
      <c r="AG176" s="1714"/>
      <c r="AH176" s="1714"/>
      <c r="AI176" s="1714"/>
      <c r="AJ176" s="1714"/>
      <c r="AK176" s="1714"/>
      <c r="AL176" s="1714"/>
      <c r="AM176" s="20"/>
      <c r="AN176" s="281"/>
    </row>
    <row r="177" spans="1:42" s="4" customFormat="1" ht="22.9" customHeight="1">
      <c r="A177" s="120"/>
      <c r="B177" s="5"/>
      <c r="C177" s="45"/>
      <c r="D177" s="26"/>
      <c r="E177" s="1652"/>
      <c r="F177" s="1652"/>
      <c r="G177" s="1652"/>
      <c r="H177" s="1652"/>
      <c r="I177" s="1652"/>
      <c r="J177" s="1652"/>
      <c r="K177" s="1652"/>
      <c r="L177" s="1652"/>
      <c r="M177" s="1652"/>
      <c r="N177" s="1652"/>
      <c r="O177" s="1652"/>
      <c r="P177" s="1652"/>
      <c r="Q177" s="1652"/>
      <c r="R177" s="1652"/>
      <c r="S177" s="1652"/>
      <c r="T177" s="1652"/>
      <c r="U177" s="1652"/>
      <c r="V177" s="1652"/>
      <c r="W177" s="1652"/>
      <c r="X177" s="1652"/>
      <c r="Y177" s="1652"/>
      <c r="Z177" s="1652"/>
      <c r="AA177" s="1652"/>
      <c r="AB177" s="1652"/>
      <c r="AC177" s="165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2" t="s">
        <v>1543</v>
      </c>
      <c r="F179" s="1652"/>
      <c r="G179" s="1652"/>
      <c r="H179" s="1652"/>
      <c r="I179" s="1652"/>
      <c r="J179" s="1652"/>
      <c r="K179" s="1652"/>
      <c r="L179" s="1652"/>
      <c r="M179" s="1652"/>
      <c r="N179" s="1652"/>
      <c r="O179" s="1652"/>
      <c r="P179" s="1652"/>
      <c r="Q179" s="1652"/>
      <c r="R179" s="1652"/>
      <c r="S179" s="1652"/>
      <c r="T179" s="1652"/>
      <c r="U179" s="1652"/>
      <c r="V179" s="1652"/>
      <c r="W179" s="1652"/>
      <c r="X179" s="1652"/>
      <c r="Y179" s="1652"/>
      <c r="Z179" s="1652"/>
      <c r="AA179" s="1652"/>
      <c r="AB179" s="1652"/>
      <c r="AC179" s="1652"/>
      <c r="AF179" s="1714" t="s">
        <v>339</v>
      </c>
      <c r="AG179" s="1714"/>
      <c r="AH179" s="1714"/>
      <c r="AI179" s="1714"/>
      <c r="AJ179" s="1714"/>
      <c r="AK179" s="1714"/>
      <c r="AL179" s="1714"/>
      <c r="AM179" s="20"/>
      <c r="AN179" s="281"/>
      <c r="AO179" s="26" t="s">
        <v>612</v>
      </c>
      <c r="AP179" s="4">
        <v>3</v>
      </c>
    </row>
    <row r="180" spans="1:42" s="4" customFormat="1" ht="22.9" customHeight="1">
      <c r="A180" s="120"/>
      <c r="B180" s="5"/>
      <c r="C180" s="45"/>
      <c r="D180" s="26"/>
      <c r="E180" s="1652"/>
      <c r="F180" s="1652"/>
      <c r="G180" s="1652"/>
      <c r="H180" s="1652"/>
      <c r="I180" s="1652"/>
      <c r="J180" s="1652"/>
      <c r="K180" s="1652"/>
      <c r="L180" s="1652"/>
      <c r="M180" s="1652"/>
      <c r="N180" s="1652"/>
      <c r="O180" s="1652"/>
      <c r="P180" s="1652"/>
      <c r="Q180" s="1652"/>
      <c r="R180" s="1652"/>
      <c r="S180" s="1652"/>
      <c r="T180" s="1652"/>
      <c r="U180" s="1652"/>
      <c r="V180" s="1652"/>
      <c r="W180" s="1652"/>
      <c r="X180" s="1652"/>
      <c r="Y180" s="1652"/>
      <c r="Z180" s="1652"/>
      <c r="AA180" s="1652"/>
      <c r="AB180" s="1652"/>
      <c r="AC180" s="1652"/>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9" t="s">
        <v>932</v>
      </c>
      <c r="I182" s="181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6">
        <f>VLOOKUP($H$182,$AO$132:$AP$139,2,FALSE)</f>
        <v>3</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52" t="s">
        <v>2344</v>
      </c>
      <c r="F188" s="1652"/>
      <c r="G188" s="1652"/>
      <c r="H188" s="1652"/>
      <c r="I188" s="1652"/>
      <c r="J188" s="1652"/>
      <c r="K188" s="1652"/>
      <c r="L188" s="1652"/>
      <c r="M188" s="1652"/>
      <c r="N188" s="1652"/>
      <c r="O188" s="1652"/>
      <c r="P188" s="1652"/>
      <c r="Q188" s="1652"/>
      <c r="R188" s="1652"/>
      <c r="S188" s="1652"/>
      <c r="T188" s="1652"/>
      <c r="U188" s="1652"/>
      <c r="V188" s="1652"/>
      <c r="W188" s="1652"/>
      <c r="X188" s="1652"/>
      <c r="Y188" s="1652"/>
      <c r="Z188" s="1652"/>
      <c r="AA188" s="1652"/>
      <c r="AB188" s="1652"/>
      <c r="AF188" s="1714" t="s">
        <v>65</v>
      </c>
      <c r="AG188" s="1714"/>
      <c r="AH188" s="1714"/>
      <c r="AI188" s="1714"/>
      <c r="AJ188" s="1714"/>
      <c r="AK188" s="1714"/>
      <c r="AL188" s="1714"/>
      <c r="AN188" s="281"/>
    </row>
    <row r="189" spans="1:42" s="4" customFormat="1" ht="12.75" customHeight="1">
      <c r="B189" s="5"/>
      <c r="C189" s="121"/>
      <c r="D189" s="26"/>
      <c r="E189" s="1652"/>
      <c r="F189" s="1652"/>
      <c r="G189" s="1652"/>
      <c r="H189" s="1652"/>
      <c r="I189" s="1652"/>
      <c r="J189" s="1652"/>
      <c r="K189" s="1652"/>
      <c r="L189" s="1652"/>
      <c r="M189" s="1652"/>
      <c r="N189" s="1652"/>
      <c r="O189" s="1652"/>
      <c r="P189" s="1652"/>
      <c r="Q189" s="1652"/>
      <c r="R189" s="1652"/>
      <c r="S189" s="1652"/>
      <c r="T189" s="1652"/>
      <c r="U189" s="1652"/>
      <c r="V189" s="1652"/>
      <c r="W189" s="1652"/>
      <c r="X189" s="1652"/>
      <c r="Y189" s="1652"/>
      <c r="Z189" s="1652"/>
      <c r="AA189" s="1652"/>
      <c r="AB189" s="1652"/>
      <c r="AE189" s="19"/>
      <c r="AN189" s="281"/>
      <c r="AO189" s="1411"/>
      <c r="AP189" s="1411"/>
    </row>
    <row r="190" spans="1:42" s="4" customFormat="1" ht="12.75" customHeight="1">
      <c r="B190" s="5"/>
      <c r="C190" s="121"/>
      <c r="D190" s="26"/>
      <c r="E190" s="1652"/>
      <c r="F190" s="1652"/>
      <c r="G190" s="1652"/>
      <c r="H190" s="1652"/>
      <c r="I190" s="1652"/>
      <c r="J190" s="1652"/>
      <c r="K190" s="1652"/>
      <c r="L190" s="1652"/>
      <c r="M190" s="1652"/>
      <c r="N190" s="1652"/>
      <c r="O190" s="1652"/>
      <c r="P190" s="1652"/>
      <c r="Q190" s="1652"/>
      <c r="R190" s="1652"/>
      <c r="S190" s="1652"/>
      <c r="T190" s="1652"/>
      <c r="U190" s="1652"/>
      <c r="V190" s="1652"/>
      <c r="W190" s="1652"/>
      <c r="X190" s="1652"/>
      <c r="Y190" s="1652"/>
      <c r="Z190" s="1652"/>
      <c r="AA190" s="1652"/>
      <c r="AB190" s="1652"/>
      <c r="AE190" s="19"/>
      <c r="AF190" s="102"/>
      <c r="AG190" s="19"/>
      <c r="AH190" s="19"/>
      <c r="AI190" s="19"/>
      <c r="AJ190" s="19"/>
      <c r="AK190" s="19"/>
      <c r="AL190" s="19"/>
      <c r="AN190" s="281"/>
    </row>
    <row r="191" spans="1:42" s="4" customFormat="1" ht="11.25" customHeight="1">
      <c r="B191" s="5"/>
      <c r="C191" s="121"/>
      <c r="D191" s="26"/>
      <c r="E191" s="1652"/>
      <c r="F191" s="1652"/>
      <c r="G191" s="1652"/>
      <c r="H191" s="1652"/>
      <c r="I191" s="1652"/>
      <c r="J191" s="1652"/>
      <c r="K191" s="1652"/>
      <c r="L191" s="1652"/>
      <c r="M191" s="1652"/>
      <c r="N191" s="1652"/>
      <c r="O191" s="1652"/>
      <c r="P191" s="1652"/>
      <c r="Q191" s="1652"/>
      <c r="R191" s="1652"/>
      <c r="S191" s="1652"/>
      <c r="T191" s="1652"/>
      <c r="U191" s="1652"/>
      <c r="V191" s="1652"/>
      <c r="W191" s="1652"/>
      <c r="X191" s="1652"/>
      <c r="Y191" s="1652"/>
      <c r="Z191" s="1652"/>
      <c r="AA191" s="1652"/>
      <c r="AB191" s="1652"/>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52" t="s">
        <v>2345</v>
      </c>
      <c r="F193" s="1652"/>
      <c r="G193" s="1652"/>
      <c r="H193" s="1652"/>
      <c r="I193" s="1652"/>
      <c r="J193" s="1652"/>
      <c r="K193" s="1652"/>
      <c r="L193" s="1652"/>
      <c r="M193" s="1652"/>
      <c r="N193" s="1652"/>
      <c r="O193" s="1652"/>
      <c r="P193" s="1652"/>
      <c r="Q193" s="1652"/>
      <c r="R193" s="1652"/>
      <c r="S193" s="1652"/>
      <c r="T193" s="1652"/>
      <c r="U193" s="1652"/>
      <c r="V193" s="1652"/>
      <c r="W193" s="1652"/>
      <c r="X193" s="1652"/>
      <c r="Y193" s="1652"/>
      <c r="Z193" s="1652"/>
      <c r="AA193" s="1652"/>
      <c r="AB193" s="1652"/>
      <c r="AF193" s="1714" t="s">
        <v>111</v>
      </c>
      <c r="AG193" s="1714"/>
      <c r="AH193" s="1714"/>
      <c r="AI193" s="1714"/>
      <c r="AJ193" s="1714"/>
      <c r="AK193" s="1714"/>
      <c r="AL193" s="1714"/>
      <c r="AN193" s="281"/>
      <c r="AO193" s="26" t="s">
        <v>208</v>
      </c>
      <c r="AP193" s="4">
        <v>1</v>
      </c>
    </row>
    <row r="194" spans="1:42" s="4" customFormat="1" ht="12.75" customHeight="1">
      <c r="B194" s="5"/>
      <c r="C194" s="45"/>
      <c r="E194" s="1652"/>
      <c r="F194" s="1652"/>
      <c r="G194" s="1652"/>
      <c r="H194" s="1652"/>
      <c r="I194" s="1652"/>
      <c r="J194" s="1652"/>
      <c r="K194" s="1652"/>
      <c r="L194" s="1652"/>
      <c r="M194" s="1652"/>
      <c r="N194" s="1652"/>
      <c r="O194" s="1652"/>
      <c r="P194" s="1652"/>
      <c r="Q194" s="1652"/>
      <c r="R194" s="1652"/>
      <c r="S194" s="1652"/>
      <c r="T194" s="1652"/>
      <c r="U194" s="1652"/>
      <c r="V194" s="1652"/>
      <c r="W194" s="1652"/>
      <c r="X194" s="1652"/>
      <c r="Y194" s="1652"/>
      <c r="Z194" s="1652"/>
      <c r="AA194" s="1652"/>
      <c r="AB194" s="1652"/>
      <c r="AD194" s="5"/>
      <c r="AE194" s="19"/>
      <c r="AN194" s="281"/>
    </row>
    <row r="195" spans="1:42" s="4" customFormat="1" ht="12.75" customHeight="1">
      <c r="B195" s="5"/>
      <c r="C195" s="45"/>
      <c r="E195" s="1652"/>
      <c r="F195" s="1652"/>
      <c r="G195" s="1652"/>
      <c r="H195" s="1652"/>
      <c r="I195" s="1652"/>
      <c r="J195" s="1652"/>
      <c r="K195" s="1652"/>
      <c r="L195" s="1652"/>
      <c r="M195" s="1652"/>
      <c r="N195" s="1652"/>
      <c r="O195" s="1652"/>
      <c r="P195" s="1652"/>
      <c r="Q195" s="1652"/>
      <c r="R195" s="1652"/>
      <c r="S195" s="1652"/>
      <c r="T195" s="1652"/>
      <c r="U195" s="1652"/>
      <c r="V195" s="1652"/>
      <c r="W195" s="1652"/>
      <c r="X195" s="1652"/>
      <c r="Y195" s="1652"/>
      <c r="Z195" s="1652"/>
      <c r="AA195" s="1652"/>
      <c r="AB195" s="1652"/>
      <c r="AD195" s="5"/>
      <c r="AE195" s="19"/>
      <c r="AN195" s="281"/>
    </row>
    <row r="196" spans="1:42" customFormat="1" ht="12.75" customHeight="1">
      <c r="A196" s="4"/>
      <c r="B196" s="5"/>
      <c r="C196" s="45"/>
      <c r="D196" s="4"/>
      <c r="E196" s="1652"/>
      <c r="F196" s="1652"/>
      <c r="G196" s="1652"/>
      <c r="H196" s="1652"/>
      <c r="I196" s="1652"/>
      <c r="J196" s="1652"/>
      <c r="K196" s="1652"/>
      <c r="L196" s="1652"/>
      <c r="M196" s="1652"/>
      <c r="N196" s="1652"/>
      <c r="O196" s="1652"/>
      <c r="P196" s="1652"/>
      <c r="Q196" s="1652"/>
      <c r="R196" s="1652"/>
      <c r="S196" s="1652"/>
      <c r="T196" s="1652"/>
      <c r="U196" s="1652"/>
      <c r="V196" s="1652"/>
      <c r="W196" s="1652"/>
      <c r="X196" s="1652"/>
      <c r="Y196" s="1652"/>
      <c r="Z196" s="1652"/>
      <c r="AA196" s="1652"/>
      <c r="AB196" s="1652"/>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6" t="s">
        <v>2050</v>
      </c>
      <c r="F198" s="1716"/>
      <c r="G198" s="1716"/>
      <c r="H198" s="1716"/>
      <c r="I198" s="1716"/>
      <c r="J198" s="1716"/>
      <c r="K198" s="1716"/>
      <c r="L198" s="1716"/>
      <c r="M198" s="1716"/>
      <c r="N198" s="1716"/>
      <c r="O198" s="1716"/>
      <c r="P198" s="1716"/>
      <c r="Q198" s="1716"/>
      <c r="R198" s="1716"/>
      <c r="S198" s="1716"/>
      <c r="T198" s="1716"/>
      <c r="U198" s="1716"/>
      <c r="V198" s="1716"/>
      <c r="W198" s="1716"/>
      <c r="X198" s="1716"/>
      <c r="Y198" s="1716"/>
      <c r="Z198" s="1716"/>
      <c r="AA198" s="1716"/>
      <c r="AB198" s="1716"/>
      <c r="AC198" s="4"/>
      <c r="AD198" s="5"/>
      <c r="AE198" s="19"/>
      <c r="AF198" s="19"/>
      <c r="AG198" s="19"/>
      <c r="AH198" s="19"/>
      <c r="AI198" s="19"/>
      <c r="AJ198" s="4"/>
      <c r="AK198" s="4"/>
      <c r="AL198" s="4"/>
      <c r="AM198" s="4"/>
      <c r="AN198" s="204"/>
    </row>
    <row r="199" spans="1:42" customFormat="1" ht="12.75" customHeight="1">
      <c r="A199" s="4"/>
      <c r="B199" s="5"/>
      <c r="C199" s="45"/>
      <c r="D199" s="4"/>
      <c r="E199" s="1716"/>
      <c r="F199" s="1716"/>
      <c r="G199" s="1716"/>
      <c r="H199" s="1716"/>
      <c r="I199" s="1716"/>
      <c r="J199" s="1716"/>
      <c r="K199" s="1716"/>
      <c r="L199" s="1716"/>
      <c r="M199" s="1716"/>
      <c r="N199" s="1716"/>
      <c r="O199" s="1716"/>
      <c r="P199" s="1716"/>
      <c r="Q199" s="1716"/>
      <c r="R199" s="1716"/>
      <c r="S199" s="1716"/>
      <c r="T199" s="1716"/>
      <c r="U199" s="1716"/>
      <c r="V199" s="1716"/>
      <c r="W199" s="1716"/>
      <c r="X199" s="1716"/>
      <c r="Y199" s="1716"/>
      <c r="Z199" s="1716"/>
      <c r="AA199" s="1716"/>
      <c r="AB199" s="1716"/>
      <c r="AC199" s="4"/>
      <c r="AD199" s="5"/>
      <c r="AE199" s="19"/>
      <c r="AF199" s="19"/>
      <c r="AG199" s="19"/>
      <c r="AH199" s="19"/>
      <c r="AI199" s="19"/>
      <c r="AJ199" s="4"/>
      <c r="AK199" s="4"/>
      <c r="AL199" s="4"/>
      <c r="AM199" s="4"/>
      <c r="AN199" s="204"/>
    </row>
    <row r="200" spans="1:42" customFormat="1" ht="18" customHeight="1">
      <c r="A200" s="4"/>
      <c r="B200" s="5"/>
      <c r="C200" s="45"/>
      <c r="D200" s="4"/>
      <c r="E200" s="1716"/>
      <c r="F200" s="1716"/>
      <c r="G200" s="1716"/>
      <c r="H200" s="1716"/>
      <c r="I200" s="1716"/>
      <c r="J200" s="1716"/>
      <c r="K200" s="1716"/>
      <c r="L200" s="1716"/>
      <c r="M200" s="1716"/>
      <c r="N200" s="1716"/>
      <c r="O200" s="1716"/>
      <c r="P200" s="1716"/>
      <c r="Q200" s="1716"/>
      <c r="R200" s="1716"/>
      <c r="S200" s="1716"/>
      <c r="T200" s="1716"/>
      <c r="U200" s="1716"/>
      <c r="V200" s="1716"/>
      <c r="W200" s="1716"/>
      <c r="X200" s="1716"/>
      <c r="Y200" s="1716"/>
      <c r="Z200" s="1716"/>
      <c r="AA200" s="1716"/>
      <c r="AB200" s="171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9" t="s">
        <v>612</v>
      </c>
      <c r="I201" s="181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56">
        <f>VLOOKUP($H$201,$AO$151:$AP$153,2,FALSE)</f>
        <v>3</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7" t="s">
        <v>1307</v>
      </c>
      <c r="F207" s="1817"/>
      <c r="G207" s="1817"/>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4"/>
      <c r="AD207" s="4"/>
      <c r="AF207" s="1714" t="s">
        <v>65</v>
      </c>
      <c r="AG207" s="1714"/>
      <c r="AH207" s="1714"/>
      <c r="AI207" s="1714"/>
      <c r="AJ207" s="1714"/>
      <c r="AK207" s="1714"/>
      <c r="AL207" s="1714"/>
      <c r="AM207" s="4"/>
      <c r="AN207" s="204"/>
      <c r="AP207" t="s">
        <v>106</v>
      </c>
    </row>
    <row r="208" spans="1:42" customFormat="1" ht="11.85" customHeight="1">
      <c r="A208" s="4"/>
      <c r="B208" s="5"/>
      <c r="C208" s="115"/>
      <c r="D208" s="26"/>
      <c r="E208" s="1817"/>
      <c r="F208" s="1817"/>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4"/>
      <c r="AD208" s="4"/>
      <c r="AE208" s="4"/>
      <c r="AM208" s="4"/>
      <c r="AN208" s="204"/>
      <c r="AP208" t="s">
        <v>103</v>
      </c>
    </row>
    <row r="209" spans="1:52" customFormat="1" ht="13.9" customHeight="1">
      <c r="A209" s="4"/>
      <c r="B209" s="42"/>
      <c r="C209" s="45"/>
      <c r="D209" s="26"/>
      <c r="E209" s="1817"/>
      <c r="F209" s="1817"/>
      <c r="G209" s="1817"/>
      <c r="H209" s="1817"/>
      <c r="I209" s="1817"/>
      <c r="J209" s="1817"/>
      <c r="K209" s="1817"/>
      <c r="L209" s="1817"/>
      <c r="M209" s="1817"/>
      <c r="N209" s="1817"/>
      <c r="O209" s="1817"/>
      <c r="P209" s="1817"/>
      <c r="Q209" s="1817"/>
      <c r="R209" s="1817"/>
      <c r="S209" s="1817"/>
      <c r="T209" s="1817"/>
      <c r="U209" s="1817"/>
      <c r="V209" s="1817"/>
      <c r="W209" s="1817"/>
      <c r="X209" s="1817"/>
      <c r="Y209" s="1817"/>
      <c r="Z209" s="1817"/>
      <c r="AA209" s="1817"/>
      <c r="AB209" s="1817"/>
      <c r="AC209" s="4"/>
      <c r="AD209" s="4"/>
      <c r="AE209" s="19"/>
      <c r="AM209" s="4"/>
      <c r="AN209" s="204"/>
      <c r="AP209" t="s">
        <v>104</v>
      </c>
    </row>
    <row r="210" spans="1:52" customFormat="1" ht="13.9" customHeight="1">
      <c r="A210" s="4"/>
      <c r="B210" s="5"/>
      <c r="C210" s="45"/>
      <c r="D210" s="26" t="s">
        <v>208</v>
      </c>
      <c r="E210" s="1884" t="s">
        <v>1308</v>
      </c>
      <c r="F210" s="1884"/>
      <c r="G210" s="1884"/>
      <c r="H210" s="1884"/>
      <c r="I210" s="1884"/>
      <c r="J210" s="1884"/>
      <c r="K210" s="1884"/>
      <c r="L210" s="1884"/>
      <c r="M210" s="1884"/>
      <c r="N210" s="1884"/>
      <c r="O210" s="1884"/>
      <c r="P210" s="1884"/>
      <c r="Q210" s="1884"/>
      <c r="R210" s="1884"/>
      <c r="S210" s="1884"/>
      <c r="T210" s="1884"/>
      <c r="U210" s="1884"/>
      <c r="V210" s="1884"/>
      <c r="W210" s="1884"/>
      <c r="X210" s="1884"/>
      <c r="Y210" s="1884"/>
      <c r="Z210" s="1884"/>
      <c r="AA210" s="1884"/>
      <c r="AB210" s="1884"/>
      <c r="AC210" s="4"/>
      <c r="AD210" s="4"/>
      <c r="AF210" s="1714" t="s">
        <v>111</v>
      </c>
      <c r="AG210" s="1714"/>
      <c r="AH210" s="1714"/>
      <c r="AI210" s="1714"/>
      <c r="AJ210" s="1714"/>
      <c r="AK210" s="1714"/>
      <c r="AL210" s="1714"/>
      <c r="AM210" s="4"/>
      <c r="AN210" s="688"/>
      <c r="AP210" s="48" t="s">
        <v>370</v>
      </c>
    </row>
    <row r="211" spans="1:52" customFormat="1" ht="12.75" customHeight="1">
      <c r="A211" s="4"/>
      <c r="B211" s="5"/>
      <c r="C211" s="115"/>
      <c r="D211" s="4"/>
      <c r="E211" s="1884"/>
      <c r="F211" s="1884"/>
      <c r="G211" s="1884"/>
      <c r="H211" s="1884"/>
      <c r="I211" s="1884"/>
      <c r="J211" s="1884"/>
      <c r="K211" s="1884"/>
      <c r="L211" s="1884"/>
      <c r="M211" s="1884"/>
      <c r="N211" s="1884"/>
      <c r="O211" s="1884"/>
      <c r="P211" s="1884"/>
      <c r="Q211" s="1884"/>
      <c r="R211" s="1884"/>
      <c r="S211" s="1884"/>
      <c r="T211" s="1884"/>
      <c r="U211" s="1884"/>
      <c r="V211" s="1884"/>
      <c r="W211" s="1884"/>
      <c r="X211" s="1884"/>
      <c r="Y211" s="1884"/>
      <c r="Z211" s="1884"/>
      <c r="AA211" s="1884"/>
      <c r="AB211" s="1884"/>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84"/>
      <c r="F212" s="1884"/>
      <c r="G212" s="1884"/>
      <c r="H212" s="1884"/>
      <c r="I212" s="1884"/>
      <c r="J212" s="1884"/>
      <c r="K212" s="1884"/>
      <c r="L212" s="1884"/>
      <c r="M212" s="1884"/>
      <c r="N212" s="1884"/>
      <c r="O212" s="1884"/>
      <c r="P212" s="1884"/>
      <c r="Q212" s="1884"/>
      <c r="R212" s="1884"/>
      <c r="S212" s="1884"/>
      <c r="T212" s="1884"/>
      <c r="U212" s="1884"/>
      <c r="V212" s="1884"/>
      <c r="W212" s="1884"/>
      <c r="X212" s="1884"/>
      <c r="Y212" s="1884"/>
      <c r="Z212" s="1884"/>
      <c r="AA212" s="1884"/>
      <c r="AB212" s="1884"/>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819" t="s">
        <v>132</v>
      </c>
      <c r="I213" s="181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52" t="s">
        <v>1559</v>
      </c>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A219" s="1652"/>
      <c r="AB219" s="1652"/>
      <c r="AC219" s="4"/>
      <c r="AD219" s="4"/>
      <c r="AF219" s="1714" t="s">
        <v>65</v>
      </c>
      <c r="AG219" s="1714"/>
      <c r="AH219" s="1714"/>
      <c r="AI219" s="1714"/>
      <c r="AJ219" s="1714"/>
      <c r="AK219" s="1714"/>
      <c r="AL219" s="1714"/>
      <c r="AM219" s="4"/>
      <c r="AN219" s="204"/>
      <c r="AT219" s="21"/>
      <c r="AU219" s="21"/>
      <c r="AV219" s="21"/>
      <c r="AW219" s="21"/>
      <c r="AX219" s="21"/>
      <c r="AY219" s="21"/>
      <c r="AZ219" s="21"/>
    </row>
    <row r="220" spans="1:52" customFormat="1">
      <c r="A220" s="4"/>
      <c r="B220" s="5"/>
      <c r="C220" s="115"/>
      <c r="D220" s="26"/>
      <c r="E220" s="1652"/>
      <c r="F220" s="1652"/>
      <c r="G220" s="1652"/>
      <c r="H220" s="1652"/>
      <c r="I220" s="1652"/>
      <c r="J220" s="1652"/>
      <c r="K220" s="1652"/>
      <c r="L220" s="1652"/>
      <c r="M220" s="1652"/>
      <c r="N220" s="1652"/>
      <c r="O220" s="1652"/>
      <c r="P220" s="1652"/>
      <c r="Q220" s="1652"/>
      <c r="R220" s="1652"/>
      <c r="S220" s="1652"/>
      <c r="T220" s="1652"/>
      <c r="U220" s="1652"/>
      <c r="V220" s="1652"/>
      <c r="W220" s="1652"/>
      <c r="X220" s="1652"/>
      <c r="Y220" s="1652"/>
      <c r="Z220" s="1652"/>
      <c r="AA220" s="1652"/>
      <c r="AB220" s="165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2" t="s">
        <v>923</v>
      </c>
      <c r="F222" s="1652"/>
      <c r="G222" s="1652"/>
      <c r="H222" s="1652"/>
      <c r="I222" s="1652"/>
      <c r="J222" s="1652"/>
      <c r="K222" s="1652"/>
      <c r="L222" s="1652"/>
      <c r="M222" s="1652"/>
      <c r="N222" s="1652"/>
      <c r="O222" s="1652"/>
      <c r="P222" s="1652"/>
      <c r="Q222" s="1652"/>
      <c r="R222" s="1652"/>
      <c r="S222" s="1652"/>
      <c r="T222" s="1652"/>
      <c r="U222" s="1652"/>
      <c r="V222" s="1652"/>
      <c r="W222" s="1652"/>
      <c r="X222" s="1652"/>
      <c r="Y222" s="1652"/>
      <c r="Z222" s="1652"/>
      <c r="AA222" s="1652"/>
      <c r="AB222" s="1652"/>
      <c r="AC222" s="4"/>
      <c r="AD222" s="4"/>
      <c r="AF222" s="1714" t="s">
        <v>111</v>
      </c>
      <c r="AG222" s="1714"/>
      <c r="AH222" s="1714"/>
      <c r="AI222" s="1714"/>
      <c r="AJ222" s="1714"/>
      <c r="AK222" s="1714"/>
      <c r="AL222" s="1714"/>
      <c r="AM222" s="4"/>
      <c r="AN222" s="204"/>
      <c r="AT222" s="21"/>
      <c r="AU222" s="21"/>
      <c r="AV222" s="21"/>
      <c r="AW222" s="21"/>
      <c r="AX222" s="21"/>
      <c r="AY222" s="21"/>
      <c r="AZ222" s="21"/>
    </row>
    <row r="223" spans="1:52" customFormat="1">
      <c r="A223" s="4"/>
      <c r="B223" s="5"/>
      <c r="C223" s="115"/>
      <c r="D223" s="4"/>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9" t="s">
        <v>132</v>
      </c>
      <c r="I225" s="181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52" t="s">
        <v>1170</v>
      </c>
      <c r="F231" s="1652"/>
      <c r="G231" s="1652"/>
      <c r="H231" s="1652"/>
      <c r="I231" s="1652"/>
      <c r="J231" s="1652"/>
      <c r="K231" s="1652"/>
      <c r="L231" s="1652"/>
      <c r="M231" s="1652"/>
      <c r="N231" s="1652"/>
      <c r="O231" s="1652"/>
      <c r="P231" s="1652"/>
      <c r="Q231" s="1652"/>
      <c r="R231" s="1652"/>
      <c r="S231" s="1652"/>
      <c r="T231" s="1652"/>
      <c r="U231" s="1652"/>
      <c r="V231" s="1652"/>
      <c r="W231" s="1652"/>
      <c r="X231" s="1652"/>
      <c r="Y231" s="1652"/>
      <c r="Z231" s="1652"/>
      <c r="AA231" s="1652"/>
      <c r="AB231" s="1652"/>
      <c r="AC231" s="4"/>
      <c r="AD231" s="4"/>
      <c r="AF231" s="1714" t="s">
        <v>65</v>
      </c>
      <c r="AG231" s="1714"/>
      <c r="AH231" s="1714"/>
      <c r="AI231" s="1714"/>
      <c r="AJ231" s="1714"/>
      <c r="AK231" s="1714"/>
      <c r="AL231" s="1714"/>
      <c r="AM231" s="4"/>
      <c r="AN231" s="204"/>
      <c r="AT231" s="21"/>
      <c r="AU231" s="21"/>
      <c r="AV231" s="21"/>
      <c r="AW231" s="21"/>
      <c r="AX231" s="21"/>
      <c r="AY231" s="21"/>
      <c r="AZ231" s="21"/>
    </row>
    <row r="232" spans="1:82" customFormat="1">
      <c r="A232" s="4"/>
      <c r="B232" s="5"/>
      <c r="C232" s="115"/>
      <c r="D232" s="26"/>
      <c r="E232" s="1652"/>
      <c r="F232" s="1652"/>
      <c r="G232" s="1652"/>
      <c r="H232" s="1652"/>
      <c r="I232" s="1652"/>
      <c r="J232" s="1652"/>
      <c r="K232" s="1652"/>
      <c r="L232" s="1652"/>
      <c r="M232" s="1652"/>
      <c r="N232" s="1652"/>
      <c r="O232" s="1652"/>
      <c r="P232" s="1652"/>
      <c r="Q232" s="1652"/>
      <c r="R232" s="1652"/>
      <c r="S232" s="1652"/>
      <c r="T232" s="1652"/>
      <c r="U232" s="1652"/>
      <c r="V232" s="1652"/>
      <c r="W232" s="1652"/>
      <c r="X232" s="1652"/>
      <c r="Y232" s="1652"/>
      <c r="Z232" s="1652"/>
      <c r="AA232" s="1652"/>
      <c r="AB232" s="1652"/>
      <c r="AC232" s="4"/>
      <c r="AD232" s="4"/>
      <c r="AL232" s="4"/>
      <c r="AM232" s="4"/>
      <c r="AN232" s="204"/>
    </row>
    <row r="233" spans="1:82" customFormat="1" ht="12.75" customHeight="1">
      <c r="A233" s="4"/>
      <c r="B233" s="5"/>
      <c r="C233" s="115"/>
      <c r="D233" s="26"/>
      <c r="E233" s="1652"/>
      <c r="F233" s="1652"/>
      <c r="G233" s="1652"/>
      <c r="H233" s="1652"/>
      <c r="I233" s="1652"/>
      <c r="J233" s="1652"/>
      <c r="K233" s="1652"/>
      <c r="L233" s="1652"/>
      <c r="M233" s="1652"/>
      <c r="N233" s="1652"/>
      <c r="O233" s="1652"/>
      <c r="P233" s="1652"/>
      <c r="Q233" s="1652"/>
      <c r="R233" s="1652"/>
      <c r="S233" s="1652"/>
      <c r="T233" s="1652"/>
      <c r="U233" s="1652"/>
      <c r="V233" s="1652"/>
      <c r="W233" s="1652"/>
      <c r="X233" s="1652"/>
      <c r="Y233" s="1652"/>
      <c r="Z233" s="1652"/>
      <c r="AA233" s="1652"/>
      <c r="AB233" s="1652"/>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52" t="s">
        <v>1171</v>
      </c>
      <c r="F235" s="1652"/>
      <c r="G235" s="1652"/>
      <c r="H235" s="1652"/>
      <c r="I235" s="1652"/>
      <c r="J235" s="1652"/>
      <c r="K235" s="1652"/>
      <c r="L235" s="1652"/>
      <c r="M235" s="1652"/>
      <c r="N235" s="1652"/>
      <c r="O235" s="1652"/>
      <c r="P235" s="1652"/>
      <c r="Q235" s="1652"/>
      <c r="R235" s="1652"/>
      <c r="S235" s="1652"/>
      <c r="T235" s="1652"/>
      <c r="U235" s="1652"/>
      <c r="V235" s="1652"/>
      <c r="W235" s="1652"/>
      <c r="X235" s="1652"/>
      <c r="Y235" s="1652"/>
      <c r="Z235" s="1652"/>
      <c r="AA235" s="1652"/>
      <c r="AB235" s="344"/>
      <c r="AC235" s="4"/>
      <c r="AD235" s="4"/>
      <c r="AF235" s="1714" t="s">
        <v>111</v>
      </c>
      <c r="AG235" s="1714"/>
      <c r="AH235" s="1714"/>
      <c r="AI235" s="1714"/>
      <c r="AJ235" s="1714"/>
      <c r="AK235" s="1714"/>
      <c r="AL235" s="1714"/>
      <c r="AM235" s="4"/>
      <c r="AN235" s="204"/>
      <c r="AO235" s="38"/>
      <c r="AP235" s="21"/>
    </row>
    <row r="236" spans="1:82" customFormat="1">
      <c r="A236" s="4"/>
      <c r="B236" s="5"/>
      <c r="C236" s="45"/>
      <c r="D236" s="4"/>
      <c r="E236" s="1652"/>
      <c r="F236" s="1652"/>
      <c r="G236" s="1652"/>
      <c r="H236" s="1652"/>
      <c r="I236" s="1652"/>
      <c r="J236" s="1652"/>
      <c r="K236" s="1652"/>
      <c r="L236" s="1652"/>
      <c r="M236" s="1652"/>
      <c r="N236" s="1652"/>
      <c r="O236" s="1652"/>
      <c r="P236" s="1652"/>
      <c r="Q236" s="1652"/>
      <c r="R236" s="1652"/>
      <c r="S236" s="1652"/>
      <c r="T236" s="1652"/>
      <c r="U236" s="1652"/>
      <c r="V236" s="1652"/>
      <c r="W236" s="1652"/>
      <c r="X236" s="1652"/>
      <c r="Y236" s="1652"/>
      <c r="Z236" s="1652"/>
      <c r="AA236" s="165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2"/>
      <c r="F237" s="1652"/>
      <c r="G237" s="1652"/>
      <c r="H237" s="1652"/>
      <c r="I237" s="1652"/>
      <c r="J237" s="1652"/>
      <c r="K237" s="1652"/>
      <c r="L237" s="1652"/>
      <c r="M237" s="1652"/>
      <c r="N237" s="1652"/>
      <c r="O237" s="1652"/>
      <c r="P237" s="1652"/>
      <c r="Q237" s="1652"/>
      <c r="R237" s="1652"/>
      <c r="S237" s="1652"/>
      <c r="T237" s="1652"/>
      <c r="U237" s="1652"/>
      <c r="V237" s="1652"/>
      <c r="W237" s="1652"/>
      <c r="X237" s="1652"/>
      <c r="Y237" s="1652"/>
      <c r="Z237" s="1652"/>
      <c r="AA237" s="165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9" t="s">
        <v>612</v>
      </c>
      <c r="I239" s="181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6">
        <f>VLOOKUP($H$239,$AO$178:$AP$180,2,FALSE)</f>
        <v>3</v>
      </c>
      <c r="AK241" s="125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52" t="s">
        <v>338</v>
      </c>
      <c r="F245" s="1652"/>
      <c r="G245" s="1652"/>
      <c r="H245" s="1652"/>
      <c r="I245" s="1652"/>
      <c r="J245" s="1652"/>
      <c r="K245" s="1652"/>
      <c r="L245" s="1652"/>
      <c r="M245" s="1652"/>
      <c r="N245" s="1652"/>
      <c r="O245" s="1652"/>
      <c r="P245" s="1652"/>
      <c r="Q245" s="1652"/>
      <c r="R245" s="1652"/>
      <c r="S245" s="1652"/>
      <c r="T245" s="1652"/>
      <c r="U245" s="1652"/>
      <c r="V245" s="1652"/>
      <c r="W245" s="1652"/>
      <c r="X245" s="1652"/>
      <c r="Y245" s="1652"/>
      <c r="Z245" s="1652"/>
      <c r="AA245" s="1652"/>
      <c r="AB245" s="1652"/>
      <c r="AC245" s="4"/>
      <c r="AD245" s="4"/>
      <c r="AF245" s="1714" t="s">
        <v>111</v>
      </c>
      <c r="AG245" s="1714"/>
      <c r="AH245" s="1714"/>
      <c r="AI245" s="1714"/>
      <c r="AJ245" s="1714"/>
      <c r="AK245" s="1714"/>
      <c r="AL245" s="1714"/>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2"/>
      <c r="F246" s="1652"/>
      <c r="G246" s="1652"/>
      <c r="H246" s="1652"/>
      <c r="I246" s="1652"/>
      <c r="J246" s="1652"/>
      <c r="K246" s="1652"/>
      <c r="L246" s="1652"/>
      <c r="M246" s="1652"/>
      <c r="N246" s="1652"/>
      <c r="O246" s="1652"/>
      <c r="P246" s="1652"/>
      <c r="Q246" s="1652"/>
      <c r="R246" s="1652"/>
      <c r="S246" s="1652"/>
      <c r="T246" s="1652"/>
      <c r="U246" s="1652"/>
      <c r="V246" s="1652"/>
      <c r="W246" s="1652"/>
      <c r="X246" s="1652"/>
      <c r="Y246" s="1652"/>
      <c r="Z246" s="1652"/>
      <c r="AA246" s="1652"/>
      <c r="AB246" s="1652"/>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52" t="s">
        <v>1309</v>
      </c>
      <c r="F248" s="1652"/>
      <c r="G248" s="1652"/>
      <c r="H248" s="1652"/>
      <c r="I248" s="1652"/>
      <c r="J248" s="1652"/>
      <c r="K248" s="1652"/>
      <c r="L248" s="1652"/>
      <c r="M248" s="1652"/>
      <c r="N248" s="1652"/>
      <c r="O248" s="1652"/>
      <c r="P248" s="1652"/>
      <c r="Q248" s="1652"/>
      <c r="R248" s="1652"/>
      <c r="S248" s="1652"/>
      <c r="T248" s="1652"/>
      <c r="U248" s="1652"/>
      <c r="V248" s="1652"/>
      <c r="W248" s="1652"/>
      <c r="X248" s="1652"/>
      <c r="Y248" s="1652"/>
      <c r="Z248" s="1652"/>
      <c r="AA248" s="1652"/>
      <c r="AB248" s="1652"/>
      <c r="AC248" s="4"/>
      <c r="AD248" s="4"/>
      <c r="AF248" s="1714" t="s">
        <v>339</v>
      </c>
      <c r="AG248" s="1714"/>
      <c r="AH248" s="1714"/>
      <c r="AI248" s="1714"/>
      <c r="AJ248" s="1714"/>
      <c r="AK248" s="1714"/>
      <c r="AL248" s="1714"/>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2"/>
      <c r="F249" s="1652"/>
      <c r="G249" s="1652"/>
      <c r="H249" s="1652"/>
      <c r="I249" s="1652"/>
      <c r="J249" s="1652"/>
      <c r="K249" s="1652"/>
      <c r="L249" s="1652"/>
      <c r="M249" s="1652"/>
      <c r="N249" s="1652"/>
      <c r="O249" s="1652"/>
      <c r="P249" s="1652"/>
      <c r="Q249" s="1652"/>
      <c r="R249" s="1652"/>
      <c r="S249" s="1652"/>
      <c r="T249" s="1652"/>
      <c r="U249" s="1652"/>
      <c r="V249" s="1652"/>
      <c r="W249" s="1652"/>
      <c r="X249" s="1652"/>
      <c r="Y249" s="1652"/>
      <c r="Z249" s="1652"/>
      <c r="AA249" s="1652"/>
      <c r="AB249" s="1652"/>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9" t="s">
        <v>208</v>
      </c>
      <c r="I251" s="181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1</v>
      </c>
      <c r="AK253" s="125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52" t="s">
        <v>2048</v>
      </c>
      <c r="F257" s="1652"/>
      <c r="G257" s="1652"/>
      <c r="H257" s="1652"/>
      <c r="I257" s="1652"/>
      <c r="J257" s="1652"/>
      <c r="K257" s="1652"/>
      <c r="L257" s="1652"/>
      <c r="M257" s="1652"/>
      <c r="N257" s="1652"/>
      <c r="O257" s="1652"/>
      <c r="P257" s="1652"/>
      <c r="Q257" s="1652"/>
      <c r="R257" s="1652"/>
      <c r="S257" s="1652"/>
      <c r="T257" s="1652"/>
      <c r="U257" s="1652"/>
      <c r="V257" s="1652"/>
      <c r="W257" s="1652"/>
      <c r="X257" s="1652"/>
      <c r="Y257" s="1652"/>
      <c r="Z257" s="1652"/>
      <c r="AA257" s="1652"/>
      <c r="AB257" s="1652"/>
      <c r="AC257" s="1652"/>
      <c r="AD257" s="1652"/>
      <c r="AF257" s="1714" t="s">
        <v>111</v>
      </c>
      <c r="AG257" s="1714"/>
      <c r="AH257" s="1714"/>
      <c r="AI257" s="1714"/>
      <c r="AJ257" s="1714"/>
      <c r="AK257" s="1714"/>
      <c r="AL257" s="1714"/>
      <c r="AM257" s="104"/>
      <c r="AN257" s="204"/>
    </row>
    <row r="258" spans="1:82" customFormat="1">
      <c r="A258" s="4"/>
      <c r="B258" s="102"/>
      <c r="C258" s="137"/>
      <c r="D258" s="26"/>
      <c r="E258" s="1652"/>
      <c r="F258" s="1652"/>
      <c r="G258" s="1652"/>
      <c r="H258" s="1652"/>
      <c r="I258" s="1652"/>
      <c r="J258" s="1652"/>
      <c r="K258" s="1652"/>
      <c r="L258" s="1652"/>
      <c r="M258" s="1652"/>
      <c r="N258" s="1652"/>
      <c r="O258" s="1652"/>
      <c r="P258" s="1652"/>
      <c r="Q258" s="1652"/>
      <c r="R258" s="1652"/>
      <c r="S258" s="1652"/>
      <c r="T258" s="1652"/>
      <c r="U258" s="1652"/>
      <c r="V258" s="1652"/>
      <c r="W258" s="1652"/>
      <c r="X258" s="1652"/>
      <c r="Y258" s="1652"/>
      <c r="Z258" s="1652"/>
      <c r="AA258" s="1652"/>
      <c r="AB258" s="1652"/>
      <c r="AC258" s="1652"/>
      <c r="AD258" s="1652"/>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52"/>
      <c r="F259" s="1652"/>
      <c r="G259" s="1652"/>
      <c r="H259" s="1652"/>
      <c r="I259" s="1652"/>
      <c r="J259" s="1652"/>
      <c r="K259" s="1652"/>
      <c r="L259" s="1652"/>
      <c r="M259" s="1652"/>
      <c r="N259" s="1652"/>
      <c r="O259" s="1652"/>
      <c r="P259" s="1652"/>
      <c r="Q259" s="1652"/>
      <c r="R259" s="1652"/>
      <c r="S259" s="1652"/>
      <c r="T259" s="1652"/>
      <c r="U259" s="1652"/>
      <c r="V259" s="1652"/>
      <c r="W259" s="1652"/>
      <c r="X259" s="1652"/>
      <c r="Y259" s="1652"/>
      <c r="Z259" s="1652"/>
      <c r="AA259" s="1652"/>
      <c r="AB259" s="1652"/>
      <c r="AC259" s="1652"/>
      <c r="AD259" s="1652"/>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9" t="s">
        <v>2049</v>
      </c>
      <c r="F261" s="1889"/>
      <c r="G261" s="1889"/>
      <c r="H261" s="1889"/>
      <c r="I261" s="1889"/>
      <c r="J261" s="1889"/>
      <c r="K261" s="1889"/>
      <c r="L261" s="1889"/>
      <c r="M261" s="1889"/>
      <c r="N261" s="1889"/>
      <c r="O261" s="1889"/>
      <c r="P261" s="1889"/>
      <c r="Q261" s="1889"/>
      <c r="R261" s="1889"/>
      <c r="S261" s="1889"/>
      <c r="T261" s="1889"/>
      <c r="U261" s="1889"/>
      <c r="V261" s="1889"/>
      <c r="W261" s="1889"/>
      <c r="X261" s="1889"/>
      <c r="Y261" s="1889"/>
      <c r="Z261" s="1889"/>
      <c r="AA261" s="1889"/>
      <c r="AB261" s="1889"/>
      <c r="AC261" s="1889"/>
      <c r="AD261" s="1889"/>
      <c r="AF261" s="1714" t="s">
        <v>65</v>
      </c>
      <c r="AG261" s="1714"/>
      <c r="AH261" s="1714"/>
      <c r="AI261" s="1714"/>
      <c r="AJ261" s="1714"/>
      <c r="AK261" s="1714"/>
      <c r="AL261" s="1714"/>
      <c r="AM261" s="104"/>
      <c r="AN261" s="281"/>
    </row>
    <row r="262" spans="1:82" s="4" customFormat="1" ht="12.75" customHeight="1">
      <c r="B262" s="102"/>
      <c r="C262" s="137"/>
      <c r="D262" s="26"/>
      <c r="E262" s="1889"/>
      <c r="F262" s="1889"/>
      <c r="G262" s="1889"/>
      <c r="H262" s="1889"/>
      <c r="I262" s="1889"/>
      <c r="J262" s="1889"/>
      <c r="K262" s="1889"/>
      <c r="L262" s="1889"/>
      <c r="M262" s="1889"/>
      <c r="N262" s="1889"/>
      <c r="O262" s="1889"/>
      <c r="P262" s="1889"/>
      <c r="Q262" s="1889"/>
      <c r="R262" s="1889"/>
      <c r="S262" s="1889"/>
      <c r="T262" s="1889"/>
      <c r="U262" s="1889"/>
      <c r="V262" s="1889"/>
      <c r="W262" s="1889"/>
      <c r="X262" s="1889"/>
      <c r="Y262" s="1889"/>
      <c r="Z262" s="1889"/>
      <c r="AA262" s="1889"/>
      <c r="AB262" s="1889"/>
      <c r="AC262" s="1889"/>
      <c r="AD262" s="1889"/>
      <c r="AE262" s="108"/>
      <c r="AF262" s="108"/>
      <c r="AG262" s="108"/>
      <c r="AH262" s="108"/>
      <c r="AI262" s="108"/>
      <c r="AJ262" s="108"/>
      <c r="AK262" s="108"/>
      <c r="AL262" s="108"/>
      <c r="AM262" s="104"/>
      <c r="AN262" s="281"/>
    </row>
    <row r="263" spans="1:82" s="4" customFormat="1" ht="12.75" customHeight="1">
      <c r="B263" s="102"/>
      <c r="C263" s="137"/>
      <c r="D263" s="26"/>
      <c r="E263" s="1889"/>
      <c r="F263" s="1889"/>
      <c r="G263" s="1889"/>
      <c r="H263" s="1889"/>
      <c r="I263" s="1889"/>
      <c r="J263" s="1889"/>
      <c r="K263" s="1889"/>
      <c r="L263" s="1889"/>
      <c r="M263" s="1889"/>
      <c r="N263" s="1889"/>
      <c r="O263" s="1889"/>
      <c r="P263" s="1889"/>
      <c r="Q263" s="1889"/>
      <c r="R263" s="1889"/>
      <c r="S263" s="1889"/>
      <c r="T263" s="1889"/>
      <c r="U263" s="1889"/>
      <c r="V263" s="1889"/>
      <c r="W263" s="1889"/>
      <c r="X263" s="1889"/>
      <c r="Y263" s="1889"/>
      <c r="Z263" s="1889"/>
      <c r="AA263" s="1889"/>
      <c r="AB263" s="1889"/>
      <c r="AC263" s="1889"/>
      <c r="AD263" s="1889"/>
      <c r="AE263" s="108"/>
      <c r="AF263" s="108"/>
      <c r="AG263" s="108"/>
      <c r="AH263" s="108"/>
      <c r="AI263" s="108"/>
      <c r="AJ263" s="108"/>
      <c r="AK263" s="108"/>
      <c r="AL263" s="108"/>
      <c r="AM263" s="104"/>
      <c r="AN263" s="281"/>
    </row>
    <row r="264" spans="1:82" s="4" customFormat="1" ht="12.75" customHeight="1">
      <c r="B264" s="102"/>
      <c r="C264" s="137"/>
      <c r="D264" s="26"/>
      <c r="E264" s="1889"/>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c r="AC264" s="1889"/>
      <c r="AD264" s="1889"/>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9" t="s">
        <v>132</v>
      </c>
      <c r="I266" s="181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52" t="s">
        <v>2347</v>
      </c>
      <c r="F272" s="1652"/>
      <c r="G272" s="1652"/>
      <c r="H272" s="1652"/>
      <c r="I272" s="1652"/>
      <c r="J272" s="1652"/>
      <c r="K272" s="1652"/>
      <c r="L272" s="1652"/>
      <c r="M272" s="1652"/>
      <c r="N272" s="1652"/>
      <c r="O272" s="1652"/>
      <c r="P272" s="1652"/>
      <c r="Q272" s="1652"/>
      <c r="R272" s="1652"/>
      <c r="S272" s="1652"/>
      <c r="T272" s="1652"/>
      <c r="U272" s="1652"/>
      <c r="V272" s="1652"/>
      <c r="W272" s="1652"/>
      <c r="X272" s="1652"/>
      <c r="Y272" s="1652"/>
      <c r="Z272" s="1652"/>
      <c r="AA272" s="1652"/>
      <c r="AB272" s="1652"/>
      <c r="AC272" s="1652"/>
      <c r="AD272" s="1652"/>
      <c r="AF272" s="1714" t="s">
        <v>1707</v>
      </c>
      <c r="AG272" s="1714"/>
      <c r="AH272" s="1714"/>
      <c r="AI272" s="1714"/>
      <c r="AJ272" s="1714"/>
      <c r="AK272" s="1714"/>
      <c r="AL272" s="1714"/>
      <c r="AM272" s="104"/>
      <c r="AN272" s="204"/>
      <c r="AO272" s="26" t="s">
        <v>116</v>
      </c>
      <c r="AP272" s="4">
        <v>8</v>
      </c>
      <c r="AT272" s="439"/>
      <c r="AU272" s="439"/>
      <c r="AV272" s="439"/>
      <c r="AW272" s="439"/>
      <c r="AX272" s="439"/>
      <c r="AY272" s="439"/>
      <c r="AZ272" s="439"/>
    </row>
    <row r="273" spans="1:82" customFormat="1">
      <c r="A273" s="4"/>
      <c r="B273" s="102"/>
      <c r="C273" s="137"/>
      <c r="D273" s="26"/>
      <c r="E273" s="1652"/>
      <c r="F273" s="1652"/>
      <c r="G273" s="1652"/>
      <c r="H273" s="1652"/>
      <c r="I273" s="1652"/>
      <c r="J273" s="1652"/>
      <c r="K273" s="1652"/>
      <c r="L273" s="1652"/>
      <c r="M273" s="1652"/>
      <c r="N273" s="1652"/>
      <c r="O273" s="1652"/>
      <c r="P273" s="1652"/>
      <c r="Q273" s="1652"/>
      <c r="R273" s="1652"/>
      <c r="S273" s="1652"/>
      <c r="T273" s="1652"/>
      <c r="U273" s="1652"/>
      <c r="V273" s="1652"/>
      <c r="W273" s="1652"/>
      <c r="X273" s="1652"/>
      <c r="Y273" s="1652"/>
      <c r="Z273" s="1652"/>
      <c r="AA273" s="1652"/>
      <c r="AB273" s="1652"/>
      <c r="AC273" s="1652"/>
      <c r="AD273" s="1652"/>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2"/>
      <c r="F274" s="1652"/>
      <c r="G274" s="1652"/>
      <c r="H274" s="1652"/>
      <c r="I274" s="1652"/>
      <c r="J274" s="1652"/>
      <c r="K274" s="1652"/>
      <c r="L274" s="1652"/>
      <c r="M274" s="1652"/>
      <c r="N274" s="1652"/>
      <c r="O274" s="1652"/>
      <c r="P274" s="1652"/>
      <c r="Q274" s="1652"/>
      <c r="R274" s="1652"/>
      <c r="S274" s="1652"/>
      <c r="T274" s="1652"/>
      <c r="U274" s="1652"/>
      <c r="V274" s="1652"/>
      <c r="W274" s="1652"/>
      <c r="X274" s="1652"/>
      <c r="Y274" s="1652"/>
      <c r="Z274" s="1652"/>
      <c r="AA274" s="1652"/>
      <c r="AB274" s="1652"/>
      <c r="AC274" s="1652"/>
      <c r="AD274" s="1652"/>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9" t="s">
        <v>132</v>
      </c>
      <c r="I276" s="181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6">
        <f>VLOOKUP($H$276,$AO$271:$AP$272,2,FALSE)</f>
        <v>0</v>
      </c>
      <c r="AK278" s="125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20</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355" t="s">
        <v>2478</v>
      </c>
      <c r="I284" s="1233"/>
      <c r="J284" s="1233"/>
      <c r="K284" s="1233"/>
      <c r="L284" s="1233"/>
      <c r="M284" s="1233"/>
      <c r="N284" s="1233"/>
      <c r="O284" s="1233"/>
      <c r="P284" s="1233"/>
      <c r="Q284" s="1233"/>
      <c r="R284" s="1233"/>
      <c r="S284"/>
      <c r="T284" s="41" t="s">
        <v>97</v>
      </c>
      <c r="U284"/>
      <c r="V284" s="41"/>
      <c r="W284" s="41"/>
      <c r="X284" s="41"/>
      <c r="Y284" s="41"/>
      <c r="Z284"/>
      <c r="AA284" s="1355" t="s">
        <v>2482</v>
      </c>
      <c r="AB284" s="1233"/>
      <c r="AC284" s="1233"/>
      <c r="AD284" s="1233"/>
      <c r="AE284" s="1233"/>
      <c r="AF284" s="1233"/>
      <c r="AG284" s="1233"/>
      <c r="AH284" s="1233"/>
      <c r="AI284" s="1233"/>
      <c r="AJ284" s="1233"/>
      <c r="AK284" s="1233"/>
      <c r="AL284" s="10"/>
      <c r="AN284" s="281"/>
    </row>
    <row r="285" spans="1:82" s="4" customFormat="1" ht="12.75" customHeight="1">
      <c r="B285" s="41" t="s">
        <v>735</v>
      </c>
      <c r="C285" s="41"/>
      <c r="D285" s="41"/>
      <c r="E285" s="41"/>
      <c r="F285" s="41"/>
      <c r="G285"/>
      <c r="H285" s="1297" t="s">
        <v>2481</v>
      </c>
      <c r="I285" s="1235"/>
      <c r="J285" s="1235"/>
      <c r="K285" s="1235"/>
      <c r="L285" s="1235"/>
      <c r="M285" s="1235"/>
      <c r="N285" s="1235"/>
      <c r="O285" s="1235"/>
      <c r="P285" s="1235"/>
      <c r="Q285" s="1235"/>
      <c r="R285" s="1235"/>
      <c r="S285"/>
      <c r="T285" s="41" t="s">
        <v>735</v>
      </c>
      <c r="U285"/>
      <c r="V285" s="41"/>
      <c r="W285" s="41"/>
      <c r="X285" s="41"/>
      <c r="Y285" s="41"/>
      <c r="Z285"/>
      <c r="AA285" s="1297" t="s">
        <v>2483</v>
      </c>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97" t="s">
        <v>2480</v>
      </c>
      <c r="I286" s="1235"/>
      <c r="J286" s="1235"/>
      <c r="K286" s="1235"/>
      <c r="L286" s="1235"/>
      <c r="M286" s="1235"/>
      <c r="N286" s="1235"/>
      <c r="O286" s="1235"/>
      <c r="P286" s="1235"/>
      <c r="Q286" s="1235"/>
      <c r="R286" s="1235"/>
      <c r="S286"/>
      <c r="T286" s="41" t="s">
        <v>107</v>
      </c>
      <c r="U286"/>
      <c r="V286" s="41"/>
      <c r="W286" s="41"/>
      <c r="X286" s="41"/>
      <c r="Y286" s="41"/>
      <c r="Z286"/>
      <c r="AA286" s="1297" t="s">
        <v>2480</v>
      </c>
      <c r="AB286" s="1235"/>
      <c r="AC286" s="1235"/>
      <c r="AD286" s="1235"/>
      <c r="AE286" s="1235"/>
      <c r="AF286" s="1235"/>
      <c r="AG286" s="1235"/>
      <c r="AH286" s="1235"/>
      <c r="AI286" s="1235"/>
      <c r="AJ286" s="1235"/>
      <c r="AK286" s="1235"/>
      <c r="AL286" s="10"/>
      <c r="AN286" s="281"/>
      <c r="AO286" s="211"/>
    </row>
    <row r="287" spans="1:82" s="4" customFormat="1" ht="12.75" customHeight="1">
      <c r="B287" s="41" t="s">
        <v>399</v>
      </c>
      <c r="C287" s="41"/>
      <c r="D287" s="41"/>
      <c r="E287" s="41"/>
      <c r="F287" s="41"/>
      <c r="G287"/>
      <c r="H287" s="1297" t="s">
        <v>2476</v>
      </c>
      <c r="I287" s="1235"/>
      <c r="J287" s="1235"/>
      <c r="K287" s="1235"/>
      <c r="L287" s="1235"/>
      <c r="M287" s="1235"/>
      <c r="N287" s="1235"/>
      <c r="O287" s="1235"/>
      <c r="P287" s="1235"/>
      <c r="Q287" s="1235"/>
      <c r="R287" s="1235"/>
      <c r="S287"/>
      <c r="T287" s="41" t="s">
        <v>399</v>
      </c>
      <c r="U287"/>
      <c r="V287" s="41"/>
      <c r="W287" s="41"/>
      <c r="X287" s="41"/>
      <c r="Y287" s="41"/>
      <c r="Z287"/>
      <c r="AA287" s="1297" t="s">
        <v>2484</v>
      </c>
      <c r="AB287" s="1235"/>
      <c r="AC287" s="1235"/>
      <c r="AD287" s="1235"/>
      <c r="AE287" s="1235"/>
      <c r="AF287" s="1235"/>
      <c r="AG287" s="1235"/>
      <c r="AH287" s="1235"/>
      <c r="AI287" s="1235"/>
      <c r="AJ287" s="1235"/>
      <c r="AK287" s="1235"/>
      <c r="AL287" s="10"/>
      <c r="AN287" s="281"/>
      <c r="AO287" s="211"/>
    </row>
    <row r="288" spans="1:82" s="4" customFormat="1" ht="12.75" customHeight="1">
      <c r="B288" s="41" t="s">
        <v>400</v>
      </c>
      <c r="C288" s="41"/>
      <c r="D288" s="41"/>
      <c r="E288" s="41"/>
      <c r="F288" s="41"/>
      <c r="G288" s="41"/>
      <c r="H288" s="1412" t="s">
        <v>2479</v>
      </c>
      <c r="I288" s="1413"/>
      <c r="J288" s="1413"/>
      <c r="K288" s="1413"/>
      <c r="L288" s="1413"/>
      <c r="M288" s="1413"/>
      <c r="N288" s="5" t="s">
        <v>859</v>
      </c>
      <c r="O288" s="5"/>
      <c r="P288" s="1406"/>
      <c r="Q288" s="1406"/>
      <c r="R288" s="1406"/>
      <c r="S288" s="41"/>
      <c r="T288" s="41" t="s">
        <v>400</v>
      </c>
      <c r="U288"/>
      <c r="V288" s="41"/>
      <c r="W288" s="41"/>
      <c r="X288" s="41"/>
      <c r="Y288" s="41"/>
      <c r="Z288"/>
      <c r="AA288" s="1412" t="s">
        <v>2485</v>
      </c>
      <c r="AB288" s="1413"/>
      <c r="AC288" s="1413"/>
      <c r="AD288" s="1413"/>
      <c r="AE288" s="1413"/>
      <c r="AF288" s="1413"/>
      <c r="AG288" s="5" t="s">
        <v>859</v>
      </c>
      <c r="AH288" s="5"/>
      <c r="AI288" s="1406"/>
      <c r="AJ288" s="1406"/>
      <c r="AK288" s="1406"/>
      <c r="AL288" s="10"/>
      <c r="AN288" s="281"/>
      <c r="AO288" s="211"/>
    </row>
    <row r="289" spans="1:41" s="4" customFormat="1" ht="12.75" customHeight="1">
      <c r="B289" s="41" t="s">
        <v>96</v>
      </c>
      <c r="C289" s="41"/>
      <c r="D289" s="41"/>
      <c r="E289" s="41"/>
      <c r="F289" s="41"/>
      <c r="G289" s="41"/>
      <c r="H289" s="1235" t="s">
        <v>99</v>
      </c>
      <c r="I289" s="1235"/>
      <c r="J289" s="1235"/>
      <c r="K289" s="1235"/>
      <c r="L289" s="1235"/>
      <c r="M289" s="1235"/>
      <c r="N289" s="1235"/>
      <c r="O289" s="1235"/>
      <c r="P289" s="1235"/>
      <c r="Q289" s="1235"/>
      <c r="R289" s="1235"/>
      <c r="S289" s="41"/>
      <c r="T289" s="41" t="s">
        <v>96</v>
      </c>
      <c r="U289"/>
      <c r="V289" s="41"/>
      <c r="W289" s="41"/>
      <c r="X289" s="41"/>
      <c r="Y289" s="41"/>
      <c r="Z289"/>
      <c r="AA289" s="1235" t="s">
        <v>100</v>
      </c>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297" t="s">
        <v>2477</v>
      </c>
      <c r="I290" s="1235"/>
      <c r="J290" s="1235"/>
      <c r="K290" s="1235"/>
      <c r="L290" s="1235"/>
      <c r="M290" s="1235"/>
      <c r="N290" s="1235"/>
      <c r="O290" s="1235"/>
      <c r="P290" s="1235"/>
      <c r="Q290" s="1235"/>
      <c r="R290" s="1235"/>
      <c r="S290" s="41"/>
      <c r="T290" s="41" t="s">
        <v>98</v>
      </c>
      <c r="U290"/>
      <c r="V290" s="41"/>
      <c r="W290" s="41"/>
      <c r="X290" s="41"/>
      <c r="Y290" s="41"/>
      <c r="Z290"/>
      <c r="AA290" s="1297" t="s">
        <v>2486</v>
      </c>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75" t="s">
        <v>2502</v>
      </c>
      <c r="I291" s="1676"/>
      <c r="J291" s="1676"/>
      <c r="K291" s="1676"/>
      <c r="L291" s="1676"/>
      <c r="M291" s="1676"/>
      <c r="N291" s="1676"/>
      <c r="O291" s="1676"/>
      <c r="P291" s="1676"/>
      <c r="Q291" s="1676"/>
      <c r="R291" s="1676"/>
      <c r="S291" s="41"/>
      <c r="T291" s="41" t="s">
        <v>109</v>
      </c>
      <c r="U291" s="41"/>
      <c r="V291" s="41"/>
      <c r="W291" s="41"/>
      <c r="X291" s="41"/>
      <c r="Y291" s="41"/>
      <c r="Z291" s="12"/>
      <c r="AA291" s="1675" t="s">
        <v>2517</v>
      </c>
      <c r="AB291" s="1676"/>
      <c r="AC291" s="1676"/>
      <c r="AD291" s="1676"/>
      <c r="AE291" s="1676"/>
      <c r="AF291" s="1676"/>
      <c r="AG291" s="1676"/>
      <c r="AH291" s="1676"/>
      <c r="AI291" s="1676"/>
      <c r="AJ291" s="1676"/>
      <c r="AK291" s="167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355" t="s">
        <v>2487</v>
      </c>
      <c r="I293" s="1233"/>
      <c r="J293" s="1233"/>
      <c r="K293" s="1233"/>
      <c r="L293" s="1233"/>
      <c r="M293" s="1233"/>
      <c r="N293" s="1233"/>
      <c r="O293" s="1233"/>
      <c r="P293" s="1233"/>
      <c r="Q293" s="1233"/>
      <c r="R293" s="1233"/>
      <c r="S293"/>
      <c r="T293" s="41" t="s">
        <v>97</v>
      </c>
      <c r="U293"/>
      <c r="V293" s="41"/>
      <c r="W293" s="41"/>
      <c r="X293" s="41"/>
      <c r="Y293" s="41"/>
      <c r="Z293"/>
      <c r="AA293" s="1355" t="s">
        <v>2492</v>
      </c>
      <c r="AB293" s="1233"/>
      <c r="AC293" s="1233"/>
      <c r="AD293" s="1233"/>
      <c r="AE293" s="1233"/>
      <c r="AF293" s="1233"/>
      <c r="AG293" s="1233"/>
      <c r="AH293" s="1233"/>
      <c r="AI293" s="1233"/>
      <c r="AJ293" s="1233"/>
      <c r="AK293" s="1233"/>
      <c r="AL293" s="10"/>
      <c r="AN293" s="281"/>
    </row>
    <row r="294" spans="1:41" s="20" customFormat="1" ht="12.75" customHeight="1">
      <c r="A294" s="4"/>
      <c r="B294" s="41" t="s">
        <v>735</v>
      </c>
      <c r="C294" s="41"/>
      <c r="D294" s="41"/>
      <c r="E294" s="41"/>
      <c r="F294" s="41"/>
      <c r="G294"/>
      <c r="H294" s="1297" t="s">
        <v>2488</v>
      </c>
      <c r="I294" s="1235"/>
      <c r="J294" s="1235"/>
      <c r="K294" s="1235"/>
      <c r="L294" s="1235"/>
      <c r="M294" s="1235"/>
      <c r="N294" s="1235"/>
      <c r="O294" s="1235"/>
      <c r="P294" s="1235"/>
      <c r="Q294" s="1235"/>
      <c r="R294" s="1235"/>
      <c r="S294"/>
      <c r="T294" s="41" t="s">
        <v>735</v>
      </c>
      <c r="U294"/>
      <c r="V294" s="41"/>
      <c r="W294" s="41"/>
      <c r="X294" s="41"/>
      <c r="Y294" s="41"/>
      <c r="Z294"/>
      <c r="AA294" s="1297" t="s">
        <v>2493</v>
      </c>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97" t="s">
        <v>2480</v>
      </c>
      <c r="I295" s="1235"/>
      <c r="J295" s="1235"/>
      <c r="K295" s="1235"/>
      <c r="L295" s="1235"/>
      <c r="M295" s="1235"/>
      <c r="N295" s="1235"/>
      <c r="O295" s="1235"/>
      <c r="P295" s="1235"/>
      <c r="Q295" s="1235"/>
      <c r="R295" s="1235"/>
      <c r="S295"/>
      <c r="T295" s="41" t="s">
        <v>107</v>
      </c>
      <c r="U295"/>
      <c r="V295" s="41"/>
      <c r="W295" s="41"/>
      <c r="X295" s="41"/>
      <c r="Y295" s="41"/>
      <c r="Z295"/>
      <c r="AA295" s="1297" t="s">
        <v>2480</v>
      </c>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399</v>
      </c>
      <c r="C296" s="41"/>
      <c r="D296" s="41"/>
      <c r="E296" s="41"/>
      <c r="F296" s="41"/>
      <c r="G296"/>
      <c r="H296" s="1297" t="s">
        <v>2489</v>
      </c>
      <c r="I296" s="1235"/>
      <c r="J296" s="1235"/>
      <c r="K296" s="1235"/>
      <c r="L296" s="1235"/>
      <c r="M296" s="1235"/>
      <c r="N296" s="1235"/>
      <c r="O296" s="1235"/>
      <c r="P296" s="1235"/>
      <c r="Q296" s="1235"/>
      <c r="R296" s="1235"/>
      <c r="S296"/>
      <c r="T296" s="41" t="s">
        <v>399</v>
      </c>
      <c r="U296"/>
      <c r="V296" s="41"/>
      <c r="W296" s="41"/>
      <c r="X296" s="41"/>
      <c r="Y296" s="41"/>
      <c r="Z296"/>
      <c r="AA296" s="1297" t="s">
        <v>2494</v>
      </c>
      <c r="AB296" s="1235"/>
      <c r="AC296" s="1235"/>
      <c r="AD296" s="1235"/>
      <c r="AE296" s="1235"/>
      <c r="AF296" s="1235"/>
      <c r="AG296" s="1235"/>
      <c r="AH296" s="1235"/>
      <c r="AI296" s="1235"/>
      <c r="AJ296" s="1235"/>
      <c r="AK296" s="1235"/>
      <c r="AL296" s="10"/>
      <c r="AN296" s="281"/>
    </row>
    <row r="297" spans="1:41" s="4" customFormat="1" ht="12.75" customHeight="1">
      <c r="B297" s="41" t="s">
        <v>400</v>
      </c>
      <c r="C297" s="41"/>
      <c r="D297" s="41"/>
      <c r="E297" s="41"/>
      <c r="F297" s="41"/>
      <c r="G297" s="41"/>
      <c r="H297" s="1412" t="s">
        <v>2490</v>
      </c>
      <c r="I297" s="1413"/>
      <c r="J297" s="1413"/>
      <c r="K297" s="1413"/>
      <c r="L297" s="1413"/>
      <c r="M297" s="1413"/>
      <c r="N297" s="5" t="s">
        <v>859</v>
      </c>
      <c r="O297" s="5"/>
      <c r="P297" s="1406"/>
      <c r="Q297" s="1406"/>
      <c r="R297" s="1406"/>
      <c r="S297" s="41"/>
      <c r="T297" s="41" t="s">
        <v>400</v>
      </c>
      <c r="U297"/>
      <c r="V297" s="41"/>
      <c r="W297" s="41"/>
      <c r="X297" s="41"/>
      <c r="Y297" s="41"/>
      <c r="Z297"/>
      <c r="AA297" s="1412" t="s">
        <v>2495</v>
      </c>
      <c r="AB297" s="1413"/>
      <c r="AC297" s="1413"/>
      <c r="AD297" s="1413"/>
      <c r="AE297" s="1413"/>
      <c r="AF297" s="1413"/>
      <c r="AG297" s="5" t="s">
        <v>859</v>
      </c>
      <c r="AH297" s="5"/>
      <c r="AI297" s="1406"/>
      <c r="AJ297" s="1406"/>
      <c r="AK297" s="1406"/>
      <c r="AL297" s="10"/>
      <c r="AN297" s="281"/>
    </row>
    <row r="298" spans="1:41" s="4" customFormat="1" ht="12.75" customHeight="1">
      <c r="B298" s="41" t="s">
        <v>96</v>
      </c>
      <c r="C298" s="41"/>
      <c r="D298" s="41"/>
      <c r="E298" s="41"/>
      <c r="F298" s="41"/>
      <c r="G298" s="41"/>
      <c r="H298" s="1235" t="s">
        <v>369</v>
      </c>
      <c r="I298" s="1235"/>
      <c r="J298" s="1235"/>
      <c r="K298" s="1235"/>
      <c r="L298" s="1235"/>
      <c r="M298" s="1235"/>
      <c r="N298" s="1235"/>
      <c r="O298" s="1235"/>
      <c r="P298" s="1235"/>
      <c r="Q298" s="1235"/>
      <c r="R298" s="1235"/>
      <c r="S298" s="41"/>
      <c r="T298" s="41" t="s">
        <v>96</v>
      </c>
      <c r="U298"/>
      <c r="V298" s="41"/>
      <c r="W298" s="41"/>
      <c r="X298" s="41"/>
      <c r="Y298" s="41"/>
      <c r="Z298"/>
      <c r="AA298" s="1235" t="s">
        <v>108</v>
      </c>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97" t="s">
        <v>2491</v>
      </c>
      <c r="I299" s="1235"/>
      <c r="J299" s="1235"/>
      <c r="K299" s="1235"/>
      <c r="L299" s="1235"/>
      <c r="M299" s="1235"/>
      <c r="N299" s="1235"/>
      <c r="O299" s="1235"/>
      <c r="P299" s="1235"/>
      <c r="Q299" s="1235"/>
      <c r="R299" s="1235"/>
      <c r="S299" s="41"/>
      <c r="T299" s="41" t="s">
        <v>98</v>
      </c>
      <c r="U299"/>
      <c r="V299" s="41"/>
      <c r="W299" s="41"/>
      <c r="X299" s="41"/>
      <c r="Y299" s="41"/>
      <c r="Z299"/>
      <c r="AA299" s="1297" t="s">
        <v>2496</v>
      </c>
      <c r="AB299" s="1297"/>
      <c r="AC299" s="1297"/>
      <c r="AD299" s="1297"/>
      <c r="AE299" s="1297"/>
      <c r="AF299" s="1297"/>
      <c r="AG299" s="1297"/>
      <c r="AH299" s="1297"/>
      <c r="AI299" s="1297"/>
      <c r="AJ299" s="1297"/>
      <c r="AK299" s="1297"/>
      <c r="AL299" s="10"/>
      <c r="AN299" s="281"/>
    </row>
    <row r="300" spans="1:41" s="4" customFormat="1" ht="12.75" customHeight="1">
      <c r="B300" s="41" t="s">
        <v>109</v>
      </c>
      <c r="C300" s="41"/>
      <c r="D300" s="41"/>
      <c r="E300" s="41"/>
      <c r="F300" s="41"/>
      <c r="G300" s="41"/>
      <c r="H300" s="1675" t="s">
        <v>2503</v>
      </c>
      <c r="I300" s="1676"/>
      <c r="J300" s="1676"/>
      <c r="K300" s="1676"/>
      <c r="L300" s="1676"/>
      <c r="M300" s="1676"/>
      <c r="N300" s="1676"/>
      <c r="O300" s="1676"/>
      <c r="P300" s="1676"/>
      <c r="Q300" s="1676"/>
      <c r="R300" s="1676"/>
      <c r="S300" s="41"/>
      <c r="T300" s="41" t="s">
        <v>109</v>
      </c>
      <c r="U300" s="41"/>
      <c r="V300" s="41"/>
      <c r="W300" s="41"/>
      <c r="X300" s="41"/>
      <c r="Y300" s="41"/>
      <c r="Z300" s="12"/>
      <c r="AA300" s="1675" t="s">
        <v>2518</v>
      </c>
      <c r="AB300" s="1676"/>
      <c r="AC300" s="1676"/>
      <c r="AD300" s="1676"/>
      <c r="AE300" s="1676"/>
      <c r="AF300" s="1676"/>
      <c r="AG300" s="1676"/>
      <c r="AH300" s="1676"/>
      <c r="AI300" s="1676"/>
      <c r="AJ300" s="1676"/>
      <c r="AK300" s="167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355" t="s">
        <v>2497</v>
      </c>
      <c r="I302" s="1233"/>
      <c r="J302" s="1233"/>
      <c r="K302" s="1233"/>
      <c r="L302" s="1233"/>
      <c r="M302" s="1233"/>
      <c r="N302" s="1233"/>
      <c r="O302" s="1233"/>
      <c r="P302" s="1233"/>
      <c r="Q302" s="1233"/>
      <c r="R302" s="1233"/>
      <c r="S302"/>
      <c r="T302" s="41" t="s">
        <v>97</v>
      </c>
      <c r="U302"/>
      <c r="V302" s="41"/>
      <c r="W302" s="41"/>
      <c r="X302" s="41"/>
      <c r="Y302" s="41"/>
      <c r="Z302"/>
      <c r="AA302" s="1355" t="s">
        <v>2504</v>
      </c>
      <c r="AB302" s="1233"/>
      <c r="AC302" s="1233"/>
      <c r="AD302" s="1233"/>
      <c r="AE302" s="1233"/>
      <c r="AF302" s="1233"/>
      <c r="AG302" s="1233"/>
      <c r="AH302" s="1233"/>
      <c r="AI302" s="1233"/>
      <c r="AJ302" s="1233"/>
      <c r="AK302" s="1233"/>
      <c r="AL302" s="10"/>
      <c r="AN302" s="281"/>
    </row>
    <row r="303" spans="1:41" s="4" customFormat="1" ht="12.75" customHeight="1">
      <c r="B303" s="41" t="s">
        <v>735</v>
      </c>
      <c r="C303" s="41"/>
      <c r="D303" s="41"/>
      <c r="E303" s="41"/>
      <c r="F303" s="41"/>
      <c r="G303"/>
      <c r="H303" s="1297" t="s">
        <v>2498</v>
      </c>
      <c r="I303" s="1235"/>
      <c r="J303" s="1235"/>
      <c r="K303" s="1235"/>
      <c r="L303" s="1235"/>
      <c r="M303" s="1235"/>
      <c r="N303" s="1235"/>
      <c r="O303" s="1235"/>
      <c r="P303" s="1235"/>
      <c r="Q303" s="1235"/>
      <c r="R303" s="1235"/>
      <c r="S303"/>
      <c r="T303" s="41" t="s">
        <v>735</v>
      </c>
      <c r="U303"/>
      <c r="V303" s="41"/>
      <c r="W303" s="41"/>
      <c r="X303" s="41"/>
      <c r="Y303" s="41"/>
      <c r="Z303"/>
      <c r="AA303" s="1297" t="s">
        <v>2505</v>
      </c>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97" t="s">
        <v>2480</v>
      </c>
      <c r="I304" s="1235"/>
      <c r="J304" s="1235"/>
      <c r="K304" s="1235"/>
      <c r="L304" s="1235"/>
      <c r="M304" s="1235"/>
      <c r="N304" s="1235"/>
      <c r="O304" s="1235"/>
      <c r="P304" s="1235"/>
      <c r="Q304" s="1235"/>
      <c r="R304" s="1235"/>
      <c r="S304"/>
      <c r="T304" s="41" t="s">
        <v>107</v>
      </c>
      <c r="U304"/>
      <c r="V304" s="41"/>
      <c r="W304" s="41"/>
      <c r="X304" s="41"/>
      <c r="Y304" s="41"/>
      <c r="Z304"/>
      <c r="AA304" s="1297" t="s">
        <v>2480</v>
      </c>
      <c r="AB304" s="1235"/>
      <c r="AC304" s="1235"/>
      <c r="AD304" s="1235"/>
      <c r="AE304" s="1235"/>
      <c r="AF304" s="1235"/>
      <c r="AG304" s="1235"/>
      <c r="AH304" s="1235"/>
      <c r="AI304" s="1235"/>
      <c r="AJ304" s="1235"/>
      <c r="AK304" s="1235"/>
      <c r="AL304" s="10"/>
      <c r="AN304" s="281"/>
    </row>
    <row r="305" spans="2:40" s="4" customFormat="1" ht="12.75" customHeight="1">
      <c r="B305" s="41" t="s">
        <v>399</v>
      </c>
      <c r="C305" s="41"/>
      <c r="D305" s="41"/>
      <c r="E305" s="41"/>
      <c r="F305" s="41"/>
      <c r="G305"/>
      <c r="H305" s="1297" t="s">
        <v>2499</v>
      </c>
      <c r="I305" s="1235"/>
      <c r="J305" s="1235"/>
      <c r="K305" s="1235"/>
      <c r="L305" s="1235"/>
      <c r="M305" s="1235"/>
      <c r="N305" s="1235"/>
      <c r="O305" s="1235"/>
      <c r="P305" s="1235"/>
      <c r="Q305" s="1235"/>
      <c r="R305" s="1235"/>
      <c r="S305"/>
      <c r="T305" s="41" t="s">
        <v>399</v>
      </c>
      <c r="U305"/>
      <c r="V305" s="41"/>
      <c r="W305" s="41"/>
      <c r="X305" s="41"/>
      <c r="Y305" s="41"/>
      <c r="Z305"/>
      <c r="AA305" s="1297" t="s">
        <v>2506</v>
      </c>
      <c r="AB305" s="1235"/>
      <c r="AC305" s="1235"/>
      <c r="AD305" s="1235"/>
      <c r="AE305" s="1235"/>
      <c r="AF305" s="1235"/>
      <c r="AG305" s="1235"/>
      <c r="AH305" s="1235"/>
      <c r="AI305" s="1235"/>
      <c r="AJ305" s="1235"/>
      <c r="AK305" s="1235"/>
      <c r="AL305" s="10"/>
      <c r="AN305" s="281"/>
    </row>
    <row r="306" spans="2:40" s="4" customFormat="1" ht="12.75" customHeight="1">
      <c r="B306" s="41" t="s">
        <v>400</v>
      </c>
      <c r="C306" s="41"/>
      <c r="D306" s="41"/>
      <c r="E306" s="41"/>
      <c r="F306" s="41"/>
      <c r="G306" s="41"/>
      <c r="H306" s="1412" t="s">
        <v>2500</v>
      </c>
      <c r="I306" s="1413"/>
      <c r="J306" s="1413"/>
      <c r="K306" s="1413"/>
      <c r="L306" s="1413"/>
      <c r="M306" s="1413"/>
      <c r="N306" s="5" t="s">
        <v>859</v>
      </c>
      <c r="O306" s="5"/>
      <c r="P306" s="1406"/>
      <c r="Q306" s="1406"/>
      <c r="R306" s="1406"/>
      <c r="S306" s="41"/>
      <c r="T306" s="41" t="s">
        <v>400</v>
      </c>
      <c r="U306"/>
      <c r="V306" s="41"/>
      <c r="W306" s="41"/>
      <c r="X306" s="41"/>
      <c r="Y306" s="41"/>
      <c r="Z306"/>
      <c r="AA306" s="1412" t="s">
        <v>2507</v>
      </c>
      <c r="AB306" s="1413"/>
      <c r="AC306" s="1413"/>
      <c r="AD306" s="1413"/>
      <c r="AE306" s="1413"/>
      <c r="AF306" s="1413"/>
      <c r="AG306" s="5" t="s">
        <v>859</v>
      </c>
      <c r="AH306" s="5"/>
      <c r="AI306" s="1406"/>
      <c r="AJ306" s="1406"/>
      <c r="AK306" s="1406"/>
      <c r="AL306" s="10"/>
      <c r="AN306" s="281"/>
    </row>
    <row r="307" spans="2:40" s="4" customFormat="1" ht="12.75" customHeight="1">
      <c r="B307" s="41" t="s">
        <v>96</v>
      </c>
      <c r="C307" s="41"/>
      <c r="D307" s="41"/>
      <c r="E307" s="41"/>
      <c r="F307" s="41"/>
      <c r="G307" s="41"/>
      <c r="H307" s="1235" t="s">
        <v>103</v>
      </c>
      <c r="I307" s="1235"/>
      <c r="J307" s="1235"/>
      <c r="K307" s="1235"/>
      <c r="L307" s="1235"/>
      <c r="M307" s="1235"/>
      <c r="N307" s="1235"/>
      <c r="O307" s="1235"/>
      <c r="P307" s="1235"/>
      <c r="Q307" s="1235"/>
      <c r="R307" s="1235"/>
      <c r="S307" s="41"/>
      <c r="T307" s="41" t="s">
        <v>96</v>
      </c>
      <c r="U307"/>
      <c r="V307" s="41"/>
      <c r="W307" s="41"/>
      <c r="X307" s="41"/>
      <c r="Y307" s="41"/>
      <c r="Z307"/>
      <c r="AA307" s="1235" t="s">
        <v>104</v>
      </c>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297" t="s">
        <v>2501</v>
      </c>
      <c r="I308" s="1235"/>
      <c r="J308" s="1235"/>
      <c r="K308" s="1235"/>
      <c r="L308" s="1235"/>
      <c r="M308" s="1235"/>
      <c r="N308" s="1235"/>
      <c r="O308" s="1235"/>
      <c r="P308" s="1235"/>
      <c r="Q308" s="1235"/>
      <c r="R308" s="1235"/>
      <c r="S308" s="41"/>
      <c r="T308" s="41" t="s">
        <v>98</v>
      </c>
      <c r="U308"/>
      <c r="V308" s="41"/>
      <c r="W308" s="41"/>
      <c r="X308" s="41"/>
      <c r="Y308" s="41"/>
      <c r="Z308"/>
      <c r="AA308" s="1297" t="s">
        <v>2508</v>
      </c>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75" t="s">
        <v>2519</v>
      </c>
      <c r="I309" s="1676"/>
      <c r="J309" s="1676"/>
      <c r="K309" s="1676"/>
      <c r="L309" s="1676"/>
      <c r="M309" s="1676"/>
      <c r="N309" s="1676"/>
      <c r="O309" s="1676"/>
      <c r="P309" s="1676"/>
      <c r="Q309" s="1676"/>
      <c r="R309" s="1676"/>
      <c r="S309" s="41"/>
      <c r="T309" s="41" t="s">
        <v>109</v>
      </c>
      <c r="U309" s="41"/>
      <c r="V309" s="41"/>
      <c r="W309" s="41"/>
      <c r="X309" s="41"/>
      <c r="Y309" s="41"/>
      <c r="Z309" s="12"/>
      <c r="AA309" s="1675" t="s">
        <v>2520</v>
      </c>
      <c r="AB309" s="1676"/>
      <c r="AC309" s="1676"/>
      <c r="AD309" s="1676"/>
      <c r="AE309" s="1676"/>
      <c r="AF309" s="1676"/>
      <c r="AG309" s="1676"/>
      <c r="AH309" s="1676"/>
      <c r="AI309" s="1676"/>
      <c r="AJ309" s="1676"/>
      <c r="AK309" s="167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c r="I311" s="1233"/>
      <c r="J311" s="1233"/>
      <c r="K311" s="1233"/>
      <c r="L311" s="1233"/>
      <c r="M311" s="1233"/>
      <c r="N311" s="1233"/>
      <c r="O311" s="1233"/>
      <c r="P311" s="1233"/>
      <c r="Q311" s="1233"/>
      <c r="R311" s="1233"/>
      <c r="S311"/>
      <c r="T311" s="41" t="s">
        <v>97</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735</v>
      </c>
      <c r="C312" s="41"/>
      <c r="D312" s="41"/>
      <c r="E312" s="41"/>
      <c r="F312" s="41"/>
      <c r="G312"/>
      <c r="H312" s="1235"/>
      <c r="I312" s="1235"/>
      <c r="J312" s="1235"/>
      <c r="K312" s="1235"/>
      <c r="L312" s="1235"/>
      <c r="M312" s="1235"/>
      <c r="N312" s="1235"/>
      <c r="O312" s="1235"/>
      <c r="P312" s="1235"/>
      <c r="Q312" s="1235"/>
      <c r="R312" s="1235"/>
      <c r="S312"/>
      <c r="T312" s="41" t="s">
        <v>735</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c r="I313" s="1235"/>
      <c r="J313" s="1235"/>
      <c r="K313" s="1235"/>
      <c r="L313" s="1235"/>
      <c r="M313" s="1235"/>
      <c r="N313" s="1235"/>
      <c r="O313" s="1235"/>
      <c r="P313" s="1235"/>
      <c r="Q313" s="1235"/>
      <c r="R313" s="1235"/>
      <c r="S313"/>
      <c r="T313" s="41" t="s">
        <v>107</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399</v>
      </c>
      <c r="C314" s="41"/>
      <c r="D314" s="41"/>
      <c r="E314" s="41"/>
      <c r="F314" s="41"/>
      <c r="G314"/>
      <c r="H314" s="1235"/>
      <c r="I314" s="1235"/>
      <c r="J314" s="1235"/>
      <c r="K314" s="1235"/>
      <c r="L314" s="1235"/>
      <c r="M314" s="1235"/>
      <c r="N314" s="1235"/>
      <c r="O314" s="1235"/>
      <c r="P314" s="1235"/>
      <c r="Q314" s="1235"/>
      <c r="R314" s="1235"/>
      <c r="S314"/>
      <c r="T314" s="41" t="s">
        <v>399</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400</v>
      </c>
      <c r="C315" s="41"/>
      <c r="D315" s="41"/>
      <c r="E315" s="41"/>
      <c r="F315" s="41"/>
      <c r="G315" s="41"/>
      <c r="H315" s="1413"/>
      <c r="I315" s="1413"/>
      <c r="J315" s="1413"/>
      <c r="K315" s="1413"/>
      <c r="L315" s="1413"/>
      <c r="M315" s="1413"/>
      <c r="N315" s="5" t="s">
        <v>859</v>
      </c>
      <c r="O315" s="5"/>
      <c r="P315" s="1406"/>
      <c r="Q315" s="1406"/>
      <c r="R315" s="1406"/>
      <c r="S315" s="41"/>
      <c r="T315" s="41" t="s">
        <v>400</v>
      </c>
      <c r="U315"/>
      <c r="V315" s="41"/>
      <c r="W315" s="41"/>
      <c r="X315" s="41"/>
      <c r="Y315" s="41"/>
      <c r="Z315"/>
      <c r="AA315" s="1413"/>
      <c r="AB315" s="1413"/>
      <c r="AC315" s="1413"/>
      <c r="AD315" s="1413"/>
      <c r="AE315" s="1413"/>
      <c r="AF315" s="1413"/>
      <c r="AG315" s="5" t="s">
        <v>859</v>
      </c>
      <c r="AH315" s="5"/>
      <c r="AI315" s="1406"/>
      <c r="AJ315" s="1406"/>
      <c r="AK315" s="1406"/>
      <c r="AL315" s="10"/>
      <c r="AN315" s="281"/>
    </row>
    <row r="316" spans="2:40" s="4" customFormat="1" ht="12.75" customHeight="1">
      <c r="B316" s="41" t="s">
        <v>96</v>
      </c>
      <c r="C316" s="41"/>
      <c r="D316" s="41"/>
      <c r="E316" s="41"/>
      <c r="F316" s="41"/>
      <c r="G316" s="41"/>
      <c r="H316" s="1235"/>
      <c r="I316" s="1235"/>
      <c r="J316" s="1235"/>
      <c r="K316" s="1235"/>
      <c r="L316" s="1235"/>
      <c r="M316" s="1235"/>
      <c r="N316" s="1235"/>
      <c r="O316" s="1235"/>
      <c r="P316" s="1235"/>
      <c r="Q316" s="1235"/>
      <c r="R316" s="1235"/>
      <c r="S316" s="41"/>
      <c r="T316" s="41" t="s">
        <v>96</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c r="I317" s="1235"/>
      <c r="J317" s="1235"/>
      <c r="K317" s="1235"/>
      <c r="L317" s="1235"/>
      <c r="M317" s="1235"/>
      <c r="N317" s="1235"/>
      <c r="O317" s="1235"/>
      <c r="P317" s="1235"/>
      <c r="Q317" s="1235"/>
      <c r="R317" s="1235"/>
      <c r="S317" s="41"/>
      <c r="T317" s="41" t="s">
        <v>98</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76"/>
      <c r="I318" s="1676"/>
      <c r="J318" s="1676"/>
      <c r="K318" s="1676"/>
      <c r="L318" s="1676"/>
      <c r="M318" s="1676"/>
      <c r="N318" s="1676"/>
      <c r="O318" s="1676"/>
      <c r="P318" s="1676"/>
      <c r="Q318" s="1676"/>
      <c r="R318" s="1676"/>
      <c r="S318" s="41"/>
      <c r="T318" s="41" t="s">
        <v>109</v>
      </c>
      <c r="U318" s="41"/>
      <c r="V318" s="41"/>
      <c r="W318" s="41"/>
      <c r="X318" s="41"/>
      <c r="Y318" s="41"/>
      <c r="Z318" s="12"/>
      <c r="AA318" s="1676"/>
      <c r="AB318" s="1676"/>
      <c r="AC318" s="1676"/>
      <c r="AD318" s="1676"/>
      <c r="AE318" s="1676"/>
      <c r="AF318" s="1676"/>
      <c r="AG318" s="1676"/>
      <c r="AH318" s="1676"/>
      <c r="AI318" s="1676"/>
      <c r="AJ318" s="1676"/>
      <c r="AK318" s="167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735</v>
      </c>
      <c r="C321" s="41"/>
      <c r="D321" s="41"/>
      <c r="E321" s="41"/>
      <c r="F321" s="41"/>
      <c r="G321"/>
      <c r="H321" s="1235"/>
      <c r="I321" s="1235"/>
      <c r="J321" s="1235"/>
      <c r="K321" s="1235"/>
      <c r="L321" s="1235"/>
      <c r="M321" s="1235"/>
      <c r="N321" s="1235"/>
      <c r="O321" s="1235"/>
      <c r="P321" s="1235"/>
      <c r="Q321" s="1235"/>
      <c r="R321" s="1235"/>
      <c r="S321"/>
      <c r="T321" s="41" t="s">
        <v>735</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399</v>
      </c>
      <c r="C323" s="41"/>
      <c r="D323" s="41"/>
      <c r="E323" s="41"/>
      <c r="F323" s="41"/>
      <c r="G323"/>
      <c r="H323" s="1235"/>
      <c r="I323" s="1235"/>
      <c r="J323" s="1235"/>
      <c r="K323" s="1235"/>
      <c r="L323" s="1235"/>
      <c r="M323" s="1235"/>
      <c r="N323" s="1235"/>
      <c r="O323" s="1235"/>
      <c r="P323" s="1235"/>
      <c r="Q323" s="1235"/>
      <c r="R323" s="1235"/>
      <c r="S323"/>
      <c r="T323" s="41" t="s">
        <v>399</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400</v>
      </c>
      <c r="C324" s="41"/>
      <c r="D324" s="41"/>
      <c r="E324" s="41"/>
      <c r="F324" s="41"/>
      <c r="G324" s="41"/>
      <c r="H324" s="1413"/>
      <c r="I324" s="1413"/>
      <c r="J324" s="1413"/>
      <c r="K324" s="1413"/>
      <c r="L324" s="1413"/>
      <c r="M324" s="1413"/>
      <c r="N324" s="5" t="s">
        <v>859</v>
      </c>
      <c r="O324" s="5"/>
      <c r="P324" s="1406"/>
      <c r="Q324" s="1406"/>
      <c r="R324" s="1406"/>
      <c r="S324" s="41"/>
      <c r="T324" s="41" t="s">
        <v>400</v>
      </c>
      <c r="U324"/>
      <c r="V324" s="41"/>
      <c r="W324" s="41"/>
      <c r="X324" s="41"/>
      <c r="Y324" s="41"/>
      <c r="Z324"/>
      <c r="AA324" s="1413"/>
      <c r="AB324" s="1413"/>
      <c r="AC324" s="1413"/>
      <c r="AD324" s="1413"/>
      <c r="AE324" s="1413"/>
      <c r="AF324" s="1413"/>
      <c r="AG324" s="5" t="s">
        <v>859</v>
      </c>
      <c r="AH324" s="5"/>
      <c r="AI324" s="1406"/>
      <c r="AJ324" s="1406"/>
      <c r="AK324" s="1406"/>
      <c r="AL324" s="41"/>
      <c r="AN324" s="281"/>
    </row>
    <row r="325" spans="1:76" s="4" customFormat="1" ht="12.75" customHeight="1">
      <c r="B325" s="41" t="s">
        <v>96</v>
      </c>
      <c r="C325" s="41"/>
      <c r="D325" s="41"/>
      <c r="E325" s="41"/>
      <c r="F325" s="41"/>
      <c r="G325" s="41"/>
      <c r="H325" s="1235"/>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76"/>
      <c r="I327" s="1676"/>
      <c r="J327" s="1676"/>
      <c r="K327" s="1676"/>
      <c r="L327" s="1676"/>
      <c r="M327" s="1676"/>
      <c r="N327" s="1676"/>
      <c r="O327" s="1676"/>
      <c r="P327" s="1676"/>
      <c r="Q327" s="1676"/>
      <c r="R327" s="1676"/>
      <c r="S327" s="41"/>
      <c r="T327" s="41" t="s">
        <v>109</v>
      </c>
      <c r="U327" s="41"/>
      <c r="V327" s="41"/>
      <c r="W327" s="41"/>
      <c r="X327" s="41"/>
      <c r="Y327" s="41"/>
      <c r="Z327" s="12"/>
      <c r="AA327" s="1676"/>
      <c r="AB327" s="1676"/>
      <c r="AC327" s="1676"/>
      <c r="AD327" s="1676"/>
      <c r="AE327" s="1676"/>
      <c r="AF327" s="1676"/>
      <c r="AG327" s="1676"/>
      <c r="AH327" s="1676"/>
      <c r="AI327" s="1676"/>
      <c r="AJ327" s="1676"/>
      <c r="AK327" s="167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8" t="s">
        <v>389</v>
      </c>
      <c r="AF330" s="1818"/>
      <c r="AG330" s="1818"/>
      <c r="AH330" s="1818"/>
      <c r="AI330" s="1818"/>
      <c r="AJ330" s="1818"/>
      <c r="AK330" s="1818"/>
      <c r="AL330" s="3"/>
      <c r="AM330" s="847"/>
      <c r="AN330" s="3"/>
    </row>
    <row r="331" spans="1:76" s="4" customFormat="1" ht="12.75" customHeight="1">
      <c r="A331" s="3"/>
      <c r="B331" s="5"/>
      <c r="C331" s="1717" t="s">
        <v>1922</v>
      </c>
      <c r="D331" s="1717"/>
      <c r="E331" s="1717"/>
      <c r="F331" s="1717"/>
      <c r="G331" s="1717"/>
      <c r="H331" s="1717"/>
      <c r="I331" s="1717"/>
      <c r="J331" s="1717"/>
      <c r="K331" s="1717"/>
      <c r="L331" s="1717"/>
      <c r="M331" s="1717"/>
      <c r="N331" s="1717"/>
      <c r="O331" s="1717"/>
      <c r="P331" s="1717"/>
      <c r="Q331" s="1717"/>
      <c r="R331" s="1717"/>
      <c r="S331" s="1717"/>
      <c r="T331" s="1717"/>
      <c r="U331" s="1717"/>
      <c r="V331" s="1717"/>
      <c r="W331" s="1717"/>
      <c r="X331" s="1717"/>
      <c r="Y331" s="1717"/>
      <c r="Z331" s="1717"/>
      <c r="AA331" s="1717"/>
      <c r="AB331" s="1717"/>
      <c r="AC331" s="1717"/>
      <c r="AD331" s="1717"/>
      <c r="AE331" s="1717"/>
      <c r="AF331" s="1717"/>
      <c r="AG331" s="1717"/>
      <c r="AH331" s="1717"/>
      <c r="AI331" s="1717"/>
      <c r="AJ331" s="1717"/>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7"/>
      <c r="D332" s="1717"/>
      <c r="E332" s="1717"/>
      <c r="F332" s="1717"/>
      <c r="G332" s="1717"/>
      <c r="H332" s="1717"/>
      <c r="I332" s="1717"/>
      <c r="J332" s="1717"/>
      <c r="K332" s="1717"/>
      <c r="L332" s="1717"/>
      <c r="M332" s="1717"/>
      <c r="N332" s="1717"/>
      <c r="O332" s="1717"/>
      <c r="P332" s="1717"/>
      <c r="Q332" s="1717"/>
      <c r="R332" s="1717"/>
      <c r="S332" s="1717"/>
      <c r="T332" s="1717"/>
      <c r="U332" s="1717"/>
      <c r="V332" s="1717"/>
      <c r="W332" s="1717"/>
      <c r="X332" s="1717"/>
      <c r="Y332" s="1717"/>
      <c r="Z332" s="1717"/>
      <c r="AA332" s="1717"/>
      <c r="AB332" s="1717"/>
      <c r="AC332" s="1717"/>
      <c r="AD332" s="1717"/>
      <c r="AE332" s="1717"/>
      <c r="AF332" s="1717"/>
      <c r="AG332" s="1717"/>
      <c r="AH332" s="1717"/>
      <c r="AI332" s="1717"/>
      <c r="AJ332" s="1717"/>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7"/>
      <c r="D333" s="1717"/>
      <c r="E333" s="1717"/>
      <c r="F333" s="1717"/>
      <c r="G333" s="1717"/>
      <c r="H333" s="1717"/>
      <c r="I333" s="1717"/>
      <c r="J333" s="1717"/>
      <c r="K333" s="1717"/>
      <c r="L333" s="1717"/>
      <c r="M333" s="1717"/>
      <c r="N333" s="1717"/>
      <c r="O333" s="1717"/>
      <c r="P333" s="1717"/>
      <c r="Q333" s="1717"/>
      <c r="R333" s="1717"/>
      <c r="S333" s="1717"/>
      <c r="T333" s="1717"/>
      <c r="U333" s="1717"/>
      <c r="V333" s="1717"/>
      <c r="W333" s="1717"/>
      <c r="X333" s="1717"/>
      <c r="Y333" s="1717"/>
      <c r="Z333" s="1717"/>
      <c r="AA333" s="1717"/>
      <c r="AB333" s="1717"/>
      <c r="AC333" s="1717"/>
      <c r="AD333" s="1717"/>
      <c r="AE333" s="1717"/>
      <c r="AF333" s="1717"/>
      <c r="AG333" s="1717"/>
      <c r="AH333" s="1717"/>
      <c r="AI333" s="1717"/>
      <c r="AJ333" s="1717"/>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7"/>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row>
    <row r="339" spans="1:76" s="4" customFormat="1" ht="12.75" customHeight="1">
      <c r="A339" s="27"/>
      <c r="B339" s="26"/>
      <c r="C339" s="1717" t="s">
        <v>1923</v>
      </c>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row>
    <row r="340" spans="1:76" s="4" customFormat="1" ht="12.7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row>
    <row r="341" spans="1:76" s="4" customFormat="1" ht="12.7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Q341"/>
    </row>
    <row r="342" spans="1:76" s="4" customFormat="1" ht="12.75" customHeight="1">
      <c r="A342" s="27"/>
      <c r="B342" s="26"/>
      <c r="C342" s="1717"/>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c r="AQ342"/>
    </row>
    <row r="343" spans="1:76" s="4" customFormat="1" ht="12.4"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c r="AQ343"/>
      <c r="AR343"/>
    </row>
    <row r="344" spans="1:76" s="4" customFormat="1" ht="12.75" customHeight="1">
      <c r="A344" s="27"/>
      <c r="B344" s="26"/>
      <c r="C344" s="1717" t="s">
        <v>1924</v>
      </c>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c r="AR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R345"/>
    </row>
    <row r="346" spans="1:76" s="4" customFormat="1" ht="12.7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R346"/>
    </row>
    <row r="347" spans="1:76" s="4" customFormat="1" ht="12.75" customHeight="1">
      <c r="A347" s="27"/>
      <c r="B347" s="26"/>
      <c r="C347" s="1717" t="s">
        <v>1925</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Q348"/>
      <c r="AR348"/>
    </row>
    <row r="349" spans="1:76" s="4" customFormat="1" ht="13.1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Q349"/>
      <c r="AR349"/>
    </row>
    <row r="350" spans="1:76" s="4" customFormat="1" ht="12.75" customHeight="1">
      <c r="A350" s="27"/>
      <c r="B350" s="26"/>
      <c r="C350" s="1717"/>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O350" s="170"/>
      <c r="AP350" s="170"/>
      <c r="AQ350"/>
    </row>
    <row r="351" spans="1:76" s="4" customFormat="1" ht="11.8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O351" s="703" t="s">
        <v>944</v>
      </c>
      <c r="AP351" s="71">
        <f>IF(C376="Yes",5,0)</f>
        <v>0</v>
      </c>
      <c r="AS351" s="3" t="s">
        <v>1856</v>
      </c>
    </row>
    <row r="352" spans="1:76" s="4" customFormat="1" ht="12.7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O352" s="703"/>
      <c r="AP352" s="71"/>
      <c r="AS352" s="1702">
        <f>IF(AQ365=0,AQ378,AQ365)</f>
        <v>15</v>
      </c>
      <c r="AT352" s="1702"/>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703" t="s">
        <v>945</v>
      </c>
      <c r="AP353" s="71">
        <f>IF(C386="Yes",5,0)</f>
        <v>0</v>
      </c>
      <c r="AS353" s="3" t="s">
        <v>1889</v>
      </c>
    </row>
    <row r="354" spans="1:46" s="4" customFormat="1" ht="12.7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703"/>
      <c r="AP354" s="71"/>
      <c r="AS354" s="1702">
        <f>IF(AND(AQ365&gt;0,AQ378&gt;0),(AQ365+AQ378)/2,0)</f>
        <v>0</v>
      </c>
      <c r="AT354" s="1702"/>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703" t="s">
        <v>951</v>
      </c>
      <c r="AP355" s="71">
        <f>IF(C396="Yes",7,0)</f>
        <v>7</v>
      </c>
    </row>
    <row r="356" spans="1:46" s="4" customFormat="1" ht="12.75" customHeight="1">
      <c r="A356" s="27"/>
      <c r="B356" s="26"/>
      <c r="C356" s="1717" t="s">
        <v>1926</v>
      </c>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281"/>
      <c r="AP356" s="71">
        <f>IF(C398="Yes",5,0)</f>
        <v>0</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281"/>
      <c r="AP357" s="71"/>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703" t="s">
        <v>460</v>
      </c>
      <c r="AP358" s="71">
        <f>IF(C406="Yes",5,0)</f>
        <v>0</v>
      </c>
    </row>
    <row r="359" spans="1:46" s="4" customFormat="1" ht="11.85" customHeight="1">
      <c r="A359" s="27"/>
      <c r="B359" s="26"/>
      <c r="C359" s="1717"/>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IF(C408="Yes",3,0)</f>
        <v>3</v>
      </c>
    </row>
    <row r="360" spans="1:46" s="4" customFormat="1" ht="12.4"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703" t="s">
        <v>182</v>
      </c>
      <c r="AP361" s="71">
        <f>IF(C411="Yes",5,0)</f>
        <v>0</v>
      </c>
    </row>
    <row r="362" spans="1:46" s="4" customFormat="1" ht="12.7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703" t="s">
        <v>463</v>
      </c>
      <c r="AP362" s="71">
        <f>IF(C420="Yes",5,0)</f>
        <v>5</v>
      </c>
    </row>
    <row r="363" spans="1:46" s="4" customFormat="1" ht="12.75" customHeight="1">
      <c r="A363" s="27"/>
      <c r="B363" s="26"/>
      <c r="C363" s="1717" t="s">
        <v>1927</v>
      </c>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f>IF(C422="Yes",3,0)</f>
        <v>0</v>
      </c>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704"/>
      <c r="AP364" s="55"/>
    </row>
    <row r="365" spans="1:46" s="4" customFormat="1" ht="68.099999999999994"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705" t="s">
        <v>646</v>
      </c>
      <c r="AP365" s="168">
        <f>SUM(AP351:AP364)</f>
        <v>15</v>
      </c>
      <c r="AQ365" s="1185">
        <f>IF(AP365&gt;0,AP365,0)</f>
        <v>15</v>
      </c>
      <c r="AR365" s="1185"/>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9">
        <f>Application!CQ636-U368</f>
        <v>140</v>
      </c>
      <c r="V367" s="1869"/>
      <c r="W367" s="1869"/>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70">
        <f>Application!AG720</f>
        <v>0</v>
      </c>
      <c r="V368" s="1870"/>
      <c r="W368" s="1870"/>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2" t="s">
        <v>1865</v>
      </c>
      <c r="G372" s="1692"/>
      <c r="H372" s="1692"/>
      <c r="I372" s="1692"/>
      <c r="J372" s="1692"/>
      <c r="K372" s="1692"/>
      <c r="L372" s="1692"/>
      <c r="M372" s="1692"/>
      <c r="N372" s="1692"/>
      <c r="O372" s="1692"/>
      <c r="P372" s="1692"/>
      <c r="Q372" s="1692"/>
      <c r="R372" s="1692"/>
      <c r="S372" s="1692"/>
      <c r="T372" s="1692"/>
      <c r="U372" s="1692"/>
      <c r="V372" s="1692"/>
      <c r="W372" s="1692"/>
      <c r="X372" s="1692"/>
      <c r="Y372" s="1692"/>
      <c r="Z372" s="1692"/>
      <c r="AA372" s="1692"/>
      <c r="AB372" s="1692"/>
      <c r="AC372" s="1692"/>
      <c r="AD372" s="1692"/>
      <c r="AE372" s="1692"/>
      <c r="AF372" s="1692"/>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2"/>
      <c r="G373" s="1652"/>
      <c r="H373" s="1652"/>
      <c r="I373" s="1652"/>
      <c r="J373" s="1652"/>
      <c r="K373" s="1652"/>
      <c r="L373" s="1652"/>
      <c r="M373" s="1652"/>
      <c r="N373" s="1652"/>
      <c r="O373" s="1652"/>
      <c r="P373" s="1652"/>
      <c r="Q373" s="1652"/>
      <c r="R373" s="1652"/>
      <c r="S373" s="1652"/>
      <c r="T373" s="1652"/>
      <c r="U373" s="1652"/>
      <c r="V373" s="1652"/>
      <c r="W373" s="1652"/>
      <c r="X373" s="1652"/>
      <c r="Y373" s="1652"/>
      <c r="Z373" s="1652"/>
      <c r="AA373" s="1652"/>
      <c r="AB373" s="1652"/>
      <c r="AC373" s="1652"/>
      <c r="AD373" s="1652"/>
      <c r="AE373" s="1652"/>
      <c r="AF373" s="1652"/>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2"/>
      <c r="G374" s="1652"/>
      <c r="H374" s="1652"/>
      <c r="I374" s="1652"/>
      <c r="J374" s="1652"/>
      <c r="K374" s="1652"/>
      <c r="L374" s="1652"/>
      <c r="M374" s="1652"/>
      <c r="N374" s="1652"/>
      <c r="O374" s="1652"/>
      <c r="P374" s="1652"/>
      <c r="Q374" s="1652"/>
      <c r="R374" s="1652"/>
      <c r="S374" s="1652"/>
      <c r="T374" s="1652"/>
      <c r="U374" s="1652"/>
      <c r="V374" s="1652"/>
      <c r="W374" s="1652"/>
      <c r="X374" s="1652"/>
      <c r="Y374" s="1652"/>
      <c r="Z374" s="1652"/>
      <c r="AA374" s="1652"/>
      <c r="AB374" s="1652"/>
      <c r="AC374" s="1652"/>
      <c r="AD374" s="1652"/>
      <c r="AE374" s="1652"/>
      <c r="AF374" s="1652"/>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2"/>
      <c r="G375" s="1652"/>
      <c r="H375" s="1652"/>
      <c r="I375" s="1652"/>
      <c r="J375" s="1652"/>
      <c r="K375" s="1652"/>
      <c r="L375" s="1652"/>
      <c r="M375" s="1652"/>
      <c r="N375" s="1652"/>
      <c r="O375" s="1652"/>
      <c r="P375" s="1652"/>
      <c r="Q375" s="1652"/>
      <c r="R375" s="1652"/>
      <c r="S375" s="1652"/>
      <c r="T375" s="1652"/>
      <c r="U375" s="1652"/>
      <c r="V375" s="1652"/>
      <c r="W375" s="1652"/>
      <c r="X375" s="1652"/>
      <c r="Y375" s="1652"/>
      <c r="Z375" s="1652"/>
      <c r="AA375" s="1652"/>
      <c r="AB375" s="1652"/>
      <c r="AC375" s="1652"/>
      <c r="AD375" s="1652"/>
      <c r="AE375" s="1652"/>
      <c r="AF375" s="1652"/>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8" t="s">
        <v>132</v>
      </c>
      <c r="D376" s="1232"/>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7" t="s">
        <v>340</v>
      </c>
      <c r="AG376" s="1647"/>
      <c r="AH376" s="1647"/>
      <c r="AI376" s="1647"/>
      <c r="AJ376" s="1647"/>
      <c r="AK376" s="1647"/>
      <c r="AL376" s="1677"/>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2" t="s">
        <v>1864</v>
      </c>
      <c r="G381" s="1692"/>
      <c r="H381" s="1692"/>
      <c r="I381" s="1692"/>
      <c r="J381" s="1692"/>
      <c r="K381" s="1692"/>
      <c r="L381" s="1692"/>
      <c r="M381" s="1692"/>
      <c r="N381" s="1692"/>
      <c r="O381" s="1692"/>
      <c r="P381" s="1692"/>
      <c r="Q381" s="1692"/>
      <c r="R381" s="1692"/>
      <c r="S381" s="1692"/>
      <c r="T381" s="1692"/>
      <c r="U381" s="1692"/>
      <c r="V381" s="1692"/>
      <c r="W381" s="1692"/>
      <c r="X381" s="1692"/>
      <c r="Y381" s="1692"/>
      <c r="Z381" s="1692"/>
      <c r="AA381" s="1692"/>
      <c r="AB381" s="1692"/>
      <c r="AC381" s="1692"/>
      <c r="AD381" s="1692"/>
      <c r="AE381" s="1692"/>
      <c r="AF381" s="1692"/>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652"/>
      <c r="AC382" s="1652"/>
      <c r="AD382" s="1652"/>
      <c r="AE382" s="1652"/>
      <c r="AF382" s="1652"/>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2"/>
      <c r="G383" s="1652"/>
      <c r="H383" s="1652"/>
      <c r="I383" s="1652"/>
      <c r="J383" s="1652"/>
      <c r="K383" s="1652"/>
      <c r="L383" s="1652"/>
      <c r="M383" s="1652"/>
      <c r="N383" s="1652"/>
      <c r="O383" s="1652"/>
      <c r="P383" s="1652"/>
      <c r="Q383" s="1652"/>
      <c r="R383" s="1652"/>
      <c r="S383" s="1652"/>
      <c r="T383" s="1652"/>
      <c r="U383" s="1652"/>
      <c r="V383" s="1652"/>
      <c r="W383" s="1652"/>
      <c r="X383" s="1652"/>
      <c r="Y383" s="1652"/>
      <c r="Z383" s="1652"/>
      <c r="AA383" s="1652"/>
      <c r="AB383" s="1652"/>
      <c r="AC383" s="1652"/>
      <c r="AD383" s="1652"/>
      <c r="AE383" s="1652"/>
      <c r="AF383" s="1652"/>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2"/>
      <c r="G384" s="1652"/>
      <c r="H384" s="1652"/>
      <c r="I384" s="1652"/>
      <c r="J384" s="1652"/>
      <c r="K384" s="1652"/>
      <c r="L384" s="1652"/>
      <c r="M384" s="1652"/>
      <c r="N384" s="1652"/>
      <c r="O384" s="1652"/>
      <c r="P384" s="1652"/>
      <c r="Q384" s="1652"/>
      <c r="R384" s="1652"/>
      <c r="S384" s="1652"/>
      <c r="T384" s="1652"/>
      <c r="U384" s="1652"/>
      <c r="V384" s="1652"/>
      <c r="W384" s="1652"/>
      <c r="X384" s="1652"/>
      <c r="Y384" s="1652"/>
      <c r="Z384" s="1652"/>
      <c r="AA384" s="1652"/>
      <c r="AB384" s="1652"/>
      <c r="AC384" s="1652"/>
      <c r="AD384" s="1652"/>
      <c r="AE384" s="1652"/>
      <c r="AF384" s="1652"/>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2"/>
      <c r="G385" s="1652"/>
      <c r="H385" s="1652"/>
      <c r="I385" s="1652"/>
      <c r="J385" s="1652"/>
      <c r="K385" s="1652"/>
      <c r="L385" s="1652"/>
      <c r="M385" s="1652"/>
      <c r="N385" s="1652"/>
      <c r="O385" s="1652"/>
      <c r="P385" s="1652"/>
      <c r="Q385" s="1652"/>
      <c r="R385" s="1652"/>
      <c r="S385" s="1652"/>
      <c r="T385" s="1652"/>
      <c r="U385" s="1652"/>
      <c r="V385" s="1652"/>
      <c r="W385" s="1652"/>
      <c r="X385" s="1652"/>
      <c r="Y385" s="1652"/>
      <c r="Z385" s="1652"/>
      <c r="AA385" s="1652"/>
      <c r="AB385" s="1652"/>
      <c r="AC385" s="1652"/>
      <c r="AD385" s="1652"/>
      <c r="AE385" s="1652"/>
      <c r="AF385" s="1652"/>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8" t="s">
        <v>132</v>
      </c>
      <c r="D386" s="1232"/>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7" t="s">
        <v>340</v>
      </c>
      <c r="AG386" s="1647"/>
      <c r="AH386" s="1647"/>
      <c r="AI386" s="1647"/>
      <c r="AJ386" s="1647"/>
      <c r="AK386" s="1647"/>
      <c r="AL386" s="167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500"/>
      <c r="D388" s="150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7"/>
      <c r="AG388" s="1647"/>
      <c r="AH388" s="1647"/>
      <c r="AI388" s="1647"/>
      <c r="AJ388" s="1647"/>
      <c r="AK388" s="1647"/>
      <c r="AL388" s="164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5" t="s">
        <v>2047</v>
      </c>
      <c r="G391" s="1715"/>
      <c r="H391" s="1715"/>
      <c r="I391" s="1715"/>
      <c r="J391" s="1715"/>
      <c r="K391" s="1715"/>
      <c r="L391" s="1715"/>
      <c r="M391" s="1715"/>
      <c r="N391" s="1715"/>
      <c r="O391" s="1715"/>
      <c r="P391" s="1715"/>
      <c r="Q391" s="1715"/>
      <c r="R391" s="1715"/>
      <c r="S391" s="1715"/>
      <c r="T391" s="1715"/>
      <c r="U391" s="1715"/>
      <c r="V391" s="1715"/>
      <c r="W391" s="1715"/>
      <c r="X391" s="1715"/>
      <c r="Y391" s="1715"/>
      <c r="Z391" s="1715"/>
      <c r="AA391" s="1715"/>
      <c r="AB391" s="1715"/>
      <c r="AC391" s="1715"/>
      <c r="AD391" s="1715"/>
      <c r="AE391" s="1715"/>
      <c r="AF391" s="1715"/>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6"/>
      <c r="G392" s="1716"/>
      <c r="H392" s="1716"/>
      <c r="I392" s="1716"/>
      <c r="J392" s="1716"/>
      <c r="K392" s="1716"/>
      <c r="L392" s="1716"/>
      <c r="M392" s="1716"/>
      <c r="N392" s="1716"/>
      <c r="O392" s="1716"/>
      <c r="P392" s="1716"/>
      <c r="Q392" s="1716"/>
      <c r="R392" s="1716"/>
      <c r="S392" s="1716"/>
      <c r="T392" s="1716"/>
      <c r="U392" s="1716"/>
      <c r="V392" s="1716"/>
      <c r="W392" s="1716"/>
      <c r="X392" s="1716"/>
      <c r="Y392" s="1716"/>
      <c r="Z392" s="1716"/>
      <c r="AA392" s="1716"/>
      <c r="AB392" s="1716"/>
      <c r="AC392" s="1716"/>
      <c r="AD392" s="1716"/>
      <c r="AE392" s="1716"/>
      <c r="AF392" s="1716"/>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6"/>
      <c r="G393" s="1716"/>
      <c r="H393" s="1716"/>
      <c r="I393" s="1716"/>
      <c r="J393" s="1716"/>
      <c r="K393" s="1716"/>
      <c r="L393" s="1716"/>
      <c r="M393" s="1716"/>
      <c r="N393" s="1716"/>
      <c r="O393" s="1716"/>
      <c r="P393" s="1716"/>
      <c r="Q393" s="1716"/>
      <c r="R393" s="1716"/>
      <c r="S393" s="1716"/>
      <c r="T393" s="1716"/>
      <c r="U393" s="1716"/>
      <c r="V393" s="1716"/>
      <c r="W393" s="1716"/>
      <c r="X393" s="1716"/>
      <c r="Y393" s="1716"/>
      <c r="Z393" s="1716"/>
      <c r="AA393" s="1716"/>
      <c r="AB393" s="1716"/>
      <c r="AC393" s="1716"/>
      <c r="AD393" s="1716"/>
      <c r="AE393" s="1716"/>
      <c r="AF393" s="1716"/>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6"/>
      <c r="G394" s="1716"/>
      <c r="H394" s="1716"/>
      <c r="I394" s="1716"/>
      <c r="J394" s="1716"/>
      <c r="K394" s="1716"/>
      <c r="L394" s="1716"/>
      <c r="M394" s="1716"/>
      <c r="N394" s="1716"/>
      <c r="O394" s="1716"/>
      <c r="P394" s="1716"/>
      <c r="Q394" s="1716"/>
      <c r="R394" s="1716"/>
      <c r="S394" s="1716"/>
      <c r="T394" s="1716"/>
      <c r="U394" s="1716"/>
      <c r="V394" s="1716"/>
      <c r="W394" s="1716"/>
      <c r="X394" s="1716"/>
      <c r="Y394" s="1716"/>
      <c r="Z394" s="1716"/>
      <c r="AA394" s="1716"/>
      <c r="AB394" s="1716"/>
      <c r="AC394" s="1716"/>
      <c r="AD394" s="1716"/>
      <c r="AE394" s="1716"/>
      <c r="AF394" s="1716"/>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6"/>
      <c r="G395" s="1716"/>
      <c r="H395" s="1716"/>
      <c r="I395" s="1716"/>
      <c r="J395" s="1716"/>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8" t="s">
        <v>116</v>
      </c>
      <c r="D396" s="1232"/>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7" t="s">
        <v>1007</v>
      </c>
      <c r="AG396" s="1647"/>
      <c r="AH396" s="1647"/>
      <c r="AI396" s="1647"/>
      <c r="AJ396" s="1647"/>
      <c r="AK396" s="1647"/>
      <c r="AL396" s="1677"/>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8" t="s">
        <v>132</v>
      </c>
      <c r="D398" s="1232"/>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7" t="s">
        <v>340</v>
      </c>
      <c r="AG398" s="1647"/>
      <c r="AH398" s="1647"/>
      <c r="AI398" s="1647"/>
      <c r="AJ398" s="1647"/>
      <c r="AK398" s="1647"/>
      <c r="AL398" s="1677"/>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2" t="s">
        <v>1863</v>
      </c>
      <c r="G402" s="1692"/>
      <c r="H402" s="1692"/>
      <c r="I402" s="1692"/>
      <c r="J402" s="1692"/>
      <c r="K402" s="1692"/>
      <c r="L402" s="1692"/>
      <c r="M402" s="1692"/>
      <c r="N402" s="1692"/>
      <c r="O402" s="1692"/>
      <c r="P402" s="1692"/>
      <c r="Q402" s="1692"/>
      <c r="R402" s="1692"/>
      <c r="S402" s="1692"/>
      <c r="T402" s="1692"/>
      <c r="U402" s="1692"/>
      <c r="V402" s="1692"/>
      <c r="W402" s="1692"/>
      <c r="X402" s="1692"/>
      <c r="Y402" s="1692"/>
      <c r="Z402" s="1692"/>
      <c r="AA402" s="1692"/>
      <c r="AB402" s="1692"/>
      <c r="AC402" s="1692"/>
      <c r="AD402" s="1692"/>
      <c r="AE402" s="1692"/>
      <c r="AF402" s="1692"/>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2"/>
      <c r="G403" s="1652"/>
      <c r="H403" s="1652"/>
      <c r="I403" s="1652"/>
      <c r="J403" s="1652"/>
      <c r="K403" s="1652"/>
      <c r="L403" s="1652"/>
      <c r="M403" s="1652"/>
      <c r="N403" s="1652"/>
      <c r="O403" s="1652"/>
      <c r="P403" s="1652"/>
      <c r="Q403" s="1652"/>
      <c r="R403" s="1652"/>
      <c r="S403" s="1652"/>
      <c r="T403" s="1652"/>
      <c r="U403" s="1652"/>
      <c r="V403" s="1652"/>
      <c r="W403" s="1652"/>
      <c r="X403" s="1652"/>
      <c r="Y403" s="1652"/>
      <c r="Z403" s="1652"/>
      <c r="AA403" s="1652"/>
      <c r="AB403" s="1652"/>
      <c r="AC403" s="1652"/>
      <c r="AD403" s="1652"/>
      <c r="AE403" s="1652"/>
      <c r="AF403" s="1652"/>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2"/>
      <c r="G404" s="1652"/>
      <c r="H404" s="1652"/>
      <c r="I404" s="1652"/>
      <c r="J404" s="1652"/>
      <c r="K404" s="1652"/>
      <c r="L404" s="1652"/>
      <c r="M404" s="1652"/>
      <c r="N404" s="1652"/>
      <c r="O404" s="1652"/>
      <c r="P404" s="1652"/>
      <c r="Q404" s="1652"/>
      <c r="R404" s="1652"/>
      <c r="S404" s="1652"/>
      <c r="T404" s="1652"/>
      <c r="U404" s="1652"/>
      <c r="V404" s="1652"/>
      <c r="W404" s="1652"/>
      <c r="X404" s="1652"/>
      <c r="Y404" s="1652"/>
      <c r="Z404" s="1652"/>
      <c r="AA404" s="1652"/>
      <c r="AB404" s="1652"/>
      <c r="AC404" s="1652"/>
      <c r="AD404" s="1652"/>
      <c r="AE404" s="1652"/>
      <c r="AF404" s="1652"/>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2"/>
      <c r="G405" s="1652"/>
      <c r="H405" s="1652"/>
      <c r="I405" s="1652"/>
      <c r="J405" s="1652"/>
      <c r="K405" s="1652"/>
      <c r="L405" s="1652"/>
      <c r="M405" s="1652"/>
      <c r="N405" s="1652"/>
      <c r="O405" s="1652"/>
      <c r="P405" s="1652"/>
      <c r="Q405" s="1652"/>
      <c r="R405" s="1652"/>
      <c r="S405" s="1652"/>
      <c r="T405" s="1652"/>
      <c r="U405" s="1652"/>
      <c r="V405" s="1652"/>
      <c r="W405" s="1652"/>
      <c r="X405" s="1652"/>
      <c r="Y405" s="1652"/>
      <c r="Z405" s="1652"/>
      <c r="AA405" s="1652"/>
      <c r="AB405" s="1652"/>
      <c r="AC405" s="1652"/>
      <c r="AD405" s="1652"/>
      <c r="AE405" s="1652"/>
      <c r="AF405" s="1652"/>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8" t="s">
        <v>132</v>
      </c>
      <c r="D406" s="1232"/>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7" t="s">
        <v>340</v>
      </c>
      <c r="AG406" s="1647"/>
      <c r="AH406" s="1647"/>
      <c r="AI406" s="1647"/>
      <c r="AJ406" s="1647"/>
      <c r="AK406" s="1647"/>
      <c r="AL406" s="167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8" t="s">
        <v>116</v>
      </c>
      <c r="D408" s="1232"/>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7" t="s">
        <v>1006</v>
      </c>
      <c r="AG408" s="1647"/>
      <c r="AH408" s="1647"/>
      <c r="AI408" s="1647"/>
      <c r="AJ408" s="1647"/>
      <c r="AK408" s="1647"/>
      <c r="AL408" s="167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8" t="s">
        <v>132</v>
      </c>
      <c r="D411" s="1232"/>
      <c r="E411" s="713" t="s">
        <v>204</v>
      </c>
      <c r="F411" s="1692" t="s">
        <v>1867</v>
      </c>
      <c r="G411" s="1692"/>
      <c r="H411" s="1692"/>
      <c r="I411" s="1692"/>
      <c r="J411" s="1692"/>
      <c r="K411" s="1692"/>
      <c r="L411" s="1692"/>
      <c r="M411" s="1692"/>
      <c r="N411" s="1692"/>
      <c r="O411" s="1692"/>
      <c r="P411" s="1692"/>
      <c r="Q411" s="1692"/>
      <c r="R411" s="1692"/>
      <c r="S411" s="1692"/>
      <c r="T411" s="1692"/>
      <c r="U411" s="1692"/>
      <c r="V411" s="1692"/>
      <c r="W411" s="1692"/>
      <c r="X411" s="1692"/>
      <c r="Y411" s="1692"/>
      <c r="Z411" s="1692"/>
      <c r="AA411" s="1692"/>
      <c r="AB411" s="1692"/>
      <c r="AC411" s="1692"/>
      <c r="AD411" s="1692"/>
      <c r="AE411" s="1692"/>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2"/>
      <c r="G412" s="1652"/>
      <c r="H412" s="1652"/>
      <c r="I412" s="1652"/>
      <c r="J412" s="1652"/>
      <c r="K412" s="1652"/>
      <c r="L412" s="1652"/>
      <c r="M412" s="1652"/>
      <c r="N412" s="1652"/>
      <c r="O412" s="1652"/>
      <c r="P412" s="1652"/>
      <c r="Q412" s="1652"/>
      <c r="R412" s="1652"/>
      <c r="S412" s="1652"/>
      <c r="T412" s="1652"/>
      <c r="U412" s="1652"/>
      <c r="V412" s="1652"/>
      <c r="W412" s="1652"/>
      <c r="X412" s="1652"/>
      <c r="Y412" s="1652"/>
      <c r="Z412" s="1652"/>
      <c r="AA412" s="1652"/>
      <c r="AB412" s="1652"/>
      <c r="AC412" s="1652"/>
      <c r="AD412" s="1652"/>
      <c r="AE412" s="1652"/>
      <c r="AF412" s="1714" t="s">
        <v>340</v>
      </c>
      <c r="AG412" s="1714"/>
      <c r="AH412" s="1714"/>
      <c r="AI412" s="1714"/>
      <c r="AJ412" s="1714"/>
      <c r="AK412" s="1714"/>
      <c r="AL412" s="172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2"/>
      <c r="G413" s="1652"/>
      <c r="H413" s="1652"/>
      <c r="I413" s="1652"/>
      <c r="J413" s="1652"/>
      <c r="K413" s="1652"/>
      <c r="L413" s="1652"/>
      <c r="M413" s="1652"/>
      <c r="N413" s="1652"/>
      <c r="O413" s="1652"/>
      <c r="P413" s="1652"/>
      <c r="Q413" s="1652"/>
      <c r="R413" s="1652"/>
      <c r="S413" s="1652"/>
      <c r="T413" s="1652"/>
      <c r="U413" s="1652"/>
      <c r="V413" s="1652"/>
      <c r="W413" s="1652"/>
      <c r="X413" s="1652"/>
      <c r="Y413" s="1652"/>
      <c r="Z413" s="1652"/>
      <c r="AA413" s="1652"/>
      <c r="AB413" s="1652"/>
      <c r="AC413" s="1652"/>
      <c r="AD413" s="1652"/>
      <c r="AE413" s="1652"/>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7"/>
      <c r="G414" s="1687"/>
      <c r="H414" s="1687"/>
      <c r="I414" s="1687"/>
      <c r="J414" s="1687"/>
      <c r="K414" s="1687"/>
      <c r="L414" s="1687"/>
      <c r="M414" s="1687"/>
      <c r="N414" s="1687"/>
      <c r="O414" s="1687"/>
      <c r="P414" s="1687"/>
      <c r="Q414" s="1687"/>
      <c r="R414" s="1687"/>
      <c r="S414" s="1687"/>
      <c r="T414" s="1687"/>
      <c r="U414" s="1687"/>
      <c r="V414" s="1687"/>
      <c r="W414" s="1687"/>
      <c r="X414" s="1687"/>
      <c r="Y414" s="1687"/>
      <c r="Z414" s="1687"/>
      <c r="AA414" s="1687"/>
      <c r="AB414" s="1687"/>
      <c r="AC414" s="1687"/>
      <c r="AD414" s="1687"/>
      <c r="AE414" s="1687"/>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2" t="s">
        <v>1869</v>
      </c>
      <c r="G416" s="1692"/>
      <c r="H416" s="1692"/>
      <c r="I416" s="1692"/>
      <c r="J416" s="1692"/>
      <c r="K416" s="1692"/>
      <c r="L416" s="1692"/>
      <c r="M416" s="1692"/>
      <c r="N416" s="1692"/>
      <c r="O416" s="1692"/>
      <c r="P416" s="1692"/>
      <c r="Q416" s="1692"/>
      <c r="R416" s="1692"/>
      <c r="S416" s="1692"/>
      <c r="T416" s="1692"/>
      <c r="U416" s="1692"/>
      <c r="V416" s="1692"/>
      <c r="W416" s="1692"/>
      <c r="X416" s="1692"/>
      <c r="Y416" s="1692"/>
      <c r="Z416" s="1692"/>
      <c r="AA416" s="1692"/>
      <c r="AB416" s="1692"/>
      <c r="AC416" s="1692"/>
      <c r="AD416" s="1692"/>
      <c r="AE416" s="1692"/>
      <c r="AF416" s="733"/>
      <c r="AG416" s="733"/>
      <c r="AH416" s="733"/>
      <c r="AI416" s="733"/>
      <c r="AJ416" s="733"/>
      <c r="AK416" s="733"/>
      <c r="AL416" s="734"/>
      <c r="AM416"/>
    </row>
    <row r="417" spans="1:60">
      <c r="A417" s="5"/>
      <c r="C417" s="719"/>
      <c r="E417" s="194"/>
      <c r="F417" s="1652"/>
      <c r="G417" s="1652"/>
      <c r="H417" s="1652"/>
      <c r="I417" s="1652"/>
      <c r="J417" s="1652"/>
      <c r="K417" s="1652"/>
      <c r="L417" s="1652"/>
      <c r="M417" s="1652"/>
      <c r="N417" s="1652"/>
      <c r="O417" s="1652"/>
      <c r="P417" s="1652"/>
      <c r="Q417" s="1652"/>
      <c r="R417" s="1652"/>
      <c r="S417" s="1652"/>
      <c r="T417" s="1652"/>
      <c r="U417" s="1652"/>
      <c r="V417" s="1652"/>
      <c r="W417" s="1652"/>
      <c r="X417" s="1652"/>
      <c r="Y417" s="1652"/>
      <c r="Z417" s="1652"/>
      <c r="AA417" s="1652"/>
      <c r="AB417" s="1652"/>
      <c r="AC417" s="1652"/>
      <c r="AD417" s="1652"/>
      <c r="AE417" s="1652"/>
      <c r="AF417" s="3"/>
      <c r="AG417" s="5"/>
      <c r="AH417" s="4"/>
      <c r="AI417" s="4"/>
      <c r="AJ417" s="4"/>
      <c r="AK417" s="4"/>
      <c r="AL417" s="720"/>
      <c r="AM417"/>
    </row>
    <row r="418" spans="1:60" s="4" customFormat="1" ht="12.75" customHeight="1">
      <c r="A418" s="5"/>
      <c r="B418" s="21"/>
      <c r="C418" s="719"/>
      <c r="D418" s="21"/>
      <c r="E418" s="194"/>
      <c r="F418" s="1652"/>
      <c r="G418" s="1652"/>
      <c r="H418" s="1652"/>
      <c r="I418" s="1652"/>
      <c r="J418" s="1652"/>
      <c r="K418" s="1652"/>
      <c r="L418" s="1652"/>
      <c r="M418" s="1652"/>
      <c r="N418" s="1652"/>
      <c r="O418" s="1652"/>
      <c r="P418" s="1652"/>
      <c r="Q418" s="1652"/>
      <c r="R418" s="1652"/>
      <c r="S418" s="1652"/>
      <c r="T418" s="1652"/>
      <c r="U418" s="1652"/>
      <c r="V418" s="1652"/>
      <c r="W418" s="1652"/>
      <c r="X418" s="1652"/>
      <c r="Y418" s="1652"/>
      <c r="Z418" s="1652"/>
      <c r="AA418" s="1652"/>
      <c r="AB418" s="1652"/>
      <c r="AC418" s="1652"/>
      <c r="AD418" s="1652"/>
      <c r="AE418" s="1652"/>
      <c r="AL418" s="720"/>
      <c r="AM418"/>
      <c r="AN418" s="281"/>
    </row>
    <row r="419" spans="1:60" s="4" customFormat="1" ht="12.75" customHeight="1">
      <c r="A419" s="5"/>
      <c r="B419" s="21"/>
      <c r="C419" s="722"/>
      <c r="F419" s="1652"/>
      <c r="G419" s="1652"/>
      <c r="H419" s="1652"/>
      <c r="I419" s="1652"/>
      <c r="J419" s="1652"/>
      <c r="K419" s="1652"/>
      <c r="L419" s="1652"/>
      <c r="M419" s="1652"/>
      <c r="N419" s="1652"/>
      <c r="O419" s="1652"/>
      <c r="P419" s="1652"/>
      <c r="Q419" s="1652"/>
      <c r="R419" s="1652"/>
      <c r="S419" s="1652"/>
      <c r="T419" s="1652"/>
      <c r="U419" s="1652"/>
      <c r="V419" s="1652"/>
      <c r="W419" s="1652"/>
      <c r="X419" s="1652"/>
      <c r="Y419" s="1652"/>
      <c r="Z419" s="1652"/>
      <c r="AA419" s="1652"/>
      <c r="AB419" s="1652"/>
      <c r="AC419" s="1652"/>
      <c r="AD419" s="1652"/>
      <c r="AE419" s="1652"/>
      <c r="AL419" s="720"/>
      <c r="AM419"/>
      <c r="AN419" s="281"/>
    </row>
    <row r="420" spans="1:60" s="4" customFormat="1" ht="12.75" customHeight="1">
      <c r="A420" s="5"/>
      <c r="B420" s="21"/>
      <c r="C420" s="1678" t="s">
        <v>116</v>
      </c>
      <c r="D420" s="1232"/>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4" t="s">
        <v>340</v>
      </c>
      <c r="AG420" s="1714"/>
      <c r="AH420" s="1714"/>
      <c r="AI420" s="1714"/>
      <c r="AJ420" s="1714"/>
      <c r="AK420" s="1714"/>
      <c r="AL420" s="1721"/>
      <c r="AM420"/>
      <c r="AN420" s="281"/>
    </row>
    <row r="421" spans="1:60" s="4" customFormat="1" ht="12.75" customHeight="1">
      <c r="A421" s="5"/>
      <c r="B421" s="21"/>
      <c r="C421" s="722"/>
      <c r="AL421" s="720"/>
      <c r="AM421"/>
      <c r="AN421" s="281"/>
    </row>
    <row r="422" spans="1:60" s="4" customFormat="1" ht="12.75" customHeight="1">
      <c r="A422" s="5"/>
      <c r="B422" s="21"/>
      <c r="C422" s="1678" t="s">
        <v>132</v>
      </c>
      <c r="D422" s="1232"/>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4" t="s">
        <v>1006</v>
      </c>
      <c r="AG422" s="1714"/>
      <c r="AH422" s="1714"/>
      <c r="AI422" s="1714"/>
      <c r="AJ422" s="1714"/>
      <c r="AK422" s="1714"/>
      <c r="AL422" s="1721"/>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2" t="s">
        <v>1870</v>
      </c>
      <c r="G426" s="1692"/>
      <c r="H426" s="1692"/>
      <c r="I426" s="1692"/>
      <c r="J426" s="1692"/>
      <c r="K426" s="1692"/>
      <c r="L426" s="1692"/>
      <c r="M426" s="1692"/>
      <c r="N426" s="1692"/>
      <c r="O426" s="1692"/>
      <c r="P426" s="1692"/>
      <c r="Q426" s="1692"/>
      <c r="R426" s="1692"/>
      <c r="S426" s="1692"/>
      <c r="T426" s="1692"/>
      <c r="U426" s="1692"/>
      <c r="V426" s="1692"/>
      <c r="W426" s="1692"/>
      <c r="X426" s="1692"/>
      <c r="Y426" s="1692"/>
      <c r="Z426" s="1692"/>
      <c r="AA426" s="1692"/>
      <c r="AB426" s="1692"/>
      <c r="AC426" s="1692"/>
      <c r="AD426" s="1692"/>
      <c r="AE426" s="1692"/>
      <c r="AF426" s="712"/>
      <c r="AG426" s="712"/>
      <c r="AH426" s="712"/>
      <c r="AI426" s="712"/>
      <c r="AJ426" s="712"/>
      <c r="AK426" s="712"/>
      <c r="AL426" s="736"/>
      <c r="AM426"/>
      <c r="AN426" s="281"/>
    </row>
    <row r="427" spans="1:60" s="4" customFormat="1" ht="12.75" customHeight="1">
      <c r="A427" s="5"/>
      <c r="B427" s="73"/>
      <c r="C427" s="737"/>
      <c r="D427" s="73"/>
      <c r="E427" s="194"/>
      <c r="F427" s="1652"/>
      <c r="G427" s="1652"/>
      <c r="H427" s="1652"/>
      <c r="I427" s="1652"/>
      <c r="J427" s="1652"/>
      <c r="K427" s="1652"/>
      <c r="L427" s="1652"/>
      <c r="M427" s="1652"/>
      <c r="N427" s="1652"/>
      <c r="O427" s="1652"/>
      <c r="P427" s="1652"/>
      <c r="Q427" s="1652"/>
      <c r="R427" s="1652"/>
      <c r="S427" s="1652"/>
      <c r="T427" s="1652"/>
      <c r="U427" s="1652"/>
      <c r="V427" s="1652"/>
      <c r="W427" s="1652"/>
      <c r="X427" s="1652"/>
      <c r="Y427" s="1652"/>
      <c r="Z427" s="1652"/>
      <c r="AA427" s="1652"/>
      <c r="AB427" s="1652"/>
      <c r="AC427" s="1652"/>
      <c r="AD427" s="1652"/>
      <c r="AE427" s="1652"/>
      <c r="AF427" s="3"/>
      <c r="AG427" s="5"/>
      <c r="AL427" s="720"/>
      <c r="AM427"/>
      <c r="AN427" s="281"/>
    </row>
    <row r="428" spans="1:60" s="4" customFormat="1" ht="12.4" customHeight="1">
      <c r="A428" s="5"/>
      <c r="B428" s="73"/>
      <c r="C428" s="737"/>
      <c r="D428" s="73"/>
      <c r="E428" s="194"/>
      <c r="F428" s="1652"/>
      <c r="G428" s="1652"/>
      <c r="H428" s="1652"/>
      <c r="I428" s="1652"/>
      <c r="J428" s="1652"/>
      <c r="K428" s="1652"/>
      <c r="L428" s="1652"/>
      <c r="M428" s="1652"/>
      <c r="N428" s="1652"/>
      <c r="O428" s="1652"/>
      <c r="P428" s="1652"/>
      <c r="Q428" s="1652"/>
      <c r="R428" s="1652"/>
      <c r="S428" s="1652"/>
      <c r="T428" s="1652"/>
      <c r="U428" s="1652"/>
      <c r="V428" s="1652"/>
      <c r="W428" s="1652"/>
      <c r="X428" s="1652"/>
      <c r="Y428" s="1652"/>
      <c r="Z428" s="1652"/>
      <c r="AA428" s="1652"/>
      <c r="AB428" s="1652"/>
      <c r="AC428" s="1652"/>
      <c r="AD428" s="1652"/>
      <c r="AE428" s="1652"/>
      <c r="AL428" s="720"/>
      <c r="AM428"/>
      <c r="AN428" s="281"/>
    </row>
    <row r="429" spans="1:60" s="4" customFormat="1" ht="12.75" customHeight="1">
      <c r="A429" s="5"/>
      <c r="B429" s="73"/>
      <c r="C429" s="1678" t="s">
        <v>132</v>
      </c>
      <c r="D429" s="1232"/>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4" t="s">
        <v>340</v>
      </c>
      <c r="AG429" s="1714"/>
      <c r="AH429" s="1714"/>
      <c r="AI429" s="1714"/>
      <c r="AJ429" s="1714"/>
      <c r="AK429" s="1714"/>
      <c r="AL429" s="1721"/>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92" t="s">
        <v>1871</v>
      </c>
      <c r="G432" s="1692"/>
      <c r="H432" s="1692"/>
      <c r="I432" s="1692"/>
      <c r="J432" s="1692"/>
      <c r="K432" s="1692"/>
      <c r="L432" s="1692"/>
      <c r="M432" s="1692"/>
      <c r="N432" s="1692"/>
      <c r="O432" s="1692"/>
      <c r="P432" s="1692"/>
      <c r="Q432" s="1692"/>
      <c r="R432" s="1692"/>
      <c r="S432" s="1692"/>
      <c r="T432" s="1692"/>
      <c r="U432" s="1692"/>
      <c r="V432" s="1692"/>
      <c r="W432" s="1692"/>
      <c r="X432" s="1692"/>
      <c r="Y432" s="1692"/>
      <c r="Z432" s="1692"/>
      <c r="AA432" s="1692"/>
      <c r="AB432" s="1692"/>
      <c r="AC432" s="1692"/>
      <c r="AD432" s="1692"/>
      <c r="AE432" s="1692"/>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2"/>
      <c r="G433" s="1652"/>
      <c r="H433" s="1652"/>
      <c r="I433" s="1652"/>
      <c r="J433" s="1652"/>
      <c r="K433" s="1652"/>
      <c r="L433" s="1652"/>
      <c r="M433" s="1652"/>
      <c r="N433" s="1652"/>
      <c r="O433" s="1652"/>
      <c r="P433" s="1652"/>
      <c r="Q433" s="1652"/>
      <c r="R433" s="1652"/>
      <c r="S433" s="1652"/>
      <c r="T433" s="1652"/>
      <c r="U433" s="1652"/>
      <c r="V433" s="1652"/>
      <c r="W433" s="1652"/>
      <c r="X433" s="1652"/>
      <c r="Y433" s="1652"/>
      <c r="Z433" s="1652"/>
      <c r="AA433" s="1652"/>
      <c r="AB433" s="1652"/>
      <c r="AC433" s="1652"/>
      <c r="AD433" s="1652"/>
      <c r="AE433" s="1652"/>
      <c r="AF433" s="108"/>
      <c r="AG433" s="108"/>
      <c r="AH433" s="108"/>
      <c r="AI433" s="108"/>
      <c r="AJ433" s="108"/>
      <c r="AK433" s="108"/>
      <c r="AL433" s="802"/>
      <c r="AM433"/>
      <c r="AO433" s="4"/>
      <c r="AP433" s="4"/>
    </row>
    <row r="434" spans="1:49" s="4" customFormat="1" ht="12.75" customHeight="1">
      <c r="A434" s="5"/>
      <c r="B434" s="73"/>
      <c r="C434" s="737"/>
      <c r="D434" s="73"/>
      <c r="E434" s="194"/>
      <c r="F434" s="1652"/>
      <c r="G434" s="1652"/>
      <c r="H434" s="1652"/>
      <c r="I434" s="1652"/>
      <c r="J434" s="1652"/>
      <c r="K434" s="1652"/>
      <c r="L434" s="1652"/>
      <c r="M434" s="1652"/>
      <c r="N434" s="1652"/>
      <c r="O434" s="1652"/>
      <c r="P434" s="1652"/>
      <c r="Q434" s="1652"/>
      <c r="R434" s="1652"/>
      <c r="S434" s="1652"/>
      <c r="T434" s="1652"/>
      <c r="U434" s="1652"/>
      <c r="V434" s="1652"/>
      <c r="W434" s="1652"/>
      <c r="X434" s="1652"/>
      <c r="Y434" s="1652"/>
      <c r="Z434" s="1652"/>
      <c r="AA434" s="1652"/>
      <c r="AB434" s="1652"/>
      <c r="AC434" s="1652"/>
      <c r="AD434" s="1652"/>
      <c r="AE434" s="1652"/>
      <c r="AF434" s="108"/>
      <c r="AG434" s="108"/>
      <c r="AH434" s="108"/>
      <c r="AI434" s="108"/>
      <c r="AJ434" s="108"/>
      <c r="AK434" s="108"/>
      <c r="AL434" s="802"/>
      <c r="AM434"/>
      <c r="AN434" s="281"/>
    </row>
    <row r="435" spans="1:49" s="4" customFormat="1" ht="12.75" customHeight="1">
      <c r="A435" s="5"/>
      <c r="B435" s="73"/>
      <c r="C435" s="738"/>
      <c r="D435" s="1"/>
      <c r="E435" s="225"/>
      <c r="F435" s="1652"/>
      <c r="G435" s="1652"/>
      <c r="H435" s="1652"/>
      <c r="I435" s="1652"/>
      <c r="J435" s="1652"/>
      <c r="K435" s="1652"/>
      <c r="L435" s="1652"/>
      <c r="M435" s="1652"/>
      <c r="N435" s="1652"/>
      <c r="O435" s="1652"/>
      <c r="P435" s="1652"/>
      <c r="Q435" s="1652"/>
      <c r="R435" s="1652"/>
      <c r="S435" s="1652"/>
      <c r="T435" s="1652"/>
      <c r="U435" s="1652"/>
      <c r="V435" s="1652"/>
      <c r="W435" s="1652"/>
      <c r="X435" s="1652"/>
      <c r="Y435" s="1652"/>
      <c r="Z435" s="1652"/>
      <c r="AA435" s="1652"/>
      <c r="AB435" s="1652"/>
      <c r="AC435" s="1652"/>
      <c r="AD435" s="1652"/>
      <c r="AE435" s="1652"/>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2"/>
      <c r="G436" s="1652"/>
      <c r="H436" s="1652"/>
      <c r="I436" s="1652"/>
      <c r="J436" s="1652"/>
      <c r="K436" s="1652"/>
      <c r="L436" s="1652"/>
      <c r="M436" s="1652"/>
      <c r="N436" s="1652"/>
      <c r="O436" s="1652"/>
      <c r="P436" s="1652"/>
      <c r="Q436" s="1652"/>
      <c r="R436" s="1652"/>
      <c r="S436" s="1652"/>
      <c r="T436" s="1652"/>
      <c r="U436" s="1652"/>
      <c r="V436" s="1652"/>
      <c r="W436" s="1652"/>
      <c r="X436" s="1652"/>
      <c r="Y436" s="1652"/>
      <c r="Z436" s="1652"/>
      <c r="AA436" s="1652"/>
      <c r="AB436" s="1652"/>
      <c r="AC436" s="1652"/>
      <c r="AD436" s="1652"/>
      <c r="AE436" s="1652"/>
      <c r="AF436" s="108"/>
      <c r="AG436" s="108"/>
      <c r="AH436" s="108"/>
      <c r="AI436" s="108"/>
      <c r="AJ436" s="108"/>
      <c r="AK436" s="108"/>
      <c r="AL436" s="802"/>
      <c r="AM436"/>
      <c r="AN436" s="281"/>
    </row>
    <row r="437" spans="1:49" s="4" customFormat="1" ht="12.75" customHeight="1">
      <c r="A437" s="5"/>
      <c r="B437" s="73"/>
      <c r="C437" s="738"/>
      <c r="D437" s="1"/>
      <c r="E437" s="225"/>
      <c r="F437" s="1652"/>
      <c r="G437" s="1652"/>
      <c r="H437" s="1652"/>
      <c r="I437" s="1652"/>
      <c r="J437" s="1652"/>
      <c r="K437" s="1652"/>
      <c r="L437" s="1652"/>
      <c r="M437" s="1652"/>
      <c r="N437" s="1652"/>
      <c r="O437" s="1652"/>
      <c r="P437" s="1652"/>
      <c r="Q437" s="1652"/>
      <c r="R437" s="1652"/>
      <c r="S437" s="1652"/>
      <c r="T437" s="1652"/>
      <c r="U437" s="1652"/>
      <c r="V437" s="1652"/>
      <c r="W437" s="1652"/>
      <c r="X437" s="1652"/>
      <c r="Y437" s="1652"/>
      <c r="Z437" s="1652"/>
      <c r="AA437" s="1652"/>
      <c r="AB437" s="1652"/>
      <c r="AC437" s="1652"/>
      <c r="AD437" s="1652"/>
      <c r="AE437" s="1652"/>
      <c r="AF437" s="108"/>
      <c r="AG437" s="108"/>
      <c r="AH437" s="108"/>
      <c r="AI437" s="108"/>
      <c r="AJ437" s="108"/>
      <c r="AK437" s="108"/>
      <c r="AL437" s="802"/>
      <c r="AM437"/>
      <c r="AN437" s="281"/>
    </row>
    <row r="438" spans="1:49" s="4" customFormat="1" ht="12.75" customHeight="1">
      <c r="A438" s="5"/>
      <c r="B438" s="73"/>
      <c r="C438" s="738"/>
      <c r="D438" s="1"/>
      <c r="E438" s="225"/>
      <c r="F438" s="1652"/>
      <c r="G438" s="1652"/>
      <c r="H438" s="1652"/>
      <c r="I438" s="1652"/>
      <c r="J438" s="1652"/>
      <c r="K438" s="1652"/>
      <c r="L438" s="1652"/>
      <c r="M438" s="1652"/>
      <c r="N438" s="1652"/>
      <c r="O438" s="1652"/>
      <c r="P438" s="1652"/>
      <c r="Q438" s="1652"/>
      <c r="R438" s="1652"/>
      <c r="S438" s="1652"/>
      <c r="T438" s="1652"/>
      <c r="U438" s="1652"/>
      <c r="V438" s="1652"/>
      <c r="W438" s="1652"/>
      <c r="X438" s="1652"/>
      <c r="Y438" s="1652"/>
      <c r="Z438" s="1652"/>
      <c r="AA438" s="1652"/>
      <c r="AB438" s="1652"/>
      <c r="AC438" s="1652"/>
      <c r="AD438" s="1652"/>
      <c r="AE438" s="1652"/>
      <c r="AF438" s="108"/>
      <c r="AG438" s="108"/>
      <c r="AH438" s="108"/>
      <c r="AI438" s="108"/>
      <c r="AJ438" s="108"/>
      <c r="AK438" s="108"/>
      <c r="AL438" s="802"/>
      <c r="AM438"/>
      <c r="AN438" s="281"/>
    </row>
    <row r="439" spans="1:49" s="4" customFormat="1" ht="12.75" customHeight="1">
      <c r="A439" s="5"/>
      <c r="B439" s="73"/>
      <c r="C439" s="738"/>
      <c r="D439" s="1"/>
      <c r="E439" s="225"/>
      <c r="F439" s="1652"/>
      <c r="G439" s="1652"/>
      <c r="H439" s="1652"/>
      <c r="I439" s="1652"/>
      <c r="J439" s="1652"/>
      <c r="K439" s="1652"/>
      <c r="L439" s="1652"/>
      <c r="M439" s="1652"/>
      <c r="N439" s="1652"/>
      <c r="O439" s="1652"/>
      <c r="P439" s="1652"/>
      <c r="Q439" s="1652"/>
      <c r="R439" s="1652"/>
      <c r="S439" s="1652"/>
      <c r="T439" s="1652"/>
      <c r="U439" s="1652"/>
      <c r="V439" s="1652"/>
      <c r="W439" s="1652"/>
      <c r="X439" s="1652"/>
      <c r="Y439" s="1652"/>
      <c r="Z439" s="1652"/>
      <c r="AA439" s="1652"/>
      <c r="AB439" s="1652"/>
      <c r="AC439" s="1652"/>
      <c r="AD439" s="1652"/>
      <c r="AE439" s="1652"/>
      <c r="AF439" s="108"/>
      <c r="AG439" s="108"/>
      <c r="AH439" s="108"/>
      <c r="AI439" s="108"/>
      <c r="AJ439" s="108"/>
      <c r="AK439" s="108"/>
      <c r="AL439" s="802"/>
      <c r="AM439"/>
      <c r="AN439" s="281"/>
    </row>
    <row r="440" spans="1:49" s="4" customFormat="1" ht="17.25" customHeight="1">
      <c r="A440" s="5"/>
      <c r="B440" s="73"/>
      <c r="C440" s="738"/>
      <c r="D440" s="1"/>
      <c r="E440" s="225"/>
      <c r="F440" s="1652"/>
      <c r="G440" s="1652"/>
      <c r="H440" s="1652"/>
      <c r="I440" s="1652"/>
      <c r="J440" s="1652"/>
      <c r="K440" s="1652"/>
      <c r="L440" s="1652"/>
      <c r="M440" s="1652"/>
      <c r="N440" s="1652"/>
      <c r="O440" s="1652"/>
      <c r="P440" s="1652"/>
      <c r="Q440" s="1652"/>
      <c r="R440" s="1652"/>
      <c r="S440" s="1652"/>
      <c r="T440" s="1652"/>
      <c r="U440" s="1652"/>
      <c r="V440" s="1652"/>
      <c r="W440" s="1652"/>
      <c r="X440" s="1652"/>
      <c r="Y440" s="1652"/>
      <c r="Z440" s="1652"/>
      <c r="AA440" s="1652"/>
      <c r="AB440" s="1652"/>
      <c r="AC440" s="1652"/>
      <c r="AD440" s="1652"/>
      <c r="AE440" s="1652"/>
      <c r="AL440" s="720"/>
      <c r="AM440"/>
      <c r="AN440" s="281"/>
    </row>
    <row r="441" spans="1:49" s="4" customFormat="1" ht="12.75" customHeight="1">
      <c r="A441" s="5"/>
      <c r="B441" s="21"/>
      <c r="C441" s="1678" t="s">
        <v>132</v>
      </c>
      <c r="D441" s="1232"/>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4" t="s">
        <v>340</v>
      </c>
      <c r="AG441" s="1714"/>
      <c r="AH441" s="1714"/>
      <c r="AI441" s="1714"/>
      <c r="AJ441" s="1714"/>
      <c r="AK441" s="1714"/>
      <c r="AL441" s="1721"/>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2" t="s">
        <v>1874</v>
      </c>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712"/>
      <c r="AG444" s="712"/>
      <c r="AH444" s="712"/>
      <c r="AI444" s="712"/>
      <c r="AJ444" s="712"/>
      <c r="AK444" s="712"/>
      <c r="AL444" s="736"/>
      <c r="AM444"/>
      <c r="AN444" s="281"/>
    </row>
    <row r="445" spans="1:49" s="4" customFormat="1" ht="12.75" customHeight="1">
      <c r="A445" s="5"/>
      <c r="B445" s="73"/>
      <c r="C445" s="738"/>
      <c r="D445" s="1"/>
      <c r="E445" s="225"/>
      <c r="F445" s="1652"/>
      <c r="G445" s="1652"/>
      <c r="H445" s="1652"/>
      <c r="I445" s="1652"/>
      <c r="J445" s="1652"/>
      <c r="K445" s="1652"/>
      <c r="L445" s="1652"/>
      <c r="M445" s="1652"/>
      <c r="N445" s="1652"/>
      <c r="O445" s="1652"/>
      <c r="P445" s="1652"/>
      <c r="Q445" s="1652"/>
      <c r="R445" s="1652"/>
      <c r="S445" s="1652"/>
      <c r="T445" s="1652"/>
      <c r="U445" s="1652"/>
      <c r="V445" s="1652"/>
      <c r="W445" s="1652"/>
      <c r="X445" s="1652"/>
      <c r="Y445" s="1652"/>
      <c r="Z445" s="1652"/>
      <c r="AA445" s="1652"/>
      <c r="AB445" s="1652"/>
      <c r="AC445" s="1652"/>
      <c r="AD445" s="1652"/>
      <c r="AE445" s="1652"/>
      <c r="AF445" s="18"/>
      <c r="AG445" s="18"/>
      <c r="AH445" s="18"/>
      <c r="AI445" s="18"/>
      <c r="AJ445" s="18"/>
      <c r="AK445" s="18"/>
      <c r="AL445" s="799"/>
      <c r="AM445"/>
      <c r="AN445" s="281"/>
    </row>
    <row r="446" spans="1:49" s="4" customFormat="1" ht="12.75" customHeight="1">
      <c r="A446" s="5"/>
      <c r="B446" s="73"/>
      <c r="C446" s="738"/>
      <c r="D446" s="1"/>
      <c r="E446" s="225"/>
      <c r="F446" s="1652"/>
      <c r="G446" s="1652"/>
      <c r="H446" s="1652"/>
      <c r="I446" s="1652"/>
      <c r="J446" s="1652"/>
      <c r="K446" s="1652"/>
      <c r="L446" s="1652"/>
      <c r="M446" s="1652"/>
      <c r="N446" s="1652"/>
      <c r="O446" s="1652"/>
      <c r="P446" s="1652"/>
      <c r="Q446" s="1652"/>
      <c r="R446" s="1652"/>
      <c r="S446" s="1652"/>
      <c r="T446" s="1652"/>
      <c r="U446" s="1652"/>
      <c r="V446" s="1652"/>
      <c r="W446" s="1652"/>
      <c r="X446" s="1652"/>
      <c r="Y446" s="1652"/>
      <c r="Z446" s="1652"/>
      <c r="AA446" s="1652"/>
      <c r="AB446" s="1652"/>
      <c r="AC446" s="1652"/>
      <c r="AD446" s="1652"/>
      <c r="AE446" s="1652"/>
      <c r="AF446" s="18"/>
      <c r="AG446" s="18"/>
      <c r="AH446" s="18"/>
      <c r="AI446" s="18"/>
      <c r="AJ446" s="18"/>
      <c r="AK446" s="18"/>
      <c r="AL446" s="799"/>
      <c r="AM446"/>
      <c r="AN446" s="281"/>
    </row>
    <row r="447" spans="1:49" s="4" customFormat="1" ht="12.75" customHeight="1">
      <c r="A447" s="5"/>
      <c r="B447" s="73"/>
      <c r="C447" s="738"/>
      <c r="D447" s="1"/>
      <c r="E447" s="225"/>
      <c r="F447" s="1652"/>
      <c r="G447" s="1652"/>
      <c r="H447" s="1652"/>
      <c r="I447" s="1652"/>
      <c r="J447" s="1652"/>
      <c r="K447" s="1652"/>
      <c r="L447" s="1652"/>
      <c r="M447" s="1652"/>
      <c r="N447" s="1652"/>
      <c r="O447" s="1652"/>
      <c r="P447" s="1652"/>
      <c r="Q447" s="1652"/>
      <c r="R447" s="1652"/>
      <c r="S447" s="1652"/>
      <c r="T447" s="1652"/>
      <c r="U447" s="1652"/>
      <c r="V447" s="1652"/>
      <c r="W447" s="1652"/>
      <c r="X447" s="1652"/>
      <c r="Y447" s="1652"/>
      <c r="Z447" s="1652"/>
      <c r="AA447" s="1652"/>
      <c r="AB447" s="1652"/>
      <c r="AC447" s="1652"/>
      <c r="AD447" s="1652"/>
      <c r="AE447" s="1652"/>
      <c r="AL447" s="720"/>
      <c r="AM447"/>
      <c r="AN447" s="281"/>
    </row>
    <row r="448" spans="1:49" s="4" customFormat="1" ht="12.75" customHeight="1">
      <c r="A448" s="5"/>
      <c r="B448" s="73"/>
      <c r="C448" s="1678" t="s">
        <v>132</v>
      </c>
      <c r="D448" s="1232"/>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4" t="s">
        <v>340</v>
      </c>
      <c r="AG448" s="1714"/>
      <c r="AH448" s="1714"/>
      <c r="AI448" s="1714"/>
      <c r="AJ448" s="1714"/>
      <c r="AK448" s="1714"/>
      <c r="AL448" s="1721"/>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71" t="s">
        <v>132</v>
      </c>
      <c r="D452" s="1872"/>
      <c r="E452" s="713" t="s">
        <v>1011</v>
      </c>
      <c r="F452" s="1692" t="s">
        <v>1013</v>
      </c>
      <c r="G452" s="1692"/>
      <c r="H452" s="1692"/>
      <c r="I452" s="1692"/>
      <c r="J452" s="1692"/>
      <c r="K452" s="1692"/>
      <c r="L452" s="1692"/>
      <c r="M452" s="1692"/>
      <c r="N452" s="1692"/>
      <c r="O452" s="1692"/>
      <c r="P452" s="1692"/>
      <c r="Q452" s="1692"/>
      <c r="R452" s="1692"/>
      <c r="S452" s="1692"/>
      <c r="T452" s="1692"/>
      <c r="U452" s="1692"/>
      <c r="V452" s="1692"/>
      <c r="W452" s="1692"/>
      <c r="X452" s="1692"/>
      <c r="Y452" s="1692"/>
      <c r="Z452" s="1692"/>
      <c r="AA452" s="1692"/>
      <c r="AB452" s="1692"/>
      <c r="AC452" s="1692"/>
      <c r="AD452" s="1692"/>
      <c r="AE452" s="1692"/>
      <c r="AF452" s="1875" t="s">
        <v>340</v>
      </c>
      <c r="AG452" s="1875"/>
      <c r="AH452" s="1875"/>
      <c r="AI452" s="1875"/>
      <c r="AJ452" s="1875"/>
      <c r="AK452" s="1875"/>
      <c r="AL452" s="1876"/>
      <c r="AM452"/>
      <c r="AN452" s="689"/>
      <c r="AQ452" s="166"/>
    </row>
    <row r="453" spans="1:54" s="4" customFormat="1" ht="12.75" customHeight="1">
      <c r="A453" s="5"/>
      <c r="B453" s="73"/>
      <c r="C453" s="738"/>
      <c r="D453" s="1"/>
      <c r="E453" s="225"/>
      <c r="F453" s="1652"/>
      <c r="G453" s="1652"/>
      <c r="H453" s="1652"/>
      <c r="I453" s="1652"/>
      <c r="J453" s="1652"/>
      <c r="K453" s="1652"/>
      <c r="L453" s="1652"/>
      <c r="M453" s="1652"/>
      <c r="N453" s="1652"/>
      <c r="O453" s="1652"/>
      <c r="P453" s="1652"/>
      <c r="Q453" s="1652"/>
      <c r="R453" s="1652"/>
      <c r="S453" s="1652"/>
      <c r="T453" s="1652"/>
      <c r="U453" s="1652"/>
      <c r="V453" s="1652"/>
      <c r="W453" s="1652"/>
      <c r="X453" s="1652"/>
      <c r="Y453" s="1652"/>
      <c r="Z453" s="1652"/>
      <c r="AA453" s="1652"/>
      <c r="AB453" s="1652"/>
      <c r="AC453" s="1652"/>
      <c r="AD453" s="1652"/>
      <c r="AE453" s="1652"/>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7"/>
      <c r="G454" s="1687"/>
      <c r="H454" s="1687"/>
      <c r="I454" s="1687"/>
      <c r="J454" s="1687"/>
      <c r="K454" s="1687"/>
      <c r="L454" s="1687"/>
      <c r="M454" s="1687"/>
      <c r="N454" s="1687"/>
      <c r="O454" s="1687"/>
      <c r="P454" s="1687"/>
      <c r="Q454" s="1687"/>
      <c r="R454" s="1687"/>
      <c r="S454" s="1687"/>
      <c r="T454" s="1687"/>
      <c r="U454" s="1687"/>
      <c r="V454" s="1687"/>
      <c r="W454" s="1687"/>
      <c r="X454" s="1687"/>
      <c r="Y454" s="1687"/>
      <c r="Z454" s="1687"/>
      <c r="AA454" s="1687"/>
      <c r="AB454" s="1687"/>
      <c r="AC454" s="1687"/>
      <c r="AD454" s="1687"/>
      <c r="AE454" s="1687"/>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71" t="s">
        <v>132</v>
      </c>
      <c r="D456" s="1872"/>
      <c r="E456" s="713" t="s">
        <v>1012</v>
      </c>
      <c r="F456" s="1692" t="s">
        <v>1911</v>
      </c>
      <c r="G456" s="1692"/>
      <c r="H456" s="1692"/>
      <c r="I456" s="1692"/>
      <c r="J456" s="1692"/>
      <c r="K456" s="1692"/>
      <c r="L456" s="1692"/>
      <c r="M456" s="1692"/>
      <c r="N456" s="1692"/>
      <c r="O456" s="1692"/>
      <c r="P456" s="1692"/>
      <c r="Q456" s="1692"/>
      <c r="R456" s="1692"/>
      <c r="S456" s="1692"/>
      <c r="T456" s="1692"/>
      <c r="U456" s="1692"/>
      <c r="V456" s="1692"/>
      <c r="W456" s="1692"/>
      <c r="X456" s="1692"/>
      <c r="Y456" s="1692"/>
      <c r="Z456" s="1692"/>
      <c r="AA456" s="1692"/>
      <c r="AB456" s="1692"/>
      <c r="AC456" s="1692"/>
      <c r="AD456" s="1692"/>
      <c r="AE456" s="1692"/>
      <c r="AF456" s="1875" t="s">
        <v>340</v>
      </c>
      <c r="AG456" s="1875"/>
      <c r="AH456" s="1875"/>
      <c r="AI456" s="1875"/>
      <c r="AJ456" s="1875"/>
      <c r="AK456" s="1875"/>
      <c r="AL456" s="1876"/>
      <c r="AM456"/>
      <c r="AN456" s="685"/>
      <c r="AO456" s="4" t="s">
        <v>1388</v>
      </c>
      <c r="AP456" s="4">
        <v>5</v>
      </c>
      <c r="AQ456" s="5"/>
    </row>
    <row r="457" spans="1:54" s="4" customFormat="1" ht="12.75" customHeight="1">
      <c r="A457" s="5"/>
      <c r="B457" s="21"/>
      <c r="C457" s="719"/>
      <c r="D457" s="21"/>
      <c r="E457" s="194"/>
      <c r="F457" s="1652"/>
      <c r="G457" s="1652"/>
      <c r="H457" s="1652"/>
      <c r="I457" s="1652"/>
      <c r="J457" s="1652"/>
      <c r="K457" s="1652"/>
      <c r="L457" s="1652"/>
      <c r="M457" s="1652"/>
      <c r="N457" s="1652"/>
      <c r="O457" s="1652"/>
      <c r="P457" s="1652"/>
      <c r="Q457" s="1652"/>
      <c r="R457" s="1652"/>
      <c r="S457" s="1652"/>
      <c r="T457" s="1652"/>
      <c r="U457" s="1652"/>
      <c r="V457" s="1652"/>
      <c r="W457" s="1652"/>
      <c r="X457" s="1652"/>
      <c r="Y457" s="1652"/>
      <c r="Z457" s="1652"/>
      <c r="AA457" s="1652"/>
      <c r="AB457" s="1652"/>
      <c r="AC457" s="1652"/>
      <c r="AD457" s="1652"/>
      <c r="AE457" s="1652"/>
      <c r="AF457" s="3"/>
      <c r="AG457" s="5"/>
      <c r="AL457" s="720"/>
      <c r="AM457"/>
      <c r="AN457" s="685"/>
      <c r="AO457" s="4" t="s">
        <v>1384</v>
      </c>
      <c r="AP457" s="4">
        <v>5</v>
      </c>
    </row>
    <row r="458" spans="1:54" s="4" customFormat="1" ht="12.75" customHeight="1">
      <c r="A458" s="5"/>
      <c r="B458" s="21"/>
      <c r="C458" s="719"/>
      <c r="D458" s="21"/>
      <c r="E458" s="194"/>
      <c r="F458" s="1652"/>
      <c r="G458" s="1652"/>
      <c r="H458" s="1652"/>
      <c r="I458" s="1652"/>
      <c r="J458" s="1652"/>
      <c r="K458" s="1652"/>
      <c r="L458" s="1652"/>
      <c r="M458" s="1652"/>
      <c r="N458" s="1652"/>
      <c r="O458" s="1652"/>
      <c r="P458" s="1652"/>
      <c r="Q458" s="1652"/>
      <c r="R458" s="1652"/>
      <c r="S458" s="1652"/>
      <c r="T458" s="1652"/>
      <c r="U458" s="1652"/>
      <c r="V458" s="1652"/>
      <c r="W458" s="1652"/>
      <c r="X458" s="1652"/>
      <c r="Y458" s="1652"/>
      <c r="Z458" s="1652"/>
      <c r="AA458" s="1652"/>
      <c r="AB458" s="1652"/>
      <c r="AC458" s="1652"/>
      <c r="AD458" s="1652"/>
      <c r="AE458" s="1652"/>
      <c r="AF458" s="3"/>
      <c r="AG458" s="5"/>
      <c r="AL458" s="720"/>
      <c r="AM458"/>
      <c r="AN458" s="685"/>
      <c r="AO458" s="4" t="s">
        <v>1385</v>
      </c>
      <c r="AP458" s="4">
        <v>5</v>
      </c>
    </row>
    <row r="459" spans="1:54" s="4" customFormat="1" ht="4.5" customHeight="1">
      <c r="A459" s="5"/>
      <c r="B459" s="73"/>
      <c r="C459" s="715"/>
      <c r="D459" s="716"/>
      <c r="E459" s="717"/>
      <c r="F459" s="1687"/>
      <c r="G459" s="1687"/>
      <c r="H459" s="1687"/>
      <c r="I459" s="1687"/>
      <c r="J459" s="1687"/>
      <c r="K459" s="1687"/>
      <c r="L459" s="1687"/>
      <c r="M459" s="1687"/>
      <c r="N459" s="1687"/>
      <c r="O459" s="1687"/>
      <c r="P459" s="1687"/>
      <c r="Q459" s="1687"/>
      <c r="R459" s="1687"/>
      <c r="S459" s="1687"/>
      <c r="T459" s="1687"/>
      <c r="U459" s="1687"/>
      <c r="V459" s="1687"/>
      <c r="W459" s="1687"/>
      <c r="X459" s="1687"/>
      <c r="Y459" s="1687"/>
      <c r="Z459" s="1687"/>
      <c r="AA459" s="1687"/>
      <c r="AB459" s="1687"/>
      <c r="AC459" s="1687"/>
      <c r="AD459" s="1687"/>
      <c r="AE459" s="1687"/>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2" t="s">
        <v>1912</v>
      </c>
      <c r="G461" s="1692"/>
      <c r="H461" s="1692"/>
      <c r="I461" s="1692"/>
      <c r="J461" s="1692"/>
      <c r="K461" s="1692"/>
      <c r="L461" s="1692"/>
      <c r="M461" s="1692"/>
      <c r="N461" s="1692"/>
      <c r="O461" s="1692"/>
      <c r="P461" s="1692"/>
      <c r="Q461" s="1692"/>
      <c r="R461" s="1692"/>
      <c r="S461" s="1692"/>
      <c r="T461" s="1692"/>
      <c r="U461" s="1692"/>
      <c r="V461" s="1692"/>
      <c r="W461" s="1692"/>
      <c r="X461" s="1692"/>
      <c r="Y461" s="1692"/>
      <c r="Z461" s="1692"/>
      <c r="AA461" s="1692"/>
      <c r="AB461" s="1692"/>
      <c r="AC461" s="1692"/>
      <c r="AD461" s="1692"/>
      <c r="AE461" s="1692"/>
      <c r="AF461" s="1692"/>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52"/>
      <c r="G462" s="1652"/>
      <c r="H462" s="1652"/>
      <c r="I462" s="1652"/>
      <c r="J462" s="1652"/>
      <c r="K462" s="1652"/>
      <c r="L462" s="1652"/>
      <c r="M462" s="1652"/>
      <c r="N462" s="1652"/>
      <c r="O462" s="1652"/>
      <c r="P462" s="1652"/>
      <c r="Q462" s="1652"/>
      <c r="R462" s="1652"/>
      <c r="S462" s="1652"/>
      <c r="T462" s="1652"/>
      <c r="U462" s="1652"/>
      <c r="V462" s="1652"/>
      <c r="W462" s="1652"/>
      <c r="X462" s="1652"/>
      <c r="Y462" s="1652"/>
      <c r="Z462" s="1652"/>
      <c r="AA462" s="1652"/>
      <c r="AB462" s="1652"/>
      <c r="AC462" s="1652"/>
      <c r="AD462" s="1652"/>
      <c r="AE462" s="1652"/>
      <c r="AF462" s="1652"/>
      <c r="AL462" s="720"/>
      <c r="AM462"/>
      <c r="AN462" s="281"/>
      <c r="AS462" s="346"/>
      <c r="AW462" s="346" t="s">
        <v>1019</v>
      </c>
      <c r="BA462" s="346" t="s">
        <v>1020</v>
      </c>
    </row>
    <row r="463" spans="1:54" s="4" customFormat="1" ht="12.75" customHeight="1">
      <c r="A463" s="5"/>
      <c r="B463" s="21"/>
      <c r="C463" s="722"/>
      <c r="F463" s="1652"/>
      <c r="G463" s="1652"/>
      <c r="H463" s="1652"/>
      <c r="I463" s="1652"/>
      <c r="J463" s="1652"/>
      <c r="K463" s="1652"/>
      <c r="L463" s="1652"/>
      <c r="M463" s="1652"/>
      <c r="N463" s="1652"/>
      <c r="O463" s="1652"/>
      <c r="P463" s="1652"/>
      <c r="Q463" s="1652"/>
      <c r="R463" s="1652"/>
      <c r="S463" s="1652"/>
      <c r="T463" s="1652"/>
      <c r="U463" s="1652"/>
      <c r="V463" s="1652"/>
      <c r="W463" s="1652"/>
      <c r="X463" s="1652"/>
      <c r="Y463" s="1652"/>
      <c r="Z463" s="1652"/>
      <c r="AA463" s="1652"/>
      <c r="AB463" s="1652"/>
      <c r="AC463" s="1652"/>
      <c r="AD463" s="1652"/>
      <c r="AE463" s="1652"/>
      <c r="AF463" s="1652"/>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52"/>
      <c r="G464" s="1652"/>
      <c r="H464" s="1652"/>
      <c r="I464" s="1652"/>
      <c r="J464" s="1652"/>
      <c r="K464" s="1652"/>
      <c r="L464" s="1652"/>
      <c r="M464" s="1652"/>
      <c r="N464" s="1652"/>
      <c r="O464" s="1652"/>
      <c r="P464" s="1652"/>
      <c r="Q464" s="1652"/>
      <c r="R464" s="1652"/>
      <c r="S464" s="1652"/>
      <c r="T464" s="1652"/>
      <c r="U464" s="1652"/>
      <c r="V464" s="1652"/>
      <c r="W464" s="1652"/>
      <c r="X464" s="1652"/>
      <c r="Y464" s="1652"/>
      <c r="Z464" s="1652"/>
      <c r="AA464" s="1652"/>
      <c r="AB464" s="1652"/>
      <c r="AC464" s="1652"/>
      <c r="AD464" s="1652"/>
      <c r="AE464" s="1652"/>
      <c r="AF464" s="1652"/>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8" t="s">
        <v>132</v>
      </c>
      <c r="D465" s="1232"/>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7" t="s">
        <v>340</v>
      </c>
      <c r="AG465" s="1647"/>
      <c r="AH465" s="1647"/>
      <c r="AI465" s="1647"/>
      <c r="AJ465" s="1647"/>
      <c r="AK465" s="1647"/>
      <c r="AL465" s="1677"/>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6">
        <f>IF(AS354=0,AS352,AS354)</f>
        <v>15</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7" t="s">
        <v>1310</v>
      </c>
      <c r="AF474" s="1647"/>
      <c r="AG474" s="1647"/>
      <c r="AH474" s="1647"/>
      <c r="AI474" s="1647"/>
      <c r="AJ474" s="1647"/>
      <c r="AK474" s="1647"/>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81" t="s">
        <v>132</v>
      </c>
      <c r="D480" s="1682"/>
      <c r="E480" s="764" t="s">
        <v>206</v>
      </c>
      <c r="F480" s="1873" t="s">
        <v>1016</v>
      </c>
      <c r="G480" s="1873"/>
      <c r="H480" s="1873"/>
      <c r="I480" s="1873"/>
      <c r="J480" s="1873"/>
      <c r="K480" s="1873"/>
      <c r="L480" s="1873"/>
      <c r="M480" s="1873"/>
      <c r="N480" s="1873"/>
      <c r="O480" s="1873"/>
      <c r="P480" s="1873"/>
      <c r="Q480" s="1873"/>
      <c r="R480" s="1873"/>
      <c r="S480" s="1873"/>
      <c r="T480" s="1873"/>
      <c r="U480" s="1873"/>
      <c r="V480" s="1873"/>
      <c r="W480" s="1873"/>
      <c r="X480" s="1873"/>
      <c r="Y480" s="1873"/>
      <c r="Z480" s="1873"/>
      <c r="AA480" s="1873"/>
      <c r="AB480" s="1873"/>
      <c r="AC480" s="1873"/>
      <c r="AD480" s="1873"/>
      <c r="AE480" s="1873"/>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74"/>
      <c r="G481" s="1874"/>
      <c r="H481" s="1874"/>
      <c r="I481" s="1874"/>
      <c r="J481" s="1874"/>
      <c r="K481" s="1874"/>
      <c r="L481" s="1874"/>
      <c r="M481" s="1874"/>
      <c r="N481" s="1874"/>
      <c r="O481" s="1874"/>
      <c r="P481" s="1874"/>
      <c r="Q481" s="1874"/>
      <c r="R481" s="1874"/>
      <c r="S481" s="1874"/>
      <c r="T481" s="1874"/>
      <c r="U481" s="1874"/>
      <c r="V481" s="1874"/>
      <c r="W481" s="1874"/>
      <c r="X481" s="1874"/>
      <c r="Y481" s="1874"/>
      <c r="Z481" s="1874"/>
      <c r="AA481" s="1874"/>
      <c r="AB481" s="1874"/>
      <c r="AC481" s="1874"/>
      <c r="AD481" s="1874"/>
      <c r="AE481" s="1874"/>
      <c r="AG481" s="19"/>
      <c r="AH481" s="19"/>
      <c r="AI481" s="19"/>
      <c r="AJ481" s="19"/>
      <c r="AK481" s="720"/>
      <c r="AN481" s="281"/>
      <c r="AO481" s="4" t="s">
        <v>1387</v>
      </c>
      <c r="AP481" s="4">
        <v>1</v>
      </c>
    </row>
    <row r="482" spans="1:49" s="4" customFormat="1" ht="12.75" hidden="1" customHeight="1">
      <c r="C482" s="742"/>
      <c r="D482" s="729"/>
      <c r="E482" s="743"/>
      <c r="F482" s="1814" t="s">
        <v>132</v>
      </c>
      <c r="G482" s="1814"/>
      <c r="H482" s="1814"/>
      <c r="I482" s="1814"/>
      <c r="J482" s="1814"/>
      <c r="K482" s="1814"/>
      <c r="L482" s="1814"/>
      <c r="M482" s="1814"/>
      <c r="N482" s="1814"/>
      <c r="O482" s="1814"/>
      <c r="P482" s="1814"/>
      <c r="Q482" s="1814"/>
      <c r="R482" s="1814"/>
      <c r="S482" s="1814"/>
      <c r="T482" s="1814"/>
      <c r="U482" s="1814"/>
      <c r="V482" s="1814"/>
      <c r="W482" s="1814"/>
      <c r="X482" s="1814"/>
      <c r="Y482" s="1814"/>
      <c r="Z482" s="1814"/>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71" t="s">
        <v>116</v>
      </c>
      <c r="D484" s="1872"/>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9" t="s">
        <v>132</v>
      </c>
      <c r="W487" s="1689"/>
      <c r="X487" s="1689"/>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9" t="s">
        <v>132</v>
      </c>
      <c r="W489" s="1689"/>
      <c r="X489" s="1689"/>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9" t="s">
        <v>132</v>
      </c>
      <c r="W494" s="1689"/>
      <c r="X494" s="1689"/>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9" t="s">
        <v>132</v>
      </c>
      <c r="W498" s="1689"/>
      <c r="X498" s="1689"/>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9" t="s">
        <v>132</v>
      </c>
      <c r="W500" s="1689"/>
      <c r="X500" s="1689"/>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700" t="s">
        <v>693</v>
      </c>
      <c r="AV501" s="1701"/>
      <c r="AW501" s="1701"/>
      <c r="AX501" s="1701"/>
      <c r="AY501" s="1701"/>
      <c r="AZ501" s="1701"/>
      <c r="BA501" s="1701"/>
      <c r="BB501" s="20"/>
      <c r="BC501" s="20"/>
      <c r="BE501" s="4"/>
      <c r="BF501" s="4"/>
      <c r="BG501" s="4"/>
      <c r="BH501" s="4"/>
      <c r="BI501" s="4"/>
      <c r="BJ501" s="1698" t="s">
        <v>34</v>
      </c>
      <c r="BK501" s="1699"/>
      <c r="BL501" s="1699"/>
      <c r="BM501" s="1699"/>
      <c r="BN501" s="1699"/>
      <c r="BO501" s="1699"/>
      <c r="BP501" s="16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700"/>
      <c r="AV502" s="1701"/>
      <c r="AW502" s="1701"/>
      <c r="AX502" s="1701"/>
      <c r="AY502" s="1701"/>
      <c r="AZ502" s="1701"/>
      <c r="BA502" s="1701"/>
      <c r="BB502" s="20"/>
      <c r="BC502" s="20"/>
      <c r="BE502" s="4"/>
      <c r="BF502" s="4"/>
      <c r="BG502" s="4"/>
      <c r="BH502" s="4"/>
      <c r="BI502" s="4"/>
      <c r="BJ502" s="1698"/>
      <c r="BK502" s="1699"/>
      <c r="BL502" s="1699"/>
      <c r="BM502" s="1699"/>
      <c r="BN502" s="1699"/>
      <c r="BO502" s="1699"/>
      <c r="BP502" s="1699"/>
      <c r="BQ502" s="20"/>
      <c r="BR502" s="4"/>
    </row>
    <row r="503" spans="1:147" customFormat="1" ht="12.75" hidden="1" customHeight="1">
      <c r="A503" s="120"/>
      <c r="B503" s="4"/>
      <c r="C503" s="1681" t="s">
        <v>132</v>
      </c>
      <c r="D503" s="1682"/>
      <c r="E503" s="757" t="s">
        <v>206</v>
      </c>
      <c r="F503" s="1873" t="s">
        <v>1016</v>
      </c>
      <c r="G503" s="1873"/>
      <c r="H503" s="1873"/>
      <c r="I503" s="1873"/>
      <c r="J503" s="1873"/>
      <c r="K503" s="1873"/>
      <c r="L503" s="1873"/>
      <c r="M503" s="1873"/>
      <c r="N503" s="1873"/>
      <c r="O503" s="1873"/>
      <c r="P503" s="1873"/>
      <c r="Q503" s="1873"/>
      <c r="R503" s="1873"/>
      <c r="S503" s="1873"/>
      <c r="T503" s="1873"/>
      <c r="U503" s="1873"/>
      <c r="V503" s="1873"/>
      <c r="W503" s="1873"/>
      <c r="X503" s="1873"/>
      <c r="Y503" s="1873"/>
      <c r="Z503" s="1873"/>
      <c r="AA503" s="1873"/>
      <c r="AB503" s="1873"/>
      <c r="AC503" s="1873"/>
      <c r="AD503" s="1873"/>
      <c r="AE503" s="1873"/>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4"/>
      <c r="G504" s="1874"/>
      <c r="H504" s="1874"/>
      <c r="I504" s="1874"/>
      <c r="J504" s="1874"/>
      <c r="K504" s="1874"/>
      <c r="L504" s="1874"/>
      <c r="M504" s="1874"/>
      <c r="N504" s="1874"/>
      <c r="O504" s="1874"/>
      <c r="P504" s="1874"/>
      <c r="Q504" s="1874"/>
      <c r="R504" s="1874"/>
      <c r="S504" s="1874"/>
      <c r="T504" s="1874"/>
      <c r="U504" s="1874"/>
      <c r="V504" s="1874"/>
      <c r="W504" s="1874"/>
      <c r="X504" s="1874"/>
      <c r="Y504" s="1874"/>
      <c r="Z504" s="1874"/>
      <c r="AA504" s="1874"/>
      <c r="AB504" s="1874"/>
      <c r="AC504" s="1874"/>
      <c r="AD504" s="1874"/>
      <c r="AE504" s="1874"/>
      <c r="AF504" s="4"/>
      <c r="AG504" s="19"/>
      <c r="AH504" s="19"/>
      <c r="AI504" s="19"/>
      <c r="AJ504" s="19"/>
      <c r="AK504" s="720"/>
      <c r="AL504" s="4"/>
      <c r="AM504" s="4"/>
      <c r="AN504" s="684"/>
      <c r="AO504" s="38"/>
      <c r="AP504" s="1553" t="s">
        <v>1568</v>
      </c>
      <c r="AQ504" s="1554"/>
      <c r="AR504" s="1555"/>
      <c r="AS504" s="639">
        <v>80</v>
      </c>
      <c r="AT504" s="4">
        <v>0</v>
      </c>
      <c r="AU504" s="160">
        <v>10</v>
      </c>
      <c r="AV504" s="160">
        <v>25</v>
      </c>
      <c r="AW504" s="160">
        <v>37.5</v>
      </c>
      <c r="AX504" s="160">
        <v>35</v>
      </c>
      <c r="AY504" s="160">
        <v>37.5</v>
      </c>
      <c r="AZ504" s="160">
        <v>50</v>
      </c>
      <c r="BA504" s="160">
        <v>50</v>
      </c>
      <c r="BB504" s="21"/>
      <c r="BC504" s="21"/>
      <c r="BE504" s="1553" t="s">
        <v>1568</v>
      </c>
      <c r="BF504" s="1554"/>
      <c r="BG504" s="1555"/>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82" t="s">
        <v>132</v>
      </c>
      <c r="G505" s="1882"/>
      <c r="H505" s="1882"/>
      <c r="I505" s="1882"/>
      <c r="J505" s="1882"/>
      <c r="K505" s="1882"/>
      <c r="L505" s="1882"/>
      <c r="M505" s="1882"/>
      <c r="N505" s="1882"/>
      <c r="O505" s="1882"/>
      <c r="P505" s="1882"/>
      <c r="Q505" s="1882"/>
      <c r="R505" s="1882"/>
      <c r="S505" s="1882"/>
      <c r="T505" s="1882"/>
      <c r="U505" s="1882"/>
      <c r="V505" s="1882"/>
      <c r="W505" s="1882"/>
      <c r="X505" s="1882"/>
      <c r="Y505" s="1882"/>
      <c r="Z505" s="1882"/>
      <c r="AA505" s="744"/>
      <c r="AB505" s="745"/>
      <c r="AC505" s="745"/>
      <c r="AD505" s="729"/>
      <c r="AE505" s="729"/>
      <c r="AF505" s="729"/>
      <c r="AG505" s="746">
        <f>IF($C$503="Yes",(VLOOKUP($F$505,$AO$473:$AP$481,2,FALSE)),0)</f>
        <v>0</v>
      </c>
      <c r="AH505" s="747" t="s">
        <v>1018</v>
      </c>
      <c r="AI505" s="746"/>
      <c r="AJ505" s="745"/>
      <c r="AK505" s="730"/>
      <c r="AL505" s="4"/>
      <c r="AM505" s="4"/>
      <c r="AN505" s="684"/>
      <c r="AO505" s="38"/>
      <c r="AP505" s="1556"/>
      <c r="AQ505" s="1557"/>
      <c r="AR505" s="1558"/>
      <c r="AS505" s="639">
        <v>75</v>
      </c>
      <c r="AT505" s="4">
        <v>0</v>
      </c>
      <c r="AU505" s="160">
        <v>10</v>
      </c>
      <c r="AV505" s="160">
        <v>25</v>
      </c>
      <c r="AW505" s="160">
        <v>37.5</v>
      </c>
      <c r="AX505" s="160">
        <v>35</v>
      </c>
      <c r="AY505" s="160">
        <v>37.5</v>
      </c>
      <c r="AZ505" s="160">
        <v>50</v>
      </c>
      <c r="BA505" s="160">
        <v>50</v>
      </c>
      <c r="BB505" s="21"/>
      <c r="BC505" s="21"/>
      <c r="BE505" s="1556"/>
      <c r="BF505" s="1557"/>
      <c r="BG505" s="1558"/>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6"/>
      <c r="AQ506" s="1557"/>
      <c r="AR506" s="1558"/>
      <c r="AS506" s="639">
        <v>70</v>
      </c>
      <c r="AT506" s="4">
        <v>0</v>
      </c>
      <c r="AU506" s="160">
        <v>10</v>
      </c>
      <c r="AV506" s="160">
        <v>25</v>
      </c>
      <c r="AW506" s="160">
        <v>37.5</v>
      </c>
      <c r="AX506" s="160">
        <v>35</v>
      </c>
      <c r="AY506" s="160">
        <v>37.5</v>
      </c>
      <c r="AZ506" s="160">
        <v>50</v>
      </c>
      <c r="BA506" s="160">
        <v>50</v>
      </c>
      <c r="BB506" s="21"/>
      <c r="BC506" s="21"/>
      <c r="BE506" s="1556"/>
      <c r="BF506" s="1557"/>
      <c r="BG506" s="1558"/>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81" t="s">
        <v>132</v>
      </c>
      <c r="D507" s="1682"/>
      <c r="E507" s="757" t="s">
        <v>321</v>
      </c>
      <c r="F507" s="1878" t="s">
        <v>1206</v>
      </c>
      <c r="G507" s="1878"/>
      <c r="H507" s="1878"/>
      <c r="I507" s="1878"/>
      <c r="J507" s="1878"/>
      <c r="K507" s="1878"/>
      <c r="L507" s="1878"/>
      <c r="M507" s="1878"/>
      <c r="N507" s="1878"/>
      <c r="O507" s="1878"/>
      <c r="P507" s="1878"/>
      <c r="Q507" s="1878"/>
      <c r="R507" s="1878"/>
      <c r="S507" s="1878"/>
      <c r="T507" s="1878"/>
      <c r="U507" s="1878"/>
      <c r="V507" s="1878"/>
      <c r="W507" s="1878"/>
      <c r="X507" s="1878"/>
      <c r="Y507" s="1878"/>
      <c r="Z507" s="1878"/>
      <c r="AA507" s="1878"/>
      <c r="AB507" s="1878"/>
      <c r="AC507" s="1878"/>
      <c r="AD507" s="1878"/>
      <c r="AE507" s="1878"/>
      <c r="AF507" s="712"/>
      <c r="AG507" s="749"/>
      <c r="AH507" s="749"/>
      <c r="AI507" s="749"/>
      <c r="AJ507" s="749"/>
      <c r="AK507" s="736"/>
      <c r="AL507" s="4"/>
      <c r="AM507" s="4"/>
      <c r="AN507" s="684"/>
      <c r="AO507" s="38"/>
      <c r="AP507" s="1556"/>
      <c r="AQ507" s="1557"/>
      <c r="AR507" s="1558"/>
      <c r="AS507" s="639">
        <v>65</v>
      </c>
      <c r="AT507" s="4">
        <v>0</v>
      </c>
      <c r="AU507" s="160">
        <v>10</v>
      </c>
      <c r="AV507" s="160">
        <v>25</v>
      </c>
      <c r="AW507" s="160">
        <v>37.5</v>
      </c>
      <c r="AX507" s="160">
        <v>35</v>
      </c>
      <c r="AY507" s="160">
        <v>37.5</v>
      </c>
      <c r="AZ507" s="160">
        <v>50</v>
      </c>
      <c r="BA507" s="160">
        <v>50</v>
      </c>
      <c r="BB507" s="21"/>
      <c r="BC507" s="21"/>
      <c r="BE507" s="1556"/>
      <c r="BF507" s="1557"/>
      <c r="BG507" s="1558"/>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9"/>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1879"/>
      <c r="AB508" s="1879"/>
      <c r="AC508" s="1879"/>
      <c r="AD508" s="1879"/>
      <c r="AE508" s="1879"/>
      <c r="AF508" s="4"/>
      <c r="AG508" s="19"/>
      <c r="AH508" s="19"/>
      <c r="AI508" s="19"/>
      <c r="AJ508" s="19"/>
      <c r="AK508" s="720"/>
      <c r="AL508" s="4"/>
      <c r="AM508" s="4"/>
      <c r="AN508" s="684"/>
      <c r="AO508" s="38"/>
      <c r="AP508" s="1556"/>
      <c r="AQ508" s="1557"/>
      <c r="AR508" s="1558"/>
      <c r="AS508" s="639">
        <v>60</v>
      </c>
      <c r="AT508" s="4">
        <v>0</v>
      </c>
      <c r="AU508" s="160">
        <v>10</v>
      </c>
      <c r="AV508" s="160">
        <v>25</v>
      </c>
      <c r="AW508" s="160">
        <v>37.5</v>
      </c>
      <c r="AX508" s="160">
        <v>35</v>
      </c>
      <c r="AY508" s="160">
        <v>37.5</v>
      </c>
      <c r="AZ508" s="160">
        <v>50</v>
      </c>
      <c r="BA508" s="160">
        <v>50</v>
      </c>
      <c r="BB508" s="21"/>
      <c r="BC508" s="21"/>
      <c r="BE508" s="1556"/>
      <c r="BF508" s="1557"/>
      <c r="BG508" s="1558"/>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6"/>
      <c r="AQ509" s="1557"/>
      <c r="AR509" s="1558"/>
      <c r="AS509" s="639">
        <v>55</v>
      </c>
      <c r="AT509" s="4">
        <v>0</v>
      </c>
      <c r="AU509" s="160">
        <v>10</v>
      </c>
      <c r="AV509" s="160">
        <v>25</v>
      </c>
      <c r="AW509" s="160">
        <v>37.5</v>
      </c>
      <c r="AX509" s="160">
        <v>35</v>
      </c>
      <c r="AY509" s="160">
        <v>37.5</v>
      </c>
      <c r="AZ509" s="160">
        <v>50</v>
      </c>
      <c r="BA509" s="160">
        <v>50</v>
      </c>
      <c r="BE509" s="1556"/>
      <c r="BF509" s="1557"/>
      <c r="BG509" s="1558"/>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3" t="s">
        <v>132</v>
      </c>
      <c r="G510" s="1883"/>
      <c r="H510" s="1883"/>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6"/>
      <c r="AQ510" s="1557"/>
      <c r="AR510" s="1558"/>
      <c r="AS510" s="159">
        <v>50</v>
      </c>
      <c r="AT510" s="4">
        <v>0</v>
      </c>
      <c r="AU510" s="160">
        <v>10</v>
      </c>
      <c r="AV510" s="160">
        <v>25</v>
      </c>
      <c r="AW510" s="160">
        <v>37.5</v>
      </c>
      <c r="AX510" s="160">
        <v>35</v>
      </c>
      <c r="AY510" s="160">
        <v>37.5</v>
      </c>
      <c r="AZ510" s="160">
        <v>50</v>
      </c>
      <c r="BA510" s="160">
        <v>50</v>
      </c>
      <c r="BE510" s="1556"/>
      <c r="BF510" s="1557"/>
      <c r="BG510" s="155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6"/>
      <c r="AQ511" s="1557"/>
      <c r="AR511" s="1558"/>
      <c r="AS511" s="159">
        <v>45</v>
      </c>
      <c r="AT511" s="4">
        <v>0</v>
      </c>
      <c r="AU511" s="160">
        <v>10</v>
      </c>
      <c r="AV511" s="160">
        <v>22.5</v>
      </c>
      <c r="AW511" s="160">
        <v>33.799999999999997</v>
      </c>
      <c r="AX511" s="160">
        <v>35</v>
      </c>
      <c r="AY511" s="160">
        <v>37.5</v>
      </c>
      <c r="AZ511" s="160">
        <v>50</v>
      </c>
      <c r="BA511" s="160">
        <v>50</v>
      </c>
      <c r="BE511" s="1556"/>
      <c r="BF511" s="1557"/>
      <c r="BG511" s="155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81" t="s">
        <v>132</v>
      </c>
      <c r="D512" s="1682"/>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6"/>
      <c r="AQ512" s="1557"/>
      <c r="AR512" s="1558"/>
      <c r="AS512" s="159">
        <v>40</v>
      </c>
      <c r="AT512" s="4">
        <v>0</v>
      </c>
      <c r="AU512" s="160">
        <v>10</v>
      </c>
      <c r="AV512" s="160">
        <v>20</v>
      </c>
      <c r="AW512" s="160">
        <v>30</v>
      </c>
      <c r="AX512" s="160">
        <v>35</v>
      </c>
      <c r="AY512" s="160">
        <v>37.5</v>
      </c>
      <c r="AZ512" s="160">
        <v>50</v>
      </c>
      <c r="BA512" s="160">
        <v>50</v>
      </c>
      <c r="BE512" s="1556"/>
      <c r="BF512" s="1557"/>
      <c r="BG512" s="155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6"/>
      <c r="AQ513" s="1557"/>
      <c r="AR513" s="1558"/>
      <c r="AS513" s="159">
        <v>35</v>
      </c>
      <c r="AT513" s="4">
        <v>0</v>
      </c>
      <c r="AU513" s="160">
        <v>8.8000000000000007</v>
      </c>
      <c r="AV513" s="160">
        <v>17.5</v>
      </c>
      <c r="AW513" s="160">
        <v>26.3</v>
      </c>
      <c r="AX513" s="160">
        <v>35</v>
      </c>
      <c r="AY513" s="160">
        <v>37.5</v>
      </c>
      <c r="AZ513" s="160">
        <v>50</v>
      </c>
      <c r="BA513" s="160">
        <v>50</v>
      </c>
      <c r="BE513" s="1556"/>
      <c r="BF513" s="1557"/>
      <c r="BG513" s="155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8"/>
      <c r="D514" s="104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6"/>
      <c r="AQ514" s="1557"/>
      <c r="AR514" s="1558"/>
      <c r="AS514" s="159">
        <v>30</v>
      </c>
      <c r="AT514" s="4">
        <v>0</v>
      </c>
      <c r="AU514" s="160">
        <v>7.5</v>
      </c>
      <c r="AV514" s="160">
        <v>15</v>
      </c>
      <c r="AW514" s="160">
        <v>22.5</v>
      </c>
      <c r="AX514" s="160">
        <v>30</v>
      </c>
      <c r="AY514" s="160">
        <v>37.5</v>
      </c>
      <c r="AZ514" s="160">
        <v>45</v>
      </c>
      <c r="BA514" s="160">
        <v>50</v>
      </c>
      <c r="BE514" s="1556"/>
      <c r="BF514" s="1557"/>
      <c r="BG514" s="155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4" t="s">
        <v>132</v>
      </c>
      <c r="H515" s="1684"/>
      <c r="I515" s="1684"/>
      <c r="J515" s="1684"/>
      <c r="K515" s="1684"/>
      <c r="L515" s="1684"/>
      <c r="M515" s="1684"/>
      <c r="N515" s="1684"/>
      <c r="O515" s="1684"/>
      <c r="P515" s="1684"/>
      <c r="Q515" s="1684"/>
      <c r="R515" s="1684"/>
      <c r="S515" s="1684"/>
      <c r="T515" s="1684"/>
      <c r="U515" s="1684"/>
      <c r="V515" s="1684"/>
      <c r="W515" s="1684"/>
      <c r="X515" s="1684"/>
      <c r="Y515" s="1684"/>
      <c r="Z515" s="1684"/>
      <c r="AA515" s="1684"/>
      <c r="AB515" s="1684"/>
      <c r="AC515" s="1684"/>
      <c r="AD515" s="1684"/>
      <c r="AE515" s="1684"/>
      <c r="AF515" s="1684"/>
      <c r="AG515" s="4"/>
      <c r="AH515" s="4"/>
      <c r="AI515" s="4"/>
      <c r="AJ515" s="19"/>
      <c r="AK515" s="720"/>
      <c r="AL515" s="4"/>
      <c r="AM515" s="4"/>
      <c r="AN515" s="684"/>
      <c r="AP515" s="1556"/>
      <c r="AQ515" s="1557"/>
      <c r="AR515" s="1558"/>
      <c r="AS515" s="159">
        <v>25</v>
      </c>
      <c r="AT515" s="4">
        <v>0</v>
      </c>
      <c r="AU515" s="160">
        <v>6.3</v>
      </c>
      <c r="AV515" s="160">
        <v>12.5</v>
      </c>
      <c r="AW515" s="160">
        <v>18.8</v>
      </c>
      <c r="AX515" s="160">
        <v>25</v>
      </c>
      <c r="AY515" s="160">
        <v>31.3</v>
      </c>
      <c r="AZ515" s="160">
        <v>37.5</v>
      </c>
      <c r="BA515" s="160">
        <v>50</v>
      </c>
      <c r="BE515" s="1556"/>
      <c r="BF515" s="1557"/>
      <c r="BG515" s="155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6"/>
      <c r="AQ516" s="1557"/>
      <c r="AR516" s="1558"/>
      <c r="AS516" s="159">
        <v>20</v>
      </c>
      <c r="AT516" s="4">
        <v>0</v>
      </c>
      <c r="AU516" s="160">
        <v>5</v>
      </c>
      <c r="AV516" s="160">
        <v>10</v>
      </c>
      <c r="AW516" s="160">
        <v>15</v>
      </c>
      <c r="AX516" s="160">
        <v>20</v>
      </c>
      <c r="AY516" s="160">
        <v>25</v>
      </c>
      <c r="AZ516" s="160">
        <v>30</v>
      </c>
      <c r="BA516" s="160">
        <v>40</v>
      </c>
      <c r="BE516" s="1556"/>
      <c r="BF516" s="1557"/>
      <c r="BG516" s="155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5" t="s">
        <v>132</v>
      </c>
      <c r="D517" s="1686"/>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6"/>
      <c r="AQ517" s="1557"/>
      <c r="AR517" s="1558"/>
      <c r="AS517" s="159">
        <v>15</v>
      </c>
      <c r="AT517" s="4">
        <v>0</v>
      </c>
      <c r="AU517" s="160">
        <v>3.8</v>
      </c>
      <c r="AV517" s="160">
        <v>7.5</v>
      </c>
      <c r="AW517" s="160">
        <v>11.3</v>
      </c>
      <c r="AX517" s="160">
        <v>15</v>
      </c>
      <c r="AY517" s="160">
        <v>18.8</v>
      </c>
      <c r="AZ517" s="160">
        <v>22.5</v>
      </c>
      <c r="BA517" s="160">
        <v>30</v>
      </c>
      <c r="BE517" s="1556"/>
      <c r="BF517" s="1557"/>
      <c r="BG517" s="155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9"/>
      <c r="AQ518" s="1560"/>
      <c r="AR518" s="1561"/>
      <c r="AS518" s="159">
        <v>10</v>
      </c>
      <c r="AT518" s="4">
        <v>0</v>
      </c>
      <c r="AU518" s="160">
        <v>2.5</v>
      </c>
      <c r="AV518" s="160">
        <v>5</v>
      </c>
      <c r="AW518" s="160">
        <v>7.5</v>
      </c>
      <c r="AX518" s="160">
        <v>10</v>
      </c>
      <c r="AY518" s="160">
        <v>12.5</v>
      </c>
      <c r="AZ518" s="160">
        <v>15</v>
      </c>
      <c r="BA518" s="160">
        <v>20</v>
      </c>
      <c r="BE518" s="1559"/>
      <c r="BF518" s="1560"/>
      <c r="BG518" s="156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5" t="s">
        <v>132</v>
      </c>
      <c r="D521" s="1686"/>
      <c r="F521" s="510" t="s">
        <v>915</v>
      </c>
      <c r="G521" s="1652" t="s">
        <v>1027</v>
      </c>
      <c r="H521" s="1652"/>
      <c r="I521" s="1652"/>
      <c r="J521" s="1652"/>
      <c r="K521" s="1652"/>
      <c r="L521" s="1652"/>
      <c r="M521" s="1652"/>
      <c r="N521" s="1652"/>
      <c r="O521" s="1652"/>
      <c r="P521" s="1652"/>
      <c r="Q521" s="1652"/>
      <c r="R521" s="1652"/>
      <c r="S521" s="1652"/>
      <c r="T521" s="1652"/>
      <c r="U521" s="1652"/>
      <c r="V521" s="1652"/>
      <c r="W521" s="1652"/>
      <c r="X521" s="1652"/>
      <c r="Y521" s="1652"/>
      <c r="Z521" s="1652"/>
      <c r="AA521" s="1652"/>
      <c r="AB521" s="1652"/>
      <c r="AC521" s="1652"/>
      <c r="AD521" s="1652"/>
      <c r="AE521" s="1652"/>
      <c r="AF521" s="1652"/>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7">
        <f>BJ525</f>
        <v>60</v>
      </c>
      <c r="BE521" s="1697"/>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7"/>
      <c r="H522" s="1687"/>
      <c r="I522" s="1687"/>
      <c r="J522" s="1687"/>
      <c r="K522" s="1687"/>
      <c r="L522" s="1687"/>
      <c r="M522" s="1687"/>
      <c r="N522" s="1687"/>
      <c r="O522" s="1687"/>
      <c r="P522" s="1687"/>
      <c r="Q522" s="1687"/>
      <c r="R522" s="1687"/>
      <c r="S522" s="1687"/>
      <c r="T522" s="1687"/>
      <c r="U522" s="1687"/>
      <c r="V522" s="1687"/>
      <c r="W522" s="1687"/>
      <c r="X522" s="1687"/>
      <c r="Y522" s="1687"/>
      <c r="Z522" s="1687"/>
      <c r="AA522" s="1687"/>
      <c r="AB522" s="1687"/>
      <c r="AC522" s="1687"/>
      <c r="AD522" s="1687"/>
      <c r="AE522" s="1687"/>
      <c r="AF522" s="1687"/>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7">
        <f>SUM(E578:J586)</f>
        <v>60</v>
      </c>
      <c r="BE522" s="1697"/>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5">
        <v>0</v>
      </c>
      <c r="BK523" s="1696"/>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5">
        <f>Application!AG431</f>
        <v>1</v>
      </c>
      <c r="BK524" s="1696"/>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8" t="s">
        <v>132</v>
      </c>
      <c r="D525" s="1232"/>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5">
        <f>Application!AG433</f>
        <v>60</v>
      </c>
      <c r="BK525" s="1696"/>
      <c r="BM525" s="1709"/>
      <c r="BN525" s="1710"/>
      <c r="BO525" s="1709"/>
      <c r="BP525" s="1710"/>
      <c r="BQ525" s="1706"/>
      <c r="BR525" s="1708"/>
      <c r="BS525" s="1706"/>
      <c r="BT525" s="1708"/>
      <c r="BU525" s="1709">
        <f>IF(T607&gt;0,1,0)</f>
        <v>1</v>
      </c>
      <c r="BV525" s="1710"/>
      <c r="BW525" s="1709">
        <f>IF(Y607&gt;=0.1,1,0)</f>
        <v>1</v>
      </c>
      <c r="BX525" s="1710"/>
      <c r="BY525" s="1706"/>
      <c r="BZ525" s="1708"/>
      <c r="CA525" s="1706"/>
      <c r="CB525" s="1708"/>
      <c r="CC525" s="1709"/>
      <c r="CD525" s="1710"/>
      <c r="CE525" s="1709"/>
      <c r="CF525" s="1710"/>
      <c r="CG525"/>
      <c r="CH525"/>
      <c r="CI525"/>
      <c r="CJ525"/>
    </row>
    <row r="526" spans="1:122" s="4" customFormat="1" ht="12.75" hidden="1" customHeight="1">
      <c r="C526" s="714"/>
      <c r="E526" s="143"/>
      <c r="F526" s="1353" t="s">
        <v>132</v>
      </c>
      <c r="G526" s="1353"/>
      <c r="H526" s="1353"/>
      <c r="I526" s="1353"/>
      <c r="J526" s="1353"/>
      <c r="K526" s="1353"/>
      <c r="L526" s="1353"/>
      <c r="M526" s="1353"/>
      <c r="N526" s="1353"/>
      <c r="O526" s="1353"/>
      <c r="P526" s="1353"/>
      <c r="Q526" s="1353"/>
      <c r="R526" s="1353"/>
      <c r="S526" s="1353"/>
      <c r="T526" s="1353"/>
      <c r="U526" s="1353"/>
      <c r="V526" s="1353"/>
      <c r="W526" s="1353"/>
      <c r="X526" s="1353"/>
      <c r="Y526" s="1353"/>
      <c r="Z526" s="1353"/>
      <c r="AA526" s="1353"/>
      <c r="AB526" s="1353"/>
      <c r="AC526" s="1353"/>
      <c r="AD526" s="1353"/>
      <c r="AE526" s="1353"/>
      <c r="AF526" s="1353"/>
      <c r="AG526" s="19"/>
      <c r="AH526" s="19"/>
      <c r="AI526" s="19"/>
      <c r="AJ526" s="19"/>
      <c r="AK526" s="720"/>
      <c r="AN526" s="281"/>
      <c r="BM526" s="1709"/>
      <c r="BN526" s="1710"/>
      <c r="BO526" s="1709"/>
      <c r="BP526" s="1710"/>
      <c r="BQ526" s="1706"/>
      <c r="BR526" s="1708"/>
      <c r="BS526" s="1706"/>
      <c r="BT526" s="1708"/>
      <c r="BU526" s="1709"/>
      <c r="BV526" s="1710"/>
      <c r="BW526" s="1709"/>
      <c r="BX526" s="1710"/>
      <c r="BY526" s="1706">
        <f>IF(T608&gt;0,1,0)</f>
        <v>0</v>
      </c>
      <c r="BZ526" s="1708"/>
      <c r="CA526" s="1706">
        <f>IF(Y608&gt;=0.1,1,0)</f>
        <v>0</v>
      </c>
      <c r="CB526" s="1708"/>
      <c r="CC526" s="1709"/>
      <c r="CD526" s="1710"/>
      <c r="CE526" s="1709"/>
      <c r="CF526" s="1710"/>
      <c r="CG526"/>
      <c r="CH526"/>
      <c r="CI526"/>
      <c r="CJ526"/>
      <c r="CW526"/>
    </row>
    <row r="527" spans="1:122" s="4" customFormat="1" ht="12.75" hidden="1" customHeight="1">
      <c r="C527" s="762"/>
      <c r="D527" s="729"/>
      <c r="E527" s="743"/>
      <c r="F527" s="1877"/>
      <c r="G527" s="1877"/>
      <c r="H527" s="1877"/>
      <c r="I527" s="1877"/>
      <c r="J527" s="1877"/>
      <c r="K527" s="1877"/>
      <c r="L527" s="1877"/>
      <c r="M527" s="1877"/>
      <c r="N527" s="1877"/>
      <c r="O527" s="1877"/>
      <c r="P527" s="1877"/>
      <c r="Q527" s="1877"/>
      <c r="R527" s="1877"/>
      <c r="S527" s="1877"/>
      <c r="T527" s="1877"/>
      <c r="U527" s="1877"/>
      <c r="V527" s="1877"/>
      <c r="W527" s="1877"/>
      <c r="X527" s="1877"/>
      <c r="Y527" s="1877"/>
      <c r="Z527" s="1877"/>
      <c r="AA527" s="1877"/>
      <c r="AB527" s="1877"/>
      <c r="AC527" s="1877"/>
      <c r="AD527" s="1877"/>
      <c r="AE527" s="1877"/>
      <c r="AF527" s="1877"/>
      <c r="AG527" s="745"/>
      <c r="AH527" s="745"/>
      <c r="AI527" s="745"/>
      <c r="AJ527" s="745"/>
      <c r="AK527" s="730"/>
      <c r="AN527" s="281"/>
      <c r="BM527" s="1709"/>
      <c r="BN527" s="1710"/>
      <c r="BO527" s="1709"/>
      <c r="BP527" s="1710"/>
      <c r="BQ527" s="1706"/>
      <c r="BR527" s="1708"/>
      <c r="BS527" s="1706"/>
      <c r="BT527" s="1708"/>
      <c r="BU527" s="1709"/>
      <c r="BV527" s="1710"/>
      <c r="BW527" s="1709"/>
      <c r="BX527" s="1710"/>
      <c r="BY527" s="1706"/>
      <c r="BZ527" s="1708"/>
      <c r="CA527" s="1706"/>
      <c r="CB527" s="1708"/>
      <c r="CC527" s="1709">
        <f>IF(T609&gt;0,1,0)</f>
        <v>0</v>
      </c>
      <c r="CD527" s="1710"/>
      <c r="CE527" s="1709">
        <f>IF(Y609&gt;=0.1,1,0)</f>
        <v>0</v>
      </c>
      <c r="CF527" s="171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9">
        <f>SUM(BM523:BN527)</f>
        <v>0</v>
      </c>
      <c r="BN528" s="1710"/>
      <c r="BO528" s="1709">
        <f>SUM(BO523:BP527)</f>
        <v>0</v>
      </c>
      <c r="BP528" s="1710"/>
      <c r="BQ528" s="1709">
        <f>SUM(BQ523:BR527)</f>
        <v>1</v>
      </c>
      <c r="BR528" s="1710"/>
      <c r="BS528" s="1709">
        <f>SUM(BS523:BT527)</f>
        <v>1</v>
      </c>
      <c r="BT528" s="1710"/>
      <c r="BU528" s="1709">
        <f>SUM(BU523:BV527)</f>
        <v>1</v>
      </c>
      <c r="BV528" s="1710"/>
      <c r="BW528" s="1709">
        <f>SUM(BW523:BX527)</f>
        <v>1</v>
      </c>
      <c r="BX528" s="1710"/>
      <c r="BY528" s="1709">
        <f>SUM(BY523:BZ527)</f>
        <v>0</v>
      </c>
      <c r="BZ528" s="1710"/>
      <c r="CA528" s="1709">
        <f>SUM(CA523:CB527)</f>
        <v>0</v>
      </c>
      <c r="CB528" s="1710"/>
      <c r="CC528" s="1709">
        <f>SUM(CC523:CD527)</f>
        <v>0</v>
      </c>
      <c r="CD528" s="1710"/>
      <c r="CE528" s="1709">
        <f>SUM(CE523:CF527)</f>
        <v>0</v>
      </c>
      <c r="CF528" s="1710"/>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8" t="s">
        <v>484</v>
      </c>
      <c r="AQ529" s="1719"/>
      <c r="AR529" s="1719"/>
      <c r="AS529" s="1719"/>
      <c r="AT529" s="1720"/>
      <c r="AU529" s="1718" t="s">
        <v>485</v>
      </c>
      <c r="AV529" s="1719"/>
      <c r="AW529" s="1719"/>
      <c r="AX529" s="1719"/>
      <c r="AY529" s="1720"/>
      <c r="BM529" s="1706">
        <f>SUM(BM528:BP528)</f>
        <v>0</v>
      </c>
      <c r="BN529" s="1707"/>
      <c r="BO529" s="1707"/>
      <c r="BP529" s="1708"/>
      <c r="BQ529" s="1706">
        <f>SUM(BQ528:BT528)</f>
        <v>2</v>
      </c>
      <c r="BR529" s="1707"/>
      <c r="BS529" s="1707"/>
      <c r="BT529" s="1708"/>
      <c r="BU529" s="1706">
        <f>SUM(BU528:BX528)</f>
        <v>2</v>
      </c>
      <c r="BV529" s="1707"/>
      <c r="BW529" s="1707"/>
      <c r="BX529" s="1708"/>
      <c r="BY529" s="1706">
        <f>SUM(BY528:CB528)</f>
        <v>0</v>
      </c>
      <c r="BZ529" s="1707"/>
      <c r="CA529" s="1707"/>
      <c r="CB529" s="1708"/>
      <c r="CC529" s="1706">
        <f>SUM(CC528:CF528)</f>
        <v>0</v>
      </c>
      <c r="CD529" s="1707"/>
      <c r="CE529" s="1707"/>
      <c r="CF529" s="1708"/>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3">
        <f>RANK(T605,$T$605:$X$609,0)+COUNTIF($T$605:$X$609,T605)-1</f>
        <v>5</v>
      </c>
      <c r="AQ530" s="1704"/>
      <c r="AR530" s="1704"/>
      <c r="AS530" s="1704"/>
      <c r="AT530" s="1705"/>
      <c r="AU530" s="1703">
        <f>RANK(Y605,$Y$605:$AC$609,0)+COUNTIF($Y$605:$AC$609,Y605)-1</f>
        <v>5</v>
      </c>
      <c r="AV530" s="1704"/>
      <c r="AW530" s="1704"/>
      <c r="AX530" s="1704"/>
      <c r="AY530" s="1705"/>
      <c r="BM530" s="1706"/>
      <c r="BN530" s="1707"/>
      <c r="BO530" s="1707"/>
      <c r="BP530" s="1708"/>
      <c r="BQ530" s="1706">
        <f>IF(AND(BQ529=2,BM529=1),1,0)</f>
        <v>0</v>
      </c>
      <c r="BR530" s="1707"/>
      <c r="BS530" s="1707"/>
      <c r="BT530" s="1708"/>
      <c r="BU530" s="1706">
        <f>IF(AND(BU529=2,BQ529=1),1,0)</f>
        <v>0</v>
      </c>
      <c r="BV530" s="1707"/>
      <c r="BW530" s="1707"/>
      <c r="BX530" s="1708"/>
      <c r="BY530" s="1706">
        <f>IF(AND(BY529=2,BU529=1),1,0)</f>
        <v>0</v>
      </c>
      <c r="BZ530" s="1707"/>
      <c r="CA530" s="1707"/>
      <c r="CB530" s="1708"/>
      <c r="CC530" s="1706">
        <f>IF(AND(CC529=2,BU529=1),1,0)</f>
        <v>0</v>
      </c>
      <c r="CD530" s="1707"/>
      <c r="CE530" s="1707"/>
      <c r="CF530" s="1708"/>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3">
        <f>RANK(T606,$T$605:$X$609,0)+COUNTIF($T$605:$X$609,T606)-1</f>
        <v>2</v>
      </c>
      <c r="AQ531" s="1704"/>
      <c r="AR531" s="1704"/>
      <c r="AS531" s="1704"/>
      <c r="AT531" s="1705"/>
      <c r="AU531" s="1703">
        <f>RANK(Y606,$Y$605:$AC$609,0)+COUNTIF($Y$605:$AC$609,Y606)-1</f>
        <v>2</v>
      </c>
      <c r="AV531" s="1704"/>
      <c r="AW531" s="1704"/>
      <c r="AX531" s="1704"/>
      <c r="AY531" s="1705"/>
      <c r="BM531" s="1706"/>
      <c r="BN531" s="1707"/>
      <c r="BO531" s="1707"/>
      <c r="BP531" s="1708"/>
      <c r="BQ531" s="1706"/>
      <c r="BR531" s="1707"/>
      <c r="BS531" s="1707"/>
      <c r="BT531" s="1708"/>
      <c r="BU531" s="1706">
        <f>IF(AND(BU529=2,BM529=1),1,0)</f>
        <v>0</v>
      </c>
      <c r="BV531" s="1707"/>
      <c r="BW531" s="1707"/>
      <c r="BX531" s="1708"/>
      <c r="BY531" s="1706">
        <f>IF(AND(BY529=2,BQ529=1),1,0)</f>
        <v>0</v>
      </c>
      <c r="BZ531" s="1707"/>
      <c r="CA531" s="1707"/>
      <c r="CB531" s="1708"/>
      <c r="CC531" s="1706">
        <f>IF(AND(CC530=2,BY530=1),1,0)</f>
        <v>0</v>
      </c>
      <c r="CD531" s="1707"/>
      <c r="CE531" s="1707"/>
      <c r="CF531" s="1708"/>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3">
        <f>RANK(T607,$T$605:$X$609,0)+COUNTIF($T$605:$X$609,T607)-1</f>
        <v>1</v>
      </c>
      <c r="AQ532" s="1704"/>
      <c r="AR532" s="1704"/>
      <c r="AS532" s="1704"/>
      <c r="AT532" s="1705"/>
      <c r="AU532" s="1703">
        <f>RANK(Y607,$Y$605:$AC$609,0)+COUNTIF($Y$605:$AC$609,Y607)-1</f>
        <v>2</v>
      </c>
      <c r="AV532" s="1704"/>
      <c r="AW532" s="1704"/>
      <c r="AX532" s="1704"/>
      <c r="AY532" s="1705"/>
      <c r="BM532" s="1706"/>
      <c r="BN532" s="1707"/>
      <c r="BO532" s="1707"/>
      <c r="BP532" s="1708"/>
      <c r="BQ532" s="1706"/>
      <c r="BR532" s="1707"/>
      <c r="BS532" s="1707"/>
      <c r="BT532" s="1708"/>
      <c r="BU532" s="1706"/>
      <c r="BV532" s="1707"/>
      <c r="BW532" s="1707"/>
      <c r="BX532" s="1708"/>
      <c r="BY532" s="1706">
        <f>IF(AND(BY529=2,BM529=1),1,0)</f>
        <v>0</v>
      </c>
      <c r="BZ532" s="1707"/>
      <c r="CA532" s="1707"/>
      <c r="CB532" s="1708"/>
      <c r="CC532" s="1706">
        <f>IF(AND(CC529=2,BQ529=1),1,0)</f>
        <v>0</v>
      </c>
      <c r="CD532" s="1707"/>
      <c r="CE532" s="1707"/>
      <c r="CF532" s="1708"/>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3">
        <f>RANK(T608,$T$605:$X$609,0)+COUNTIF($T$605:$X$609,T608)-1</f>
        <v>5</v>
      </c>
      <c r="AQ533" s="1704"/>
      <c r="AR533" s="1704"/>
      <c r="AS533" s="1704"/>
      <c r="AT533" s="1705"/>
      <c r="AU533" s="1703">
        <f>RANK(Y608,$Y$605:$AC$609,0)+COUNTIF($Y$605:$AC$609,Y608)-1</f>
        <v>5</v>
      </c>
      <c r="AV533" s="1704"/>
      <c r="AW533" s="1704"/>
      <c r="AX533" s="1704"/>
      <c r="AY533" s="1705"/>
      <c r="BM533" s="1706"/>
      <c r="BN533" s="1707"/>
      <c r="BO533" s="1707"/>
      <c r="BP533" s="1708"/>
      <c r="BQ533" s="1706"/>
      <c r="BR533" s="1707"/>
      <c r="BS533" s="1707"/>
      <c r="BT533" s="1708"/>
      <c r="BU533" s="1706"/>
      <c r="BV533" s="1707"/>
      <c r="BW533" s="1707"/>
      <c r="BX533" s="1708"/>
      <c r="BY533" s="1706"/>
      <c r="BZ533" s="1707"/>
      <c r="CA533" s="1707"/>
      <c r="CB533" s="1708"/>
      <c r="CC533" s="1706">
        <f>IF(AND(CC529=2,BM529=1),1,0)</f>
        <v>0</v>
      </c>
      <c r="CD533" s="1707"/>
      <c r="CE533" s="1707"/>
      <c r="CF533" s="1708"/>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3">
        <f>RANK(T609,$T$605:$X$609,0)+COUNTIF($T$605:$X$609,T609)-1</f>
        <v>5</v>
      </c>
      <c r="AQ534" s="1704"/>
      <c r="AR534" s="1704"/>
      <c r="AS534" s="1704"/>
      <c r="AT534" s="1705"/>
      <c r="AU534" s="1703">
        <f>RANK(Y609,$Y$605:$AC$609,0)+COUNTIF($Y$605:$AC$609,Y609)-1</f>
        <v>5</v>
      </c>
      <c r="AV534" s="1704"/>
      <c r="AW534" s="1704"/>
      <c r="AX534" s="1704"/>
      <c r="AY534" s="1705"/>
      <c r="BM534" s="1706">
        <f>SUM(BM530:BP533)</f>
        <v>0</v>
      </c>
      <c r="BN534" s="1707"/>
      <c r="BO534" s="1707"/>
      <c r="BP534" s="1708"/>
      <c r="BQ534" s="1706">
        <f>SUM(BQ530:BT533)</f>
        <v>0</v>
      </c>
      <c r="BR534" s="1707"/>
      <c r="BS534" s="1707"/>
      <c r="BT534" s="1708"/>
      <c r="BU534" s="1706">
        <f>SUM(BU530:BX533)</f>
        <v>0</v>
      </c>
      <c r="BV534" s="1707"/>
      <c r="BW534" s="1707"/>
      <c r="BX534" s="1708"/>
      <c r="BY534" s="1706">
        <f>SUM(BY530:CB533)</f>
        <v>0</v>
      </c>
      <c r="BZ534" s="1707"/>
      <c r="CA534" s="1707"/>
      <c r="CB534" s="1708"/>
      <c r="CC534" s="1706">
        <f>SUM(CC530:CF533)</f>
        <v>0</v>
      </c>
      <c r="CD534" s="1707"/>
      <c r="CE534" s="1707"/>
      <c r="CF534" s="1708"/>
      <c r="CG534" s="1706">
        <f>SUM(BM534:CF534)</f>
        <v>0</v>
      </c>
      <c r="CH534" s="1707"/>
      <c r="CI534" s="1707"/>
      <c r="CJ534" s="1708"/>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9">
        <f>SUM(O605:S609)</f>
        <v>60</v>
      </c>
      <c r="AZ538" s="1710"/>
      <c r="CG538"/>
      <c r="CH538" s="1833" t="s">
        <v>812</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9" t="str">
        <f>IF(AY538=BK565,"passed","failed")</f>
        <v>passed</v>
      </c>
      <c r="AT539" s="1711"/>
      <c r="AU539" s="1710"/>
      <c r="AV539" s="151"/>
      <c r="AW539" s="151"/>
      <c r="AX539" s="151"/>
      <c r="AY539" s="151"/>
      <c r="AZ539" s="152"/>
      <c r="CG539"/>
      <c r="CH539" s="1203"/>
      <c r="CI539" s="1204"/>
      <c r="CJ539" s="1204"/>
      <c r="CK539" s="1205"/>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8" t="s">
        <v>390</v>
      </c>
      <c r="AF540" s="1818"/>
      <c r="AG540" s="1818"/>
      <c r="AH540" s="1818"/>
      <c r="AI540" s="1818"/>
      <c r="AJ540" s="1818"/>
      <c r="AK540" s="1818"/>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3"/>
      <c r="CI540" s="1204"/>
      <c r="CJ540" s="1204"/>
      <c r="CK540" s="1205"/>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4" t="s">
        <v>193</v>
      </c>
      <c r="AH541" s="1714"/>
      <c r="AI541" s="1714"/>
      <c r="AJ541" s="1714"/>
      <c r="AK541" s="18"/>
      <c r="AL541" s="18"/>
      <c r="AM541" s="21"/>
      <c r="AN541" s="281"/>
      <c r="BE541" s="1706" t="s">
        <v>238</v>
      </c>
      <c r="BF541" s="1707"/>
      <c r="BG541" s="1707"/>
      <c r="BH541" s="1708"/>
      <c r="BI541" s="1706" t="s">
        <v>752</v>
      </c>
      <c r="BJ541" s="1707"/>
      <c r="BK541" s="1707"/>
      <c r="BL541" s="1708"/>
      <c r="BM541" s="1706" t="s">
        <v>753</v>
      </c>
      <c r="BN541" s="1707"/>
      <c r="BO541" s="1707"/>
      <c r="BP541" s="1708"/>
      <c r="BQ541" s="1706" t="s">
        <v>754</v>
      </c>
      <c r="BR541" s="1707"/>
      <c r="BS541" s="1707"/>
      <c r="BT541" s="1708"/>
      <c r="BU541" s="1706" t="s">
        <v>755</v>
      </c>
      <c r="BV541" s="1707"/>
      <c r="BW541" s="1707"/>
      <c r="BX541" s="1708"/>
      <c r="BY541" s="1706" t="s">
        <v>239</v>
      </c>
      <c r="BZ541" s="1707"/>
      <c r="CA541" s="1707"/>
      <c r="CB541" s="1708"/>
      <c r="CC541"/>
      <c r="CG541"/>
      <c r="CH541" s="1203"/>
      <c r="CI541" s="1204"/>
      <c r="CJ541" s="1204"/>
      <c r="CK541" s="1205"/>
    </row>
    <row r="542" spans="1:89" s="4" customFormat="1" ht="12.75" customHeight="1">
      <c r="A542" s="3"/>
      <c r="B542" s="1674" t="s">
        <v>1796</v>
      </c>
      <c r="C542" s="1674"/>
      <c r="D542" s="1674"/>
      <c r="E542" s="1674"/>
      <c r="F542" s="1674"/>
      <c r="G542" s="1674"/>
      <c r="H542" s="1674"/>
      <c r="I542" s="1674"/>
      <c r="J542" s="1674"/>
      <c r="K542" s="1674"/>
      <c r="L542" s="1674"/>
      <c r="M542" s="1674"/>
      <c r="N542" s="1674"/>
      <c r="O542" s="1674"/>
      <c r="P542" s="1674"/>
      <c r="Q542" s="1674"/>
      <c r="R542" s="1674"/>
      <c r="S542" s="1674"/>
      <c r="T542" s="1674"/>
      <c r="U542" s="1674"/>
      <c r="V542" s="1674"/>
      <c r="W542" s="1674"/>
      <c r="X542" s="1674"/>
      <c r="Y542" s="1674"/>
      <c r="Z542" s="1674"/>
      <c r="AA542" s="1674"/>
      <c r="AB542" s="1674"/>
      <c r="AC542" s="1674"/>
      <c r="AD542" s="1674"/>
      <c r="AE542" s="1674"/>
      <c r="AF542" s="1674"/>
      <c r="AG542" s="1674"/>
      <c r="AK542" s="21"/>
      <c r="AL542" s="21"/>
      <c r="AN542" s="281"/>
      <c r="AP542" s="446" t="s">
        <v>649</v>
      </c>
      <c r="AQ542" s="447"/>
      <c r="AR542" s="447"/>
      <c r="AS542" s="447"/>
      <c r="AT542" s="447"/>
      <c r="AU542" s="447"/>
      <c r="AV542" s="448"/>
      <c r="AW542" s="447"/>
      <c r="AX542" s="447"/>
      <c r="AY542" s="448"/>
      <c r="BE542" s="1709">
        <f>IF(CH543=1,0,1)</f>
        <v>0</v>
      </c>
      <c r="BF542" s="1711"/>
      <c r="BG542" s="1711"/>
      <c r="BH542" s="1710"/>
      <c r="BI542" s="1709"/>
      <c r="BJ542" s="1711"/>
      <c r="BK542" s="1711"/>
      <c r="BL542" s="1710"/>
      <c r="BM542" s="1709"/>
      <c r="BN542" s="1711"/>
      <c r="BO542" s="1711"/>
      <c r="BP542" s="1710"/>
      <c r="BQ542" s="1709"/>
      <c r="BR542" s="1711"/>
      <c r="BS542" s="1711"/>
      <c r="BT542" s="1710"/>
      <c r="BU542" s="1706"/>
      <c r="BV542" s="1707"/>
      <c r="BW542" s="1707"/>
      <c r="BX542" s="1708"/>
      <c r="BY542" s="1706"/>
      <c r="BZ542" s="1707"/>
      <c r="CA542" s="1707"/>
      <c r="CB542" s="1708"/>
      <c r="CC542"/>
      <c r="CG542"/>
      <c r="CH542" s="1206"/>
      <c r="CI542" s="1207"/>
      <c r="CJ542" s="1207"/>
      <c r="CK542" s="1208"/>
    </row>
    <row r="543" spans="1:89" s="4" customFormat="1" ht="12.75" customHeight="1">
      <c r="A543" s="20"/>
      <c r="B543" s="1674"/>
      <c r="C543" s="1674"/>
      <c r="D543" s="1674"/>
      <c r="E543" s="1674"/>
      <c r="F543" s="1674"/>
      <c r="G543" s="1674"/>
      <c r="H543" s="1674"/>
      <c r="I543" s="1674"/>
      <c r="J543" s="1674"/>
      <c r="K543" s="1674"/>
      <c r="L543" s="1674"/>
      <c r="M543" s="1674"/>
      <c r="N543" s="1674"/>
      <c r="O543" s="1674"/>
      <c r="P543" s="1674"/>
      <c r="Q543" s="1674"/>
      <c r="R543" s="1674"/>
      <c r="S543" s="1674"/>
      <c r="T543" s="1674"/>
      <c r="U543" s="1674"/>
      <c r="V543" s="1674"/>
      <c r="W543" s="1674"/>
      <c r="X543" s="1674"/>
      <c r="Y543" s="1674"/>
      <c r="Z543" s="1674"/>
      <c r="AA543" s="1674"/>
      <c r="AB543" s="1674"/>
      <c r="AC543" s="1674"/>
      <c r="AD543" s="1674"/>
      <c r="AE543" s="1674"/>
      <c r="AF543" s="1674"/>
      <c r="AG543" s="1674"/>
      <c r="AK543" s="163"/>
      <c r="AL543" s="163"/>
      <c r="AM543" s="163"/>
      <c r="AN543" s="281"/>
      <c r="AP543" s="449" t="s">
        <v>647</v>
      </c>
      <c r="AQ543" s="450"/>
      <c r="AR543" s="450"/>
      <c r="AS543" s="450"/>
      <c r="AT543" s="450"/>
      <c r="AU543" s="1712">
        <f>ROUNDUP(BK565*0.1,0)</f>
        <v>6</v>
      </c>
      <c r="AV543" s="1713"/>
      <c r="AW543" s="450"/>
      <c r="AX543" s="450">
        <f>AU543-AP545</f>
        <v>0</v>
      </c>
      <c r="AY543" s="451"/>
      <c r="BE543" s="1709"/>
      <c r="BF543" s="1711"/>
      <c r="BG543" s="1711"/>
      <c r="BH543" s="1710"/>
      <c r="BI543" s="1709">
        <f>IF(AND(CH544=1,BE542=0),0,1)</f>
        <v>0</v>
      </c>
      <c r="BJ543" s="1711"/>
      <c r="BK543" s="1711"/>
      <c r="BL543" s="1710"/>
      <c r="BM543" s="1709"/>
      <c r="BN543" s="1711"/>
      <c r="BO543" s="1711"/>
      <c r="BP543" s="1710"/>
      <c r="BQ543" s="1709"/>
      <c r="BR543" s="1711"/>
      <c r="BS543" s="1711"/>
      <c r="BT543" s="1710"/>
      <c r="BU543" s="1706"/>
      <c r="BV543" s="1707"/>
      <c r="BW543" s="1707"/>
      <c r="BX543" s="1708"/>
      <c r="BY543" s="1706"/>
      <c r="BZ543" s="1707"/>
      <c r="CA543" s="1707"/>
      <c r="CB543" s="1708"/>
      <c r="CC543"/>
      <c r="CG543"/>
      <c r="CH543" s="1706">
        <f>IF(OR(Y605=0,Y605&gt;=0.1),1,0)</f>
        <v>1</v>
      </c>
      <c r="CI543" s="1707"/>
      <c r="CJ543" s="1707"/>
      <c r="CK543" s="1708"/>
    </row>
    <row r="544" spans="1:89" s="4" customFormat="1" ht="12.75" customHeight="1">
      <c r="B544" s="1674"/>
      <c r="C544" s="1674"/>
      <c r="D544" s="1674"/>
      <c r="E544" s="1674"/>
      <c r="F544" s="1674"/>
      <c r="G544" s="1674"/>
      <c r="H544" s="1674"/>
      <c r="I544" s="1674"/>
      <c r="J544" s="1674"/>
      <c r="K544" s="1674"/>
      <c r="L544" s="1674"/>
      <c r="M544" s="1674"/>
      <c r="N544" s="1674"/>
      <c r="O544" s="1674"/>
      <c r="P544" s="1674"/>
      <c r="Q544" s="1674"/>
      <c r="R544" s="1674"/>
      <c r="S544" s="1674"/>
      <c r="T544" s="1674"/>
      <c r="U544" s="1674"/>
      <c r="V544" s="1674"/>
      <c r="W544" s="1674"/>
      <c r="X544" s="1674"/>
      <c r="Y544" s="1674"/>
      <c r="Z544" s="1674"/>
      <c r="AA544" s="1674"/>
      <c r="AB544" s="1674"/>
      <c r="AC544" s="1674"/>
      <c r="AD544" s="1674"/>
      <c r="AE544" s="1674"/>
      <c r="AF544" s="1674"/>
      <c r="AG544" s="1674"/>
      <c r="AH544" s="162"/>
      <c r="AI544" s="162"/>
      <c r="AJ544" s="162"/>
      <c r="AK544" s="163"/>
      <c r="AL544" s="163"/>
      <c r="AM544" s="163"/>
      <c r="AN544" s="281"/>
      <c r="AP544" s="449"/>
      <c r="AQ544" s="450"/>
      <c r="AR544" s="450"/>
      <c r="AS544" s="450"/>
      <c r="AT544" s="450"/>
      <c r="AU544" s="450"/>
      <c r="AV544" s="451"/>
      <c r="AW544" s="450"/>
      <c r="AX544" s="450"/>
      <c r="AY544" s="451"/>
      <c r="BE544" s="1709"/>
      <c r="BF544" s="1711"/>
      <c r="BG544" s="1711"/>
      <c r="BH544" s="1710"/>
      <c r="BI544" s="1709"/>
      <c r="BJ544" s="1711"/>
      <c r="BK544" s="1711"/>
      <c r="BL544" s="1710"/>
      <c r="BM544" s="1709">
        <f>IF(AND(AND(CH545=1,BI543=0,BE542=0)),0,1)</f>
        <v>0</v>
      </c>
      <c r="BN544" s="1711"/>
      <c r="BO544" s="1711"/>
      <c r="BP544" s="1710"/>
      <c r="BQ544" s="1709"/>
      <c r="BR544" s="1711"/>
      <c r="BS544" s="1711"/>
      <c r="BT544" s="1710"/>
      <c r="BU544" s="1706"/>
      <c r="BV544" s="1707"/>
      <c r="BW544" s="1707"/>
      <c r="BX544" s="1708"/>
      <c r="BY544" s="1706"/>
      <c r="BZ544" s="1707"/>
      <c r="CA544" s="1707"/>
      <c r="CB544" s="1708"/>
      <c r="CC544"/>
      <c r="CG544"/>
      <c r="CH544" s="1706">
        <f>IF(OR(Y606=0,Y606&gt;=0.1),1,0)</f>
        <v>1</v>
      </c>
      <c r="CI544" s="1707"/>
      <c r="CJ544" s="1707"/>
      <c r="CK544" s="1708"/>
    </row>
    <row r="545" spans="2:89" s="4" customFormat="1" ht="12.75" customHeight="1">
      <c r="B545" s="1674"/>
      <c r="C545" s="1674"/>
      <c r="D545" s="1674"/>
      <c r="E545" s="1674"/>
      <c r="F545" s="1674"/>
      <c r="G545" s="1674"/>
      <c r="H545" s="1674"/>
      <c r="I545" s="1674"/>
      <c r="J545" s="1674"/>
      <c r="K545" s="1674"/>
      <c r="L545" s="1674"/>
      <c r="M545" s="1674"/>
      <c r="N545" s="1674"/>
      <c r="O545" s="1674"/>
      <c r="P545" s="1674"/>
      <c r="Q545" s="1674"/>
      <c r="R545" s="1674"/>
      <c r="S545" s="1674"/>
      <c r="T545" s="1674"/>
      <c r="U545" s="1674"/>
      <c r="V545" s="1674"/>
      <c r="W545" s="1674"/>
      <c r="X545" s="1674"/>
      <c r="Y545" s="1674"/>
      <c r="Z545" s="1674"/>
      <c r="AA545" s="1674"/>
      <c r="AB545" s="1674"/>
      <c r="AC545" s="1674"/>
      <c r="AD545" s="1674"/>
      <c r="AE545" s="1674"/>
      <c r="AF545" s="1674"/>
      <c r="AG545" s="1674"/>
      <c r="AH545" s="162"/>
      <c r="AI545" s="162"/>
      <c r="AJ545" s="162"/>
      <c r="AK545" s="163"/>
      <c r="AL545" s="163"/>
      <c r="AM545" s="163"/>
      <c r="AN545" s="281"/>
      <c r="AP545" s="1741">
        <f>SUM(T605:X609)</f>
        <v>6</v>
      </c>
      <c r="AQ545" s="1742"/>
      <c r="AR545" s="1742"/>
      <c r="AS545" s="1742"/>
      <c r="AT545" s="1743"/>
      <c r="AU545" s="450"/>
      <c r="AV545" s="451"/>
      <c r="AW545" s="450"/>
      <c r="AX545" s="450"/>
      <c r="AY545" s="451"/>
      <c r="BE545" s="1709"/>
      <c r="BF545" s="1711"/>
      <c r="BG545" s="1711"/>
      <c r="BH545" s="1710"/>
      <c r="BI545" s="1709"/>
      <c r="BJ545" s="1711"/>
      <c r="BK545" s="1711"/>
      <c r="BL545" s="1710"/>
      <c r="BM545" s="1709"/>
      <c r="BN545" s="1711"/>
      <c r="BO545" s="1711"/>
      <c r="BP545" s="1710"/>
      <c r="BQ545" s="1709">
        <f>IF(AND(AND(AND(CH546=1,BM544=0,BI543=0,BE542=0))),0,1)</f>
        <v>0</v>
      </c>
      <c r="BR545" s="1711"/>
      <c r="BS545" s="1711"/>
      <c r="BT545" s="1710"/>
      <c r="BU545" s="1706"/>
      <c r="BV545" s="1707"/>
      <c r="BW545" s="1707"/>
      <c r="BX545" s="1708"/>
      <c r="BY545" s="1706"/>
      <c r="BZ545" s="1707"/>
      <c r="CA545" s="1707"/>
      <c r="CB545" s="1708"/>
      <c r="CC545"/>
      <c r="CG545"/>
      <c r="CH545" s="1706">
        <f>IF(OR(Y607=0,Y607&gt;=0.1),1,0)</f>
        <v>1</v>
      </c>
      <c r="CI545" s="1707"/>
      <c r="CJ545" s="1707"/>
      <c r="CK545" s="1708"/>
    </row>
    <row r="546" spans="2:89" s="4" customFormat="1" ht="12.75" customHeight="1">
      <c r="B546" s="1674"/>
      <c r="C546" s="1674"/>
      <c r="D546" s="1674"/>
      <c r="E546" s="1674"/>
      <c r="F546" s="1674"/>
      <c r="G546" s="1674"/>
      <c r="H546" s="1674"/>
      <c r="I546" s="1674"/>
      <c r="J546" s="1674"/>
      <c r="K546" s="1674"/>
      <c r="L546" s="1674"/>
      <c r="M546" s="1674"/>
      <c r="N546" s="1674"/>
      <c r="O546" s="1674"/>
      <c r="P546" s="1674"/>
      <c r="Q546" s="1674"/>
      <c r="R546" s="1674"/>
      <c r="S546" s="1674"/>
      <c r="T546" s="1674"/>
      <c r="U546" s="1674"/>
      <c r="V546" s="1674"/>
      <c r="W546" s="1674"/>
      <c r="X546" s="1674"/>
      <c r="Y546" s="1674"/>
      <c r="Z546" s="1674"/>
      <c r="AA546" s="1674"/>
      <c r="AB546" s="1674"/>
      <c r="AC546" s="1674"/>
      <c r="AD546" s="1674"/>
      <c r="AE546" s="1674"/>
      <c r="AF546" s="1674"/>
      <c r="AG546" s="1674"/>
      <c r="AH546" s="162"/>
      <c r="AI546" s="162"/>
      <c r="AJ546" s="162"/>
      <c r="AK546" s="163"/>
      <c r="AL546" s="163"/>
      <c r="AM546" s="163"/>
      <c r="AN546" s="281"/>
      <c r="AP546" s="452"/>
      <c r="AQ546" s="453"/>
      <c r="AR546" s="453"/>
      <c r="AS546" s="453"/>
      <c r="AT546" s="454" t="s">
        <v>642</v>
      </c>
      <c r="AU546" s="1712" t="str">
        <f>IF(AP545&gt;=AU543,"passed","failed")</f>
        <v>passed</v>
      </c>
      <c r="AV546" s="1844"/>
      <c r="AW546" s="1713"/>
      <c r="AX546" s="455"/>
      <c r="AY546" s="456"/>
      <c r="BE546" s="1709"/>
      <c r="BF546" s="1711"/>
      <c r="BG546" s="1711"/>
      <c r="BH546" s="1710"/>
      <c r="BI546" s="1709"/>
      <c r="BJ546" s="1711"/>
      <c r="BK546" s="1711"/>
      <c r="BL546" s="1710"/>
      <c r="BM546" s="1709"/>
      <c r="BN546" s="1711"/>
      <c r="BO546" s="1711"/>
      <c r="BP546" s="1710"/>
      <c r="BQ546" s="1709"/>
      <c r="BR546" s="1711"/>
      <c r="BS546" s="1711"/>
      <c r="BT546" s="1710"/>
      <c r="BU546" s="1709">
        <f>IF(AND(AND(AND(AND(CH547=1,BQ545=0,BM544=0,BI543=0,BE542=0)))),0,1)</f>
        <v>0</v>
      </c>
      <c r="BV546" s="1711"/>
      <c r="BW546" s="1711"/>
      <c r="BX546" s="1710"/>
      <c r="BY546" s="1706"/>
      <c r="BZ546" s="1707"/>
      <c r="CA546" s="1707"/>
      <c r="CB546" s="1708"/>
      <c r="CC546"/>
      <c r="CD546"/>
      <c r="CE546"/>
      <c r="CF546"/>
      <c r="CG546"/>
      <c r="CH546" s="1706">
        <f>IF(OR(Y608=0,Y608&gt;=0.1),1,0)</f>
        <v>1</v>
      </c>
      <c r="CI546" s="1707"/>
      <c r="CJ546" s="1707"/>
      <c r="CK546" s="1708"/>
    </row>
    <row r="547" spans="2:89" s="4" customFormat="1" ht="13.7" customHeight="1">
      <c r="B547" s="1674"/>
      <c r="C547" s="1674"/>
      <c r="D547" s="1674"/>
      <c r="E547" s="1674"/>
      <c r="F547" s="1674"/>
      <c r="G547" s="1674"/>
      <c r="H547" s="1674"/>
      <c r="I547" s="1674"/>
      <c r="J547" s="1674"/>
      <c r="K547" s="1674"/>
      <c r="L547" s="1674"/>
      <c r="M547" s="1674"/>
      <c r="N547" s="1674"/>
      <c r="O547" s="1674"/>
      <c r="P547" s="1674"/>
      <c r="Q547" s="1674"/>
      <c r="R547" s="1674"/>
      <c r="S547" s="1674"/>
      <c r="T547" s="1674"/>
      <c r="U547" s="1674"/>
      <c r="V547" s="1674"/>
      <c r="W547" s="1674"/>
      <c r="X547" s="1674"/>
      <c r="Y547" s="1674"/>
      <c r="Z547" s="1674"/>
      <c r="AA547" s="1674"/>
      <c r="AB547" s="1674"/>
      <c r="AC547" s="1674"/>
      <c r="AD547" s="1674"/>
      <c r="AE547" s="1674"/>
      <c r="AF547" s="1674"/>
      <c r="AG547" s="1674"/>
      <c r="AH547" s="162"/>
      <c r="AI547" s="162"/>
      <c r="AJ547" s="162"/>
      <c r="AK547" s="163"/>
      <c r="AL547" s="163"/>
      <c r="AM547" s="163"/>
      <c r="AN547" s="281"/>
      <c r="BE547" s="1709">
        <f>SUM(BE542:BH546)</f>
        <v>0</v>
      </c>
      <c r="BF547" s="1711"/>
      <c r="BG547" s="1711"/>
      <c r="BH547" s="1710"/>
      <c r="BI547" s="1709">
        <f>SUM(BI542:BL546)</f>
        <v>0</v>
      </c>
      <c r="BJ547" s="1711"/>
      <c r="BK547" s="1711"/>
      <c r="BL547" s="1710"/>
      <c r="BM547" s="1709">
        <f>SUM(BM542:BP546)</f>
        <v>0</v>
      </c>
      <c r="BN547" s="1711"/>
      <c r="BO547" s="1711"/>
      <c r="BP547" s="1710"/>
      <c r="BQ547" s="1709">
        <f>SUM(BQ542:BT546)</f>
        <v>0</v>
      </c>
      <c r="BR547" s="1711"/>
      <c r="BS547" s="1711"/>
      <c r="BT547" s="1710"/>
      <c r="BU547" s="1709">
        <f>SUM(BU542:BX546)</f>
        <v>0</v>
      </c>
      <c r="BV547" s="1711"/>
      <c r="BW547" s="1711"/>
      <c r="BX547" s="1710"/>
      <c r="BY547" s="1709">
        <f>SUM(BY542:CB546)</f>
        <v>0</v>
      </c>
      <c r="BZ547" s="1711"/>
      <c r="CA547" s="1711"/>
      <c r="CB547" s="1710"/>
      <c r="CC547" s="1706">
        <f>IF(AND(CH543=1,T605&gt;0),0,SUM(BE547:CB547))</f>
        <v>0</v>
      </c>
      <c r="CD547" s="1707"/>
      <c r="CE547" s="1707"/>
      <c r="CF547" s="1708"/>
      <c r="CG547"/>
      <c r="CH547" s="1706">
        <f>IF(OR(Y609=0,Y609&gt;=0.1),1,0)</f>
        <v>1</v>
      </c>
      <c r="CI547" s="1707"/>
      <c r="CJ547" s="1707"/>
      <c r="CK547" s="1708"/>
    </row>
    <row r="548" spans="2:89" s="4" customFormat="1" ht="12.4" customHeight="1">
      <c r="B548" s="1848" t="s">
        <v>1569</v>
      </c>
      <c r="C548" s="1848"/>
      <c r="D548" s="1848"/>
      <c r="E548" s="1848"/>
      <c r="F548" s="1848"/>
      <c r="G548" s="1848"/>
      <c r="H548" s="1848"/>
      <c r="I548" s="1848"/>
      <c r="J548" s="1848"/>
      <c r="K548" s="1848"/>
      <c r="L548" s="1848"/>
      <c r="M548" s="1848"/>
      <c r="N548" s="1848"/>
      <c r="O548" s="1848"/>
      <c r="P548" s="1848"/>
      <c r="Q548" s="1848"/>
      <c r="R548" s="1848"/>
      <c r="S548" s="1848"/>
      <c r="T548" s="1848"/>
      <c r="U548" s="1848"/>
      <c r="V548" s="1848"/>
      <c r="W548" s="1848"/>
      <c r="X548" s="1848"/>
      <c r="Y548" s="1848"/>
      <c r="Z548" s="1848"/>
      <c r="AA548" s="1848"/>
      <c r="AB548" s="1848"/>
      <c r="AC548" s="1848"/>
      <c r="AD548" s="1848"/>
      <c r="AE548" s="1848"/>
      <c r="AF548" s="1848"/>
      <c r="AG548" s="1848"/>
      <c r="AH548" s="162"/>
      <c r="AI548" s="162"/>
      <c r="AJ548" s="162"/>
      <c r="AK548" s="163"/>
      <c r="AL548" s="163"/>
      <c r="AM548" s="163"/>
      <c r="AN548" s="281"/>
    </row>
    <row r="549" spans="2:89" s="4" customFormat="1" ht="21" customHeight="1">
      <c r="B549" s="1848"/>
      <c r="C549" s="1848"/>
      <c r="D549" s="1848"/>
      <c r="E549" s="1848"/>
      <c r="F549" s="1848"/>
      <c r="G549" s="1848"/>
      <c r="H549" s="1848"/>
      <c r="I549" s="1848"/>
      <c r="J549" s="1848"/>
      <c r="K549" s="1848"/>
      <c r="L549" s="1848"/>
      <c r="M549" s="1848"/>
      <c r="N549" s="1848"/>
      <c r="O549" s="1848"/>
      <c r="P549" s="1848"/>
      <c r="Q549" s="1848"/>
      <c r="R549" s="1848"/>
      <c r="S549" s="1848"/>
      <c r="T549" s="1848"/>
      <c r="U549" s="1848"/>
      <c r="V549" s="1848"/>
      <c r="W549" s="1848"/>
      <c r="X549" s="1848"/>
      <c r="Y549" s="1848"/>
      <c r="Z549" s="1848"/>
      <c r="AA549" s="1848"/>
      <c r="AB549" s="1848"/>
      <c r="AC549" s="1848"/>
      <c r="AD549" s="1848"/>
      <c r="AE549" s="1848"/>
      <c r="AF549" s="1848"/>
      <c r="AG549" s="1848"/>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8" t="s">
        <v>1840</v>
      </c>
      <c r="C550" s="1848"/>
      <c r="D550" s="1848"/>
      <c r="E550" s="1848"/>
      <c r="F550" s="1848"/>
      <c r="G550" s="1848"/>
      <c r="H550" s="1848"/>
      <c r="I550" s="1848"/>
      <c r="J550" s="1848"/>
      <c r="K550" s="1848"/>
      <c r="L550" s="1848"/>
      <c r="M550" s="1848"/>
      <c r="N550" s="1848"/>
      <c r="O550" s="1848"/>
      <c r="P550" s="1848"/>
      <c r="Q550" s="1848"/>
      <c r="R550" s="1848"/>
      <c r="S550" s="1848"/>
      <c r="T550" s="1848"/>
      <c r="U550" s="1848"/>
      <c r="V550" s="1848"/>
      <c r="W550" s="1848"/>
      <c r="X550" s="1848"/>
      <c r="Y550" s="1848"/>
      <c r="Z550" s="1848"/>
      <c r="AA550" s="1848"/>
      <c r="AB550" s="1848"/>
      <c r="AC550" s="1848"/>
      <c r="AD550" s="1848"/>
      <c r="AE550" s="1848"/>
      <c r="AF550" s="1848"/>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8"/>
      <c r="C551" s="1848"/>
      <c r="D551" s="1848"/>
      <c r="E551" s="1848"/>
      <c r="F551" s="1848"/>
      <c r="G551" s="1848"/>
      <c r="H551" s="1848"/>
      <c r="I551" s="1848"/>
      <c r="J551" s="1848"/>
      <c r="K551" s="1848"/>
      <c r="L551" s="1848"/>
      <c r="M551" s="1848"/>
      <c r="N551" s="1848"/>
      <c r="O551" s="1848"/>
      <c r="P551" s="1848"/>
      <c r="Q551" s="1848"/>
      <c r="R551" s="1848"/>
      <c r="S551" s="1848"/>
      <c r="T551" s="1848"/>
      <c r="U551" s="1848"/>
      <c r="V551" s="1848"/>
      <c r="W551" s="1848"/>
      <c r="X551" s="1848"/>
      <c r="Y551" s="1848"/>
      <c r="Z551" s="1848"/>
      <c r="AA551" s="1848"/>
      <c r="AB551" s="1848"/>
      <c r="AC551" s="1848"/>
      <c r="AD551" s="1848"/>
      <c r="AE551" s="1848"/>
      <c r="AF551" s="1848"/>
      <c r="AG551" s="162"/>
      <c r="AH551" s="162"/>
      <c r="AI551" s="162"/>
      <c r="AJ551" s="162"/>
      <c r="AK551" s="163"/>
      <c r="AL551" s="163"/>
      <c r="AM551" s="163"/>
      <c r="AN551" s="281"/>
      <c r="AP551" s="150"/>
      <c r="AQ551" s="151"/>
      <c r="AR551" s="151"/>
      <c r="AS551" s="151"/>
      <c r="AT551" s="157" t="s">
        <v>642</v>
      </c>
      <c r="AU551" s="151"/>
      <c r="AV551" s="1709" t="str">
        <f>IF(BJ587&gt;0,"failed","passed")</f>
        <v>failed</v>
      </c>
      <c r="AW551" s="1711"/>
      <c r="AX551" s="1711"/>
      <c r="AY551" s="1710"/>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81" t="s">
        <v>1570</v>
      </c>
      <c r="R554" s="1881"/>
      <c r="S554" s="1881"/>
      <c r="T554" s="1881"/>
      <c r="U554" s="1881"/>
      <c r="V554" s="1881"/>
      <c r="W554" s="1881"/>
      <c r="X554" s="1881"/>
      <c r="Y554" s="1881"/>
      <c r="Z554" s="1881"/>
      <c r="AA554" s="1881"/>
      <c r="AB554" s="1881"/>
      <c r="AC554" s="1881"/>
      <c r="AD554" s="1881"/>
      <c r="AE554" s="1881"/>
      <c r="AF554" s="1881"/>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81"/>
      <c r="R555" s="1881"/>
      <c r="S555" s="1881"/>
      <c r="T555" s="1881"/>
      <c r="U555" s="1881"/>
      <c r="V555" s="1881"/>
      <c r="W555" s="1881"/>
      <c r="X555" s="1881"/>
      <c r="Y555" s="1881"/>
      <c r="Z555" s="1881"/>
      <c r="AA555" s="1881"/>
      <c r="AB555" s="1881"/>
      <c r="AC555" s="1881"/>
      <c r="AD555" s="1881"/>
      <c r="AE555" s="1881"/>
      <c r="AF555" s="1881"/>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3" t="s">
        <v>1839</v>
      </c>
      <c r="R556" s="1694"/>
      <c r="S556" s="1758" t="s">
        <v>218</v>
      </c>
      <c r="T556" s="1758"/>
      <c r="U556" s="1693">
        <v>0.5</v>
      </c>
      <c r="V556" s="1694"/>
      <c r="W556" s="1693">
        <v>0.45</v>
      </c>
      <c r="X556" s="1694"/>
      <c r="Y556" s="1693">
        <v>0.4</v>
      </c>
      <c r="Z556" s="1694"/>
      <c r="AA556" s="1693">
        <v>0.35</v>
      </c>
      <c r="AB556" s="1694"/>
      <c r="AC556" s="1842">
        <v>0.3</v>
      </c>
      <c r="AD556" s="1843"/>
      <c r="AE556" s="1693">
        <v>0.2</v>
      </c>
      <c r="AF556" s="169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90"/>
      <c r="P557" s="1691"/>
      <c r="Q557" s="1888"/>
      <c r="R557" s="1849"/>
      <c r="S557" s="1857"/>
      <c r="T557" s="1857"/>
      <c r="U557" s="1849"/>
      <c r="V557" s="1849"/>
      <c r="W557" s="1849"/>
      <c r="X557" s="1849"/>
      <c r="Y557" s="1849"/>
      <c r="Z557" s="1849"/>
      <c r="AA557" s="1852"/>
      <c r="AB557" s="1852"/>
      <c r="AC557" s="1849"/>
      <c r="AD557" s="1849"/>
      <c r="AE557" s="1840"/>
      <c r="AF557" s="1841"/>
      <c r="AN557" s="281"/>
      <c r="AP557" s="144" t="s">
        <v>749</v>
      </c>
      <c r="AQ557" s="9"/>
      <c r="AR557" s="9"/>
      <c r="AS557" s="9"/>
      <c r="AT557" s="1706" t="str">
        <f>IF(OR(AV551="passed",BD555="passed"),"passed","failed")</f>
        <v>passed</v>
      </c>
      <c r="AU557" s="1707"/>
      <c r="AV557" s="1707"/>
      <c r="AW557" s="1707"/>
      <c r="AX557" s="1708"/>
    </row>
    <row r="558" spans="2:89" s="4" customFormat="1" ht="12.75" customHeight="1">
      <c r="B558" s="63"/>
      <c r="I558" s="220"/>
      <c r="J558" s="162"/>
      <c r="N558" s="5"/>
      <c r="O558" s="1690"/>
      <c r="P558" s="1691"/>
      <c r="Q558" s="1856"/>
      <c r="R558" s="1683"/>
      <c r="S558" s="1683"/>
      <c r="T558" s="1683"/>
      <c r="U558" s="1683"/>
      <c r="V558" s="1683"/>
      <c r="W558" s="1683"/>
      <c r="X558" s="1683"/>
      <c r="Y558" s="1655"/>
      <c r="Z558" s="1655"/>
      <c r="AA558" s="1683"/>
      <c r="AB558" s="1683"/>
      <c r="AC558" s="1655"/>
      <c r="AD558" s="1655"/>
      <c r="AE558" s="1736"/>
      <c r="AF558" s="1737"/>
      <c r="AN558" s="281"/>
      <c r="AP558"/>
      <c r="AQ558"/>
      <c r="AR558"/>
      <c r="AS558"/>
      <c r="AT558"/>
      <c r="AU558"/>
      <c r="AV558"/>
      <c r="AW558"/>
      <c r="AX558"/>
      <c r="AY558"/>
    </row>
    <row r="559" spans="2:89" s="4" customFormat="1" ht="12.75" customHeight="1">
      <c r="B559" s="63"/>
      <c r="I559" s="220"/>
      <c r="J559" s="162"/>
      <c r="N559" s="5"/>
      <c r="O559" s="1690"/>
      <c r="P559" s="1691"/>
      <c r="Q559" s="1856"/>
      <c r="R559" s="1683"/>
      <c r="S559" s="1683"/>
      <c r="T559" s="1683"/>
      <c r="U559" s="1683"/>
      <c r="V559" s="1683"/>
      <c r="W559" s="1683"/>
      <c r="X559" s="1683"/>
      <c r="Y559" s="1683"/>
      <c r="Z559" s="1683"/>
      <c r="AA559" s="1655"/>
      <c r="AB559" s="1655"/>
      <c r="AC559" s="1683"/>
      <c r="AD559" s="1683"/>
      <c r="AE559" s="1679"/>
      <c r="AF559" s="1680"/>
      <c r="AN559" s="281"/>
      <c r="AP559" s="153" t="s">
        <v>643</v>
      </c>
      <c r="AQ559" s="154"/>
      <c r="AR559" s="154"/>
      <c r="AS559" s="154"/>
      <c r="AT559" s="154"/>
      <c r="AU559" s="154"/>
      <c r="AV559" s="155"/>
      <c r="AW559" s="1845" t="str">
        <f>IF(AND(AND(AND(AND(AS539="passed",AU546="passed",BD555="passed",SUM(T605:X609)&gt;1)))),"YES","NO")</f>
        <v>YES</v>
      </c>
      <c r="AX559" s="1846"/>
      <c r="AY559" s="1847"/>
      <c r="AZ559" s="40"/>
      <c r="BA559" s="40"/>
      <c r="BB559" s="40"/>
      <c r="BC559" s="40"/>
      <c r="BD559" s="40"/>
      <c r="BE559" s="21"/>
      <c r="BF559" s="21"/>
      <c r="BG559" s="21"/>
    </row>
    <row r="560" spans="2:89" s="4" customFormat="1" ht="12.75" customHeight="1">
      <c r="B560" s="63"/>
      <c r="I560" s="220"/>
      <c r="J560" s="162"/>
      <c r="N560" s="5"/>
      <c r="O560" s="1690"/>
      <c r="P560" s="1691"/>
      <c r="Q560" s="1856"/>
      <c r="R560" s="1683"/>
      <c r="S560" s="1683"/>
      <c r="T560" s="1683"/>
      <c r="U560" s="1683"/>
      <c r="V560" s="1683"/>
      <c r="W560" s="1683"/>
      <c r="X560" s="1683"/>
      <c r="Y560" s="1655"/>
      <c r="Z560" s="1655"/>
      <c r="AA560" s="1683"/>
      <c r="AB560" s="1683"/>
      <c r="AC560" s="1655"/>
      <c r="AD560" s="1655"/>
      <c r="AE560" s="1736"/>
      <c r="AF560" s="1737"/>
      <c r="AN560" s="281"/>
    </row>
    <row r="561" spans="1:96" s="4" customFormat="1" ht="12.75" customHeight="1">
      <c r="B561" s="63"/>
      <c r="I561" s="220"/>
      <c r="J561" s="162"/>
      <c r="N561" s="5"/>
      <c r="O561" s="1690"/>
      <c r="P561" s="1691"/>
      <c r="Q561" s="1856"/>
      <c r="R561" s="1683"/>
      <c r="S561" s="1683"/>
      <c r="T561" s="1683"/>
      <c r="U561" s="1683"/>
      <c r="V561" s="1683"/>
      <c r="W561" s="1655"/>
      <c r="X561" s="1655"/>
      <c r="Y561" s="1683"/>
      <c r="Z561" s="1683"/>
      <c r="AA561" s="1655"/>
      <c r="AB561" s="1655"/>
      <c r="AC561" s="1683"/>
      <c r="AD561" s="1683"/>
      <c r="AE561" s="1679"/>
      <c r="AF561" s="1680"/>
      <c r="AN561" s="281"/>
    </row>
    <row r="562" spans="1:96" s="4" customFormat="1" ht="12.75" customHeight="1">
      <c r="B562" s="63"/>
      <c r="I562" s="220"/>
      <c r="J562" s="162"/>
      <c r="N562" s="5"/>
      <c r="O562" s="1690"/>
      <c r="P562" s="1691"/>
      <c r="Q562" s="1856"/>
      <c r="R562" s="1683"/>
      <c r="S562" s="1683"/>
      <c r="T562" s="1683"/>
      <c r="U562" s="1683"/>
      <c r="V562" s="1683"/>
      <c r="W562" s="1683"/>
      <c r="X562" s="1683"/>
      <c r="Y562" s="1655"/>
      <c r="Z562" s="1655"/>
      <c r="AA562" s="1683"/>
      <c r="AB562" s="1683"/>
      <c r="AC562" s="1655"/>
      <c r="AD562" s="1655"/>
      <c r="AE562" s="1736"/>
      <c r="AF562" s="1737"/>
      <c r="AN562" s="281"/>
      <c r="AU562" s="21"/>
      <c r="AV562" s="21"/>
      <c r="AW562" s="8"/>
      <c r="AX562" s="9"/>
      <c r="AY562" s="9"/>
      <c r="AZ562" s="60" t="s">
        <v>1173</v>
      </c>
      <c r="BA562" s="1825" t="s">
        <v>750</v>
      </c>
      <c r="BB562" s="1826"/>
      <c r="BC562" s="1826"/>
      <c r="BD562" s="1826"/>
      <c r="BE562" s="1827"/>
      <c r="BF562" s="1853">
        <f>SUM(O605:S609)</f>
        <v>60</v>
      </c>
      <c r="BG562" s="1854"/>
      <c r="BH562" s="1854"/>
      <c r="BI562" s="1854"/>
      <c r="BJ562" s="1855"/>
      <c r="BK562" s="1659">
        <f>SUM(T605:X609)</f>
        <v>6</v>
      </c>
      <c r="BL562" s="1660"/>
      <c r="BM562" s="1660"/>
      <c r="BN562" s="1660"/>
      <c r="BO562" s="1661"/>
    </row>
    <row r="563" spans="1:96" s="4" customFormat="1" ht="12.75" customHeight="1">
      <c r="B563" s="35"/>
      <c r="I563" s="1556" t="s">
        <v>1568</v>
      </c>
      <c r="J563" s="1557"/>
      <c r="K563" s="1557"/>
      <c r="L563" s="1557"/>
      <c r="M563" s="1557"/>
      <c r="N563" s="1558"/>
      <c r="O563" s="1690">
        <v>0.5</v>
      </c>
      <c r="P563" s="1691"/>
      <c r="Q563" s="1891"/>
      <c r="R563" s="1735"/>
      <c r="S563" s="1683"/>
      <c r="T563" s="1683"/>
      <c r="U563" s="1880" t="s">
        <v>1572</v>
      </c>
      <c r="V563" s="1880"/>
      <c r="W563" s="1890">
        <v>37.5</v>
      </c>
      <c r="X563" s="1890"/>
      <c r="Y563" s="1735"/>
      <c r="Z563" s="1735"/>
      <c r="AA563" s="1890"/>
      <c r="AB563" s="1890"/>
      <c r="AC563" s="1735"/>
      <c r="AD563" s="1735"/>
      <c r="AE563" s="1850"/>
      <c r="AF563" s="1851"/>
      <c r="AN563" s="281"/>
      <c r="CL563"/>
      <c r="CM563"/>
    </row>
    <row r="564" spans="1:96" s="4" customFormat="1" ht="12.75" customHeight="1">
      <c r="B564" s="120"/>
      <c r="C564" s="61"/>
      <c r="I564" s="1556"/>
      <c r="J564" s="1557"/>
      <c r="K564" s="1557"/>
      <c r="L564" s="1557"/>
      <c r="M564" s="1557"/>
      <c r="N564" s="1558"/>
      <c r="O564" s="1690">
        <v>0.45</v>
      </c>
      <c r="P564" s="1691"/>
      <c r="Q564" s="1856"/>
      <c r="R564" s="1683"/>
      <c r="S564" s="1683"/>
      <c r="T564" s="1683"/>
      <c r="U564" s="1654" t="s">
        <v>140</v>
      </c>
      <c r="V564" s="1654"/>
      <c r="W564" s="1655">
        <v>33.799999999999997</v>
      </c>
      <c r="X564" s="1655"/>
      <c r="Y564" s="1655"/>
      <c r="Z564" s="1655"/>
      <c r="AA564" s="1683"/>
      <c r="AB564" s="1683"/>
      <c r="AC564" s="1655"/>
      <c r="AD564" s="1655"/>
      <c r="AE564" s="1736"/>
      <c r="AF564" s="1737"/>
      <c r="AN564" s="281"/>
      <c r="CL564"/>
      <c r="CM564"/>
    </row>
    <row r="565" spans="1:96" s="4" customFormat="1" ht="12.75" customHeight="1">
      <c r="B565" s="5"/>
      <c r="C565" s="5"/>
      <c r="D565" s="5"/>
      <c r="E565" s="5"/>
      <c r="I565" s="1556"/>
      <c r="J565" s="1557"/>
      <c r="K565" s="1557"/>
      <c r="L565" s="1557"/>
      <c r="M565" s="1557"/>
      <c r="N565" s="1558"/>
      <c r="O565" s="1690">
        <v>0.4</v>
      </c>
      <c r="P565" s="1691"/>
      <c r="Q565" s="1856"/>
      <c r="R565" s="1683"/>
      <c r="S565" s="1654" t="s">
        <v>1571</v>
      </c>
      <c r="T565" s="1654"/>
      <c r="U565" s="1655">
        <v>20</v>
      </c>
      <c r="V565" s="1655"/>
      <c r="W565" s="1655">
        <v>30</v>
      </c>
      <c r="X565" s="1655"/>
      <c r="Y565" s="1655"/>
      <c r="Z565" s="1655"/>
      <c r="AA565" s="1655"/>
      <c r="AB565" s="1655"/>
      <c r="AC565" s="1655"/>
      <c r="AD565" s="1655"/>
      <c r="AE565" s="1736"/>
      <c r="AF565" s="1737"/>
      <c r="AN565" s="281"/>
      <c r="AP565" s="1729" t="s">
        <v>219</v>
      </c>
      <c r="AQ565" s="1730"/>
      <c r="AR565" s="1730"/>
      <c r="AS565" s="1730"/>
      <c r="AT565" s="1730"/>
      <c r="AU565" s="1730"/>
      <c r="AV565" s="1730"/>
      <c r="AW565" s="1730"/>
      <c r="AX565" s="1730"/>
      <c r="AY565" s="1730"/>
      <c r="AZ565" s="1730"/>
      <c r="BA565" s="1730"/>
      <c r="BB565" s="1730"/>
      <c r="BC565" s="1730"/>
      <c r="BD565" s="1730"/>
      <c r="BE565" s="1730"/>
      <c r="BF565" s="1730"/>
      <c r="BG565" s="1730"/>
      <c r="BH565" s="1730"/>
      <c r="BI565" s="1730"/>
      <c r="BJ565" s="1731"/>
      <c r="BK565" s="1834">
        <f>BF562</f>
        <v>60</v>
      </c>
      <c r="BL565" s="1835"/>
      <c r="BM565" s="1835"/>
      <c r="BN565" s="1835"/>
      <c r="BO565" s="183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6"/>
      <c r="J566" s="1557"/>
      <c r="K566" s="1557"/>
      <c r="L566" s="1557"/>
      <c r="M566" s="1557"/>
      <c r="N566" s="1558"/>
      <c r="O566" s="1690">
        <v>0.35</v>
      </c>
      <c r="P566" s="1691"/>
      <c r="Q566" s="1856"/>
      <c r="R566" s="1683"/>
      <c r="S566" s="1654" t="s">
        <v>1841</v>
      </c>
      <c r="T566" s="1654"/>
      <c r="U566" s="1655">
        <v>17.5</v>
      </c>
      <c r="V566" s="1655"/>
      <c r="W566" s="1655">
        <v>26.3</v>
      </c>
      <c r="X566" s="1655"/>
      <c r="Y566" s="1655">
        <v>35</v>
      </c>
      <c r="Z566" s="1655"/>
      <c r="AA566" s="1655"/>
      <c r="AB566" s="1655"/>
      <c r="AC566" s="1655">
        <v>50</v>
      </c>
      <c r="AD566" s="1655"/>
      <c r="AE566" s="1736"/>
      <c r="AF566" s="1737"/>
      <c r="AN566" s="281"/>
      <c r="AP566" s="1732"/>
      <c r="AQ566" s="1733"/>
      <c r="AR566" s="1733"/>
      <c r="AS566" s="1733"/>
      <c r="AT566" s="1733"/>
      <c r="AU566" s="1733"/>
      <c r="AV566" s="1733"/>
      <c r="AW566" s="1733"/>
      <c r="AX566" s="1733"/>
      <c r="AY566" s="1733"/>
      <c r="AZ566" s="1733"/>
      <c r="BA566" s="1733"/>
      <c r="BB566" s="1733"/>
      <c r="BC566" s="1733"/>
      <c r="BD566" s="1733"/>
      <c r="BE566" s="1733"/>
      <c r="BF566" s="1733"/>
      <c r="BG566" s="1733"/>
      <c r="BH566" s="1733"/>
      <c r="BI566" s="1733"/>
      <c r="BJ566" s="1734"/>
      <c r="BK566" s="1837"/>
      <c r="BL566" s="1838"/>
      <c r="BM566" s="1838"/>
      <c r="BN566" s="1838"/>
      <c r="BO566" s="183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6"/>
      <c r="J567" s="1557"/>
      <c r="K567" s="1557"/>
      <c r="L567" s="1557"/>
      <c r="M567" s="1557"/>
      <c r="N567" s="1558"/>
      <c r="O567" s="1690">
        <v>0.3</v>
      </c>
      <c r="P567" s="1691"/>
      <c r="Q567" s="1856"/>
      <c r="R567" s="1683"/>
      <c r="S567" s="1654" t="s">
        <v>1842</v>
      </c>
      <c r="T567" s="1654"/>
      <c r="U567" s="1655">
        <v>15</v>
      </c>
      <c r="V567" s="1655"/>
      <c r="W567" s="1655">
        <v>22.5</v>
      </c>
      <c r="X567" s="1655"/>
      <c r="Y567" s="1655">
        <v>30</v>
      </c>
      <c r="Z567" s="1655"/>
      <c r="AA567" s="1655">
        <v>37.5</v>
      </c>
      <c r="AB567" s="1655"/>
      <c r="AC567" s="1655">
        <v>45</v>
      </c>
      <c r="AD567" s="1655"/>
      <c r="AE567" s="1736"/>
      <c r="AF567" s="1737"/>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6"/>
      <c r="J568" s="1557"/>
      <c r="K568" s="1557"/>
      <c r="L568" s="1557"/>
      <c r="M568" s="1557"/>
      <c r="N568" s="1558"/>
      <c r="O568" s="1690">
        <v>0.25</v>
      </c>
      <c r="P568" s="1691"/>
      <c r="Q568" s="1856"/>
      <c r="R568" s="1683"/>
      <c r="S568" s="1654" t="s">
        <v>1843</v>
      </c>
      <c r="T568" s="1654"/>
      <c r="U568" s="1655">
        <v>12.5</v>
      </c>
      <c r="V568" s="1655"/>
      <c r="W568" s="1655">
        <v>18.8</v>
      </c>
      <c r="X568" s="1655"/>
      <c r="Y568" s="1655">
        <v>25</v>
      </c>
      <c r="Z568" s="1655"/>
      <c r="AA568" s="1655">
        <v>31.3</v>
      </c>
      <c r="AB568" s="1655"/>
      <c r="AC568" s="1655">
        <v>37.5</v>
      </c>
      <c r="AD568" s="1655"/>
      <c r="AE568" s="1736">
        <v>50</v>
      </c>
      <c r="AF568" s="1737"/>
      <c r="AN568" s="281"/>
      <c r="AP568" s="1830" t="str">
        <f t="shared" ref="AP568:AP574" si="0">J604</f>
        <v>5 BR</v>
      </c>
      <c r="AQ568" s="1831"/>
      <c r="AR568" s="1831"/>
      <c r="AS568" s="1831"/>
      <c r="AT568" s="1832"/>
      <c r="AU568" s="1069">
        <f t="shared" ref="AU568:AU573" si="1">O604</f>
        <v>0</v>
      </c>
      <c r="AV568" s="1070"/>
      <c r="AW568" s="1070"/>
      <c r="AX568" s="1070"/>
      <c r="AY568" s="1071"/>
      <c r="AZ568" s="1069">
        <f t="shared" ref="AZ568:AZ573" si="2">T604</f>
        <v>0</v>
      </c>
      <c r="BA568" s="1070"/>
      <c r="BB568" s="1070"/>
      <c r="BC568" s="1070"/>
      <c r="BD568" s="1071"/>
      <c r="BE568" s="1451">
        <f t="shared" ref="BE568:BE573" si="3">Y604</f>
        <v>0</v>
      </c>
      <c r="BF568" s="1452"/>
      <c r="BG568" s="1452"/>
      <c r="BH568" s="1452"/>
      <c r="BI568" s="1453"/>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6"/>
      <c r="J569" s="1557"/>
      <c r="K569" s="1557"/>
      <c r="L569" s="1557"/>
      <c r="M569" s="1557"/>
      <c r="N569" s="1558"/>
      <c r="O569" s="1690">
        <v>0.2</v>
      </c>
      <c r="P569" s="1691"/>
      <c r="Q569" s="1856"/>
      <c r="R569" s="1683"/>
      <c r="S569" s="1887" t="s">
        <v>1846</v>
      </c>
      <c r="T569" s="1887"/>
      <c r="U569" s="1655">
        <v>10</v>
      </c>
      <c r="V569" s="1655"/>
      <c r="W569" s="1655">
        <v>15</v>
      </c>
      <c r="X569" s="1655"/>
      <c r="Y569" s="1655">
        <v>20</v>
      </c>
      <c r="Z569" s="1655"/>
      <c r="AA569" s="1655">
        <v>25</v>
      </c>
      <c r="AB569" s="1655"/>
      <c r="AC569" s="1655">
        <v>30</v>
      </c>
      <c r="AD569" s="1655"/>
      <c r="AE569" s="1736">
        <v>40</v>
      </c>
      <c r="AF569" s="1737"/>
      <c r="AN569" s="281"/>
      <c r="AP569" s="1830" t="str">
        <f t="shared" si="0"/>
        <v>4 BR</v>
      </c>
      <c r="AQ569" s="1831"/>
      <c r="AR569" s="1831"/>
      <c r="AS569" s="1831"/>
      <c r="AT569" s="1832"/>
      <c r="AU569" s="1069">
        <f t="shared" si="1"/>
        <v>0</v>
      </c>
      <c r="AV569" s="1070"/>
      <c r="AW569" s="1070"/>
      <c r="AX569" s="1070"/>
      <c r="AY569" s="1071"/>
      <c r="AZ569" s="1069">
        <f t="shared" si="2"/>
        <v>0</v>
      </c>
      <c r="BA569" s="1070"/>
      <c r="BB569" s="1070"/>
      <c r="BC569" s="1070"/>
      <c r="BD569" s="1071"/>
      <c r="BE569" s="1451">
        <f t="shared" si="3"/>
        <v>0</v>
      </c>
      <c r="BF569" s="1452"/>
      <c r="BG569" s="1452"/>
      <c r="BH569" s="1452"/>
      <c r="BI569" s="1453"/>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6"/>
      <c r="J570" s="1557"/>
      <c r="K570" s="1557"/>
      <c r="L570" s="1557"/>
      <c r="M570" s="1557"/>
      <c r="N570" s="1558"/>
      <c r="O570" s="1690">
        <v>0.15</v>
      </c>
      <c r="P570" s="1691"/>
      <c r="Q570" s="1856"/>
      <c r="R570" s="1683"/>
      <c r="S570" s="1654" t="s">
        <v>1844</v>
      </c>
      <c r="T570" s="1654"/>
      <c r="U570" s="1655">
        <v>7.5</v>
      </c>
      <c r="V570" s="1655"/>
      <c r="W570" s="1655">
        <v>11.3</v>
      </c>
      <c r="X570" s="1655"/>
      <c r="Y570" s="1655">
        <v>15</v>
      </c>
      <c r="Z570" s="1655"/>
      <c r="AA570" s="1655">
        <v>18.8</v>
      </c>
      <c r="AB570" s="1655"/>
      <c r="AC570" s="1655">
        <v>22.5</v>
      </c>
      <c r="AD570" s="1655"/>
      <c r="AE570" s="1736">
        <v>30</v>
      </c>
      <c r="AF570" s="1737"/>
      <c r="AN570" s="281"/>
      <c r="AP570" s="1830" t="str">
        <f t="shared" si="0"/>
        <v>3 BR</v>
      </c>
      <c r="AQ570" s="1831"/>
      <c r="AR570" s="1831"/>
      <c r="AS570" s="1831"/>
      <c r="AT570" s="1832"/>
      <c r="AU570" s="1069">
        <f t="shared" si="1"/>
        <v>20</v>
      </c>
      <c r="AV570" s="1070"/>
      <c r="AW570" s="1070"/>
      <c r="AX570" s="1070"/>
      <c r="AY570" s="1071"/>
      <c r="AZ570" s="1069">
        <f t="shared" si="2"/>
        <v>2</v>
      </c>
      <c r="BA570" s="1070"/>
      <c r="BB570" s="1070"/>
      <c r="BC570" s="1070"/>
      <c r="BD570" s="1071"/>
      <c r="BE570" s="1451">
        <f t="shared" si="3"/>
        <v>0.1</v>
      </c>
      <c r="BF570" s="1452"/>
      <c r="BG570" s="1452"/>
      <c r="BH570" s="1452"/>
      <c r="BI570" s="1453"/>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9"/>
      <c r="J571" s="1560"/>
      <c r="K571" s="1560"/>
      <c r="L571" s="1560"/>
      <c r="M571" s="1560"/>
      <c r="N571" s="1561"/>
      <c r="O571" s="1690">
        <v>0.1</v>
      </c>
      <c r="P571" s="1691"/>
      <c r="Q571" s="1885"/>
      <c r="R571" s="1886"/>
      <c r="S571" s="1654" t="s">
        <v>1845</v>
      </c>
      <c r="T571" s="1654"/>
      <c r="U571" s="1728">
        <v>5</v>
      </c>
      <c r="V571" s="1728"/>
      <c r="W571" s="1728">
        <v>7.5</v>
      </c>
      <c r="X571" s="1728"/>
      <c r="Y571" s="1728">
        <v>10</v>
      </c>
      <c r="Z571" s="1728"/>
      <c r="AA571" s="1728">
        <v>12.5</v>
      </c>
      <c r="AB571" s="1728"/>
      <c r="AC571" s="1728">
        <v>15</v>
      </c>
      <c r="AD571" s="1728"/>
      <c r="AE571" s="1672">
        <v>20</v>
      </c>
      <c r="AF571" s="1673"/>
      <c r="AK571" s="167"/>
      <c r="AL571" s="167"/>
      <c r="AM571" s="5"/>
      <c r="AN571" s="281"/>
      <c r="AP571" s="1830" t="str">
        <f t="shared" si="0"/>
        <v>2 BR</v>
      </c>
      <c r="AQ571" s="1831"/>
      <c r="AR571" s="1831"/>
      <c r="AS571" s="1831"/>
      <c r="AT571" s="1832"/>
      <c r="AU571" s="1069">
        <f t="shared" si="1"/>
        <v>40</v>
      </c>
      <c r="AV571" s="1070"/>
      <c r="AW571" s="1070"/>
      <c r="AX571" s="1070"/>
      <c r="AY571" s="1071"/>
      <c r="AZ571" s="1069">
        <f t="shared" si="2"/>
        <v>4</v>
      </c>
      <c r="BA571" s="1070"/>
      <c r="BB571" s="1070"/>
      <c r="BC571" s="1070"/>
      <c r="BD571" s="1071"/>
      <c r="BE571" s="1451">
        <f t="shared" si="3"/>
        <v>0.1</v>
      </c>
      <c r="BF571" s="1452"/>
      <c r="BG571" s="1452"/>
      <c r="BH571" s="1452"/>
      <c r="BI571" s="1453"/>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51" t="s">
        <v>983</v>
      </c>
      <c r="F572" s="1137"/>
      <c r="G572" s="1137"/>
      <c r="H572" s="1137"/>
      <c r="I572" s="1137"/>
      <c r="J572" s="1137"/>
      <c r="K572" s="1137"/>
      <c r="L572" s="1137"/>
      <c r="M572" s="1137"/>
      <c r="N572" s="1137"/>
      <c r="O572" s="1137"/>
      <c r="P572" s="1137"/>
      <c r="Q572" s="1137"/>
      <c r="R572" s="1137"/>
      <c r="S572" s="1137"/>
      <c r="T572" s="1137"/>
      <c r="U572" s="1137"/>
      <c r="V572" s="1137"/>
      <c r="W572" s="1137"/>
      <c r="X572" s="1137"/>
      <c r="Y572" s="1137"/>
      <c r="Z572" s="1137"/>
      <c r="AA572" s="1137"/>
      <c r="AB572" s="1137"/>
      <c r="AC572" s="1137"/>
      <c r="AD572" s="1137"/>
      <c r="AE572" s="1137"/>
      <c r="AF572" s="1137"/>
      <c r="AG572" s="1137"/>
      <c r="AH572" s="1138"/>
      <c r="AK572" s="167"/>
      <c r="AL572" s="167"/>
      <c r="AM572" s="5"/>
      <c r="AN572" s="281"/>
      <c r="AP572" s="1830" t="str">
        <f t="shared" si="0"/>
        <v>1 BR</v>
      </c>
      <c r="AQ572" s="1831"/>
      <c r="AR572" s="1831"/>
      <c r="AS572" s="1831"/>
      <c r="AT572" s="1832"/>
      <c r="AU572" s="1069">
        <f t="shared" si="1"/>
        <v>0</v>
      </c>
      <c r="AV572" s="1070"/>
      <c r="AW572" s="1070"/>
      <c r="AX572" s="1070"/>
      <c r="AY572" s="1071"/>
      <c r="AZ572" s="1069">
        <f t="shared" si="2"/>
        <v>0</v>
      </c>
      <c r="BA572" s="1070"/>
      <c r="BB572" s="1070"/>
      <c r="BC572" s="1070"/>
      <c r="BD572" s="1071"/>
      <c r="BE572" s="1451">
        <f t="shared" si="3"/>
        <v>0</v>
      </c>
      <c r="BF572" s="1452"/>
      <c r="BG572" s="1452"/>
      <c r="BH572" s="1452"/>
      <c r="BI572" s="1453"/>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7"/>
      <c r="F573" s="1154"/>
      <c r="G573" s="1154"/>
      <c r="H573" s="1154"/>
      <c r="I573" s="1154"/>
      <c r="J573" s="1154"/>
      <c r="K573" s="1154"/>
      <c r="L573" s="1154"/>
      <c r="M573" s="1154"/>
      <c r="N573" s="1154"/>
      <c r="O573" s="1154"/>
      <c r="P573" s="1154"/>
      <c r="Q573" s="1154"/>
      <c r="R573" s="1154"/>
      <c r="S573" s="1154"/>
      <c r="T573" s="1154"/>
      <c r="U573" s="1154"/>
      <c r="V573" s="1154"/>
      <c r="W573" s="1154"/>
      <c r="X573" s="1154"/>
      <c r="Y573" s="1154"/>
      <c r="Z573" s="1154"/>
      <c r="AA573" s="1154"/>
      <c r="AB573" s="1154"/>
      <c r="AC573" s="1154"/>
      <c r="AD573" s="1154"/>
      <c r="AE573" s="1154"/>
      <c r="AF573" s="1154"/>
      <c r="AG573" s="1154"/>
      <c r="AH573" s="1748"/>
      <c r="AN573" s="281"/>
      <c r="AP573" s="1830" t="str">
        <f t="shared" si="0"/>
        <v>SRO</v>
      </c>
      <c r="AQ573" s="1831"/>
      <c r="AR573" s="1831"/>
      <c r="AS573" s="1831"/>
      <c r="AT573" s="1832"/>
      <c r="AU573" s="1069">
        <f t="shared" si="1"/>
        <v>0</v>
      </c>
      <c r="AV573" s="1070"/>
      <c r="AW573" s="1070"/>
      <c r="AX573" s="1070"/>
      <c r="AY573" s="1071"/>
      <c r="AZ573" s="1069">
        <f t="shared" si="2"/>
        <v>0</v>
      </c>
      <c r="BA573" s="1070"/>
      <c r="BB573" s="1070"/>
      <c r="BC573" s="1070"/>
      <c r="BD573" s="1071"/>
      <c r="BE573" s="1451">
        <f t="shared" si="3"/>
        <v>0</v>
      </c>
      <c r="BF573" s="1452"/>
      <c r="BG573" s="1452"/>
      <c r="BH573" s="1452"/>
      <c r="BI573" s="1453"/>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62" t="s">
        <v>1578</v>
      </c>
      <c r="F574" s="1663"/>
      <c r="G574" s="1663"/>
      <c r="H574" s="1663"/>
      <c r="I574" s="1663"/>
      <c r="J574" s="1664"/>
      <c r="K574" s="1662" t="s">
        <v>1837</v>
      </c>
      <c r="L574" s="1663"/>
      <c r="M574" s="1663"/>
      <c r="N574" s="1663"/>
      <c r="O574" s="1663"/>
      <c r="P574" s="1664"/>
      <c r="Q574" s="1553" t="s">
        <v>1574</v>
      </c>
      <c r="R574" s="1554"/>
      <c r="S574" s="1554"/>
      <c r="T574" s="1554"/>
      <c r="U574" s="1554"/>
      <c r="V574" s="1555"/>
      <c r="W574" s="1553" t="str">
        <f>I563</f>
        <v>Percent of Low-Income Units (exclusive of manager’s units)</v>
      </c>
      <c r="X574" s="1554"/>
      <c r="Y574" s="1554"/>
      <c r="Z574" s="1554"/>
      <c r="AA574" s="1554"/>
      <c r="AB574" s="1555"/>
      <c r="AC574" s="1553" t="s">
        <v>1577</v>
      </c>
      <c r="AD574" s="1554"/>
      <c r="AE574" s="1554"/>
      <c r="AF574" s="1554"/>
      <c r="AG574" s="1554"/>
      <c r="AH574" s="1555"/>
      <c r="AN574" s="281"/>
      <c r="AP574" s="1830" t="str">
        <f t="shared" si="0"/>
        <v>Total:</v>
      </c>
      <c r="AQ574" s="1831"/>
      <c r="AR574" s="1831"/>
      <c r="AS574" s="1831"/>
      <c r="AT574" s="1832"/>
      <c r="AU574" s="1830"/>
      <c r="AV574" s="1831"/>
      <c r="AW574" s="1831"/>
      <c r="AX574" s="1831"/>
      <c r="AY574" s="1832"/>
      <c r="AZ574" s="1830"/>
      <c r="BA574" s="1831"/>
      <c r="BB574" s="1831"/>
      <c r="BC574" s="1831"/>
      <c r="BD574" s="1832"/>
      <c r="BE574" s="1830"/>
      <c r="BF574" s="1831"/>
      <c r="BG574" s="1831"/>
      <c r="BH574" s="1831"/>
      <c r="BI574" s="1832"/>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5"/>
      <c r="F575" s="1666"/>
      <c r="G575" s="1666"/>
      <c r="H575" s="1666"/>
      <c r="I575" s="1666"/>
      <c r="J575" s="1667"/>
      <c r="K575" s="1665"/>
      <c r="L575" s="1666"/>
      <c r="M575" s="1666"/>
      <c r="N575" s="1666"/>
      <c r="O575" s="1666"/>
      <c r="P575" s="1667"/>
      <c r="Q575" s="1556"/>
      <c r="R575" s="1557"/>
      <c r="S575" s="1557"/>
      <c r="T575" s="1557"/>
      <c r="U575" s="1557"/>
      <c r="V575" s="1558"/>
      <c r="W575" s="1556"/>
      <c r="X575" s="1557"/>
      <c r="Y575" s="1557"/>
      <c r="Z575" s="1557"/>
      <c r="AA575" s="1557"/>
      <c r="AB575" s="1558"/>
      <c r="AC575" s="1556"/>
      <c r="AD575" s="1557"/>
      <c r="AE575" s="1557"/>
      <c r="AF575" s="1557"/>
      <c r="AG575" s="1557"/>
      <c r="AH575" s="1558"/>
      <c r="AN575" s="281"/>
    </row>
    <row r="576" spans="1:96" s="4" customFormat="1" ht="12.75" customHeight="1">
      <c r="E576" s="1665"/>
      <c r="F576" s="1666"/>
      <c r="G576" s="1666"/>
      <c r="H576" s="1666"/>
      <c r="I576" s="1666"/>
      <c r="J576" s="1667"/>
      <c r="K576" s="1665"/>
      <c r="L576" s="1666"/>
      <c r="M576" s="1666"/>
      <c r="N576" s="1666"/>
      <c r="O576" s="1666"/>
      <c r="P576" s="1667"/>
      <c r="Q576" s="1556"/>
      <c r="R576" s="1557"/>
      <c r="S576" s="1557"/>
      <c r="T576" s="1557"/>
      <c r="U576" s="1557"/>
      <c r="V576" s="1558"/>
      <c r="W576" s="1556"/>
      <c r="X576" s="1557"/>
      <c r="Y576" s="1557"/>
      <c r="Z576" s="1557"/>
      <c r="AA576" s="1557"/>
      <c r="AB576" s="1558"/>
      <c r="AC576" s="1556"/>
      <c r="AD576" s="1557"/>
      <c r="AE576" s="1557"/>
      <c r="AF576" s="1557"/>
      <c r="AG576" s="1557"/>
      <c r="AH576" s="1558"/>
      <c r="AN576" s="281"/>
    </row>
    <row r="577" spans="2:69" s="4" customFormat="1" ht="12.75" customHeight="1">
      <c r="E577" s="1665"/>
      <c r="F577" s="1666"/>
      <c r="G577" s="1666"/>
      <c r="H577" s="1666"/>
      <c r="I577" s="1666"/>
      <c r="J577" s="1667"/>
      <c r="K577" s="1665"/>
      <c r="L577" s="1666"/>
      <c r="M577" s="1666"/>
      <c r="N577" s="1666"/>
      <c r="O577" s="1666"/>
      <c r="P577" s="1667"/>
      <c r="Q577" s="1556"/>
      <c r="R577" s="1557"/>
      <c r="S577" s="1557"/>
      <c r="T577" s="1557"/>
      <c r="U577" s="1557"/>
      <c r="V577" s="1558"/>
      <c r="W577" s="1556"/>
      <c r="X577" s="1557"/>
      <c r="Y577" s="1557"/>
      <c r="Z577" s="1557"/>
      <c r="AA577" s="1557"/>
      <c r="AB577" s="1558"/>
      <c r="AC577" s="1556"/>
      <c r="AD577" s="1557"/>
      <c r="AE577" s="1557"/>
      <c r="AF577" s="1557"/>
      <c r="AG577" s="1557"/>
      <c r="AH577" s="1558"/>
      <c r="AN577" s="281"/>
      <c r="AP577" s="3" t="s">
        <v>1174</v>
      </c>
      <c r="BH577" s="3" t="s">
        <v>1175</v>
      </c>
    </row>
    <row r="578" spans="2:69" s="4" customFormat="1" ht="12.75" customHeight="1">
      <c r="E578" s="1656"/>
      <c r="F578" s="1657"/>
      <c r="G578" s="1657"/>
      <c r="H578" s="1657"/>
      <c r="I578" s="1657"/>
      <c r="J578" s="1658"/>
      <c r="K578" s="1659">
        <v>20</v>
      </c>
      <c r="L578" s="1660"/>
      <c r="M578" s="1660"/>
      <c r="N578" s="1660"/>
      <c r="O578" s="1660"/>
      <c r="P578" s="1661"/>
      <c r="Q578" s="1725">
        <f>IF(ISERROR(IF((((E578/$BJ$525)*100)&gt;100),"EXCESSIVE VALUE",(E578/$BJ$525)*100)),0,IF((((E578/$BJ$525)*100)&gt;100),"EXCESSIVE VALUE",(E578/$BJ$525)*100))</f>
        <v>0</v>
      </c>
      <c r="R578" s="1726"/>
      <c r="S578" s="1726"/>
      <c r="T578" s="1726"/>
      <c r="U578" s="1726"/>
      <c r="V578" s="1727"/>
      <c r="W578" s="1668">
        <f>IF(FLOOR(Q578,5)&gt;80,80,FLOOR(Q578,5))</f>
        <v>0</v>
      </c>
      <c r="X578" s="1669"/>
      <c r="Y578" s="1669"/>
      <c r="Z578" s="1669"/>
      <c r="AA578" s="1669"/>
      <c r="AB578" s="1670"/>
      <c r="AC578" s="1668">
        <f t="shared" ref="AC578:AC583" si="4">IFERROR(IF(W578&gt;0,INDEX($BI$504:$BP$518,MATCH(W578,$BH$504:$BH$518,0),MATCH(K578,$BI$503:$BP$503,0)),0),0)</f>
        <v>0</v>
      </c>
      <c r="AD578" s="1669"/>
      <c r="AE578" s="1669"/>
      <c r="AF578" s="1669"/>
      <c r="AG578" s="1669"/>
      <c r="AH578" s="1670"/>
      <c r="AN578" s="281"/>
      <c r="AO578" s="4">
        <v>5</v>
      </c>
      <c r="AP578" s="1659">
        <f t="shared" ref="AP578:AP583" si="5">IF(OR(BE568&gt;=0.1,BE568=0),0,1)</f>
        <v>0</v>
      </c>
      <c r="AQ578" s="1660"/>
      <c r="AR578" s="1660"/>
      <c r="AS578" s="1660"/>
      <c r="AT578" s="1661"/>
      <c r="AX578" s="1709" t="s">
        <v>832</v>
      </c>
      <c r="AY578" s="1711"/>
      <c r="AZ578" s="1711"/>
      <c r="BA578" s="1711"/>
      <c r="BB578" s="1711"/>
      <c r="BC578" s="1711"/>
      <c r="BD578" s="1711"/>
      <c r="BE578" s="1711"/>
      <c r="BF578" s="1711"/>
      <c r="BG578" s="1711"/>
      <c r="BH578" s="1711"/>
      <c r="BI578" s="1711"/>
      <c r="BJ578" s="1711"/>
      <c r="BK578" s="1711"/>
      <c r="BL578" s="1711"/>
      <c r="BM578" s="1711"/>
      <c r="BN578" s="1711"/>
      <c r="BO578" s="1711"/>
      <c r="BP578" s="1711"/>
      <c r="BQ578" s="1710"/>
    </row>
    <row r="579" spans="2:69" s="4" customFormat="1" ht="12.75" customHeight="1">
      <c r="E579" s="1656">
        <v>6</v>
      </c>
      <c r="F579" s="1657"/>
      <c r="G579" s="1657"/>
      <c r="H579" s="1657"/>
      <c r="I579" s="1657"/>
      <c r="J579" s="1658"/>
      <c r="K579" s="1659">
        <v>30</v>
      </c>
      <c r="L579" s="1660"/>
      <c r="M579" s="1660"/>
      <c r="N579" s="1660"/>
      <c r="O579" s="1660"/>
      <c r="P579" s="1661"/>
      <c r="Q579" s="1725">
        <f>IF(ISERROR(IF((((E579/$BJ$525)*100)&gt;100),"EXCESSIVE VALUE",(E579/$BJ$525)*100)),0,IF((((E579/$BJ$525)*100)&gt;100),"EXCESSIVE VALUE",(E579/$BJ$525)*100))</f>
        <v>10</v>
      </c>
      <c r="R579" s="1726"/>
      <c r="S579" s="1726"/>
      <c r="T579" s="1726"/>
      <c r="U579" s="1726"/>
      <c r="V579" s="1727"/>
      <c r="W579" s="1668">
        <f>IF(FLOOR(Q579,5)&gt;80,80,FLOOR(Q579,5))</f>
        <v>10</v>
      </c>
      <c r="X579" s="1669"/>
      <c r="Y579" s="1669"/>
      <c r="Z579" s="1669"/>
      <c r="AA579" s="1669"/>
      <c r="AB579" s="1670"/>
      <c r="AC579" s="1668">
        <f t="shared" si="4"/>
        <v>15</v>
      </c>
      <c r="AD579" s="1669"/>
      <c r="AE579" s="1669"/>
      <c r="AF579" s="1669"/>
      <c r="AG579" s="1669"/>
      <c r="AH579" s="1670"/>
      <c r="AN579" s="281"/>
      <c r="AO579" s="4">
        <v>4</v>
      </c>
      <c r="AP579" s="1659">
        <f t="shared" si="5"/>
        <v>0</v>
      </c>
      <c r="AQ579" s="1660"/>
      <c r="AR579" s="1660"/>
      <c r="AS579" s="1660"/>
      <c r="AT579" s="1661"/>
      <c r="AX579" s="1775" t="s">
        <v>652</v>
      </c>
      <c r="AY579" s="1776"/>
      <c r="AZ579" s="1262" t="s">
        <v>652</v>
      </c>
      <c r="BA579" s="1264"/>
      <c r="BB579" s="1775" t="s">
        <v>280</v>
      </c>
      <c r="BC579" s="1776"/>
      <c r="BD579" s="1706" t="s">
        <v>280</v>
      </c>
      <c r="BE579" s="1708"/>
      <c r="BF579" s="1775" t="s">
        <v>279</v>
      </c>
      <c r="BG579" s="1776"/>
      <c r="BH579" s="1706" t="s">
        <v>279</v>
      </c>
      <c r="BI579" s="1708"/>
      <c r="BJ579" s="1775" t="s">
        <v>278</v>
      </c>
      <c r="BK579" s="1776"/>
      <c r="BL579" s="1706" t="s">
        <v>278</v>
      </c>
      <c r="BM579" s="1708"/>
      <c r="BN579" s="1775" t="s">
        <v>651</v>
      </c>
      <c r="BO579" s="1776"/>
      <c r="BP579" s="1706" t="s">
        <v>651</v>
      </c>
      <c r="BQ579" s="1708"/>
    </row>
    <row r="580" spans="2:69" s="4" customFormat="1" ht="12.75" customHeight="1">
      <c r="E580" s="1656"/>
      <c r="F580" s="1657"/>
      <c r="G580" s="1657"/>
      <c r="H580" s="1657"/>
      <c r="I580" s="1657"/>
      <c r="J580" s="1658"/>
      <c r="K580" s="1659">
        <v>35</v>
      </c>
      <c r="L580" s="1660"/>
      <c r="M580" s="1660"/>
      <c r="N580" s="1660"/>
      <c r="O580" s="1660"/>
      <c r="P580" s="1661"/>
      <c r="Q580" s="1725">
        <f>IF(ISERROR(IF((((E580/$BJ$525)*100)&gt;100),"EXCESSIVE VALUE",(E580/$BJ$525)*100)),0,IF((((E580/$BJ$525)*100)&gt;100),"EXCESSIVE VALUE",(E580/$BJ$525)*100))</f>
        <v>0</v>
      </c>
      <c r="R580" s="1726"/>
      <c r="S580" s="1726"/>
      <c r="T580" s="1726"/>
      <c r="U580" s="1726"/>
      <c r="V580" s="1727"/>
      <c r="W580" s="1668">
        <f t="shared" ref="W580:W586" si="6">IF(FLOOR(Q580,5)&gt;80,80,FLOOR(Q580,5))</f>
        <v>0</v>
      </c>
      <c r="X580" s="1669"/>
      <c r="Y580" s="1669"/>
      <c r="Z580" s="1669"/>
      <c r="AA580" s="1669"/>
      <c r="AB580" s="1670"/>
      <c r="AC580" s="1668">
        <f t="shared" si="4"/>
        <v>0</v>
      </c>
      <c r="AD580" s="1669"/>
      <c r="AE580" s="1669"/>
      <c r="AF580" s="1669"/>
      <c r="AG580" s="1669"/>
      <c r="AH580" s="1670"/>
      <c r="AN580" s="281"/>
      <c r="AO580" s="4">
        <v>3</v>
      </c>
      <c r="AP580" s="1659">
        <f t="shared" si="5"/>
        <v>0</v>
      </c>
      <c r="AQ580" s="1660"/>
      <c r="AR580" s="1660"/>
      <c r="AS580" s="1660"/>
      <c r="AT580" s="1661"/>
      <c r="AX580" s="1775">
        <f>IF(AP530=1,1,0)</f>
        <v>0</v>
      </c>
      <c r="AY580" s="1776"/>
      <c r="AZ580" s="1709"/>
      <c r="BA580" s="1710"/>
      <c r="BB580" s="1828"/>
      <c r="BC580" s="1829"/>
      <c r="BD580" s="1706">
        <f>IF(AND(T605&gt;0,AP530&gt;0),1,0)</f>
        <v>0</v>
      </c>
      <c r="BE580" s="1708"/>
      <c r="BF580" s="1828"/>
      <c r="BG580" s="1829"/>
      <c r="BH580" s="1706">
        <f>IF(AND(T605&gt;0,AP530&gt;0),1,0)</f>
        <v>0</v>
      </c>
      <c r="BI580" s="1708"/>
      <c r="BJ580" s="1828"/>
      <c r="BK580" s="1829"/>
      <c r="BL580" s="1706">
        <f>IF(AND(T605&gt;0,AP530&gt;0),1,0)</f>
        <v>0</v>
      </c>
      <c r="BM580" s="1708"/>
      <c r="BN580" s="1828"/>
      <c r="BO580" s="1829"/>
      <c r="BP580" s="1706">
        <f>IF(AND(T605&gt;0,AP530&gt;0),1,0)</f>
        <v>0</v>
      </c>
      <c r="BQ580" s="1708"/>
    </row>
    <row r="581" spans="2:69" s="4" customFormat="1" ht="12.75" customHeight="1">
      <c r="E581" s="1656">
        <v>9</v>
      </c>
      <c r="F581" s="1657"/>
      <c r="G581" s="1657"/>
      <c r="H581" s="1657"/>
      <c r="I581" s="1657"/>
      <c r="J581" s="1658"/>
      <c r="K581" s="1659">
        <v>40</v>
      </c>
      <c r="L581" s="1660"/>
      <c r="M581" s="1660"/>
      <c r="N581" s="1660"/>
      <c r="O581" s="1660"/>
      <c r="P581" s="1661"/>
      <c r="Q581" s="1725">
        <f t="shared" ref="Q581:Q586" si="7">IF(ISERROR(IF((((E581/$BJ$525)*100)&gt;100),"EXCESSIVE VALUE",(E581/$BJ$525)*100)),0,IF((((E581/$BJ$525)*100)&gt;100),"EXCESSIVE VALUE",(E581/$BJ$525)*100))</f>
        <v>15</v>
      </c>
      <c r="R581" s="1726"/>
      <c r="S581" s="1726"/>
      <c r="T581" s="1726"/>
      <c r="U581" s="1726"/>
      <c r="V581" s="1727"/>
      <c r="W581" s="1668">
        <f t="shared" si="6"/>
        <v>15</v>
      </c>
      <c r="X581" s="1669"/>
      <c r="Y581" s="1669"/>
      <c r="Z581" s="1669"/>
      <c r="AA581" s="1669"/>
      <c r="AB581" s="1670"/>
      <c r="AC581" s="1668">
        <f t="shared" si="4"/>
        <v>15</v>
      </c>
      <c r="AD581" s="1669"/>
      <c r="AE581" s="1669"/>
      <c r="AF581" s="1669"/>
      <c r="AG581" s="1669"/>
      <c r="AH581" s="1670"/>
      <c r="AN581" s="281"/>
      <c r="AO581" s="4">
        <v>2</v>
      </c>
      <c r="AP581" s="1659">
        <f t="shared" si="5"/>
        <v>0</v>
      </c>
      <c r="AQ581" s="1660"/>
      <c r="AR581" s="1660"/>
      <c r="AS581" s="1660"/>
      <c r="AT581" s="1661"/>
      <c r="AX581" s="1828"/>
      <c r="AY581" s="1829"/>
      <c r="AZ581" s="1709"/>
      <c r="BA581" s="1710"/>
      <c r="BB581" s="1775">
        <f>IF(AP531=1,1,0)</f>
        <v>0</v>
      </c>
      <c r="BC581" s="1776"/>
      <c r="BD581" s="1709"/>
      <c r="BE581" s="1710"/>
      <c r="BF581" s="1828"/>
      <c r="BG581" s="1829"/>
      <c r="BH581" s="1706">
        <f>IF(AND(T606&gt;0,AP531&gt;0),1,0)</f>
        <v>1</v>
      </c>
      <c r="BI581" s="1708"/>
      <c r="BJ581" s="1828"/>
      <c r="BK581" s="1829"/>
      <c r="BL581" s="1706">
        <f>IF(AND(T606&gt;0,AP531&gt;0),1,0)</f>
        <v>1</v>
      </c>
      <c r="BM581" s="1708"/>
      <c r="BN581" s="1828"/>
      <c r="BO581" s="1829"/>
      <c r="BP581" s="1706">
        <f>IF(AND(T606&gt;0,AP531&gt;0),1,0)</f>
        <v>1</v>
      </c>
      <c r="BQ581" s="1708"/>
    </row>
    <row r="582" spans="2:69" s="4" customFormat="1" ht="12.75" customHeight="1">
      <c r="E582" s="1656"/>
      <c r="F582" s="1657"/>
      <c r="G582" s="1657"/>
      <c r="H582" s="1657"/>
      <c r="I582" s="1657"/>
      <c r="J582" s="1658"/>
      <c r="K582" s="1659">
        <v>45</v>
      </c>
      <c r="L582" s="1660"/>
      <c r="M582" s="1660"/>
      <c r="N582" s="1660"/>
      <c r="O582" s="1660"/>
      <c r="P582" s="1661"/>
      <c r="Q582" s="1725">
        <f t="shared" si="7"/>
        <v>0</v>
      </c>
      <c r="R582" s="1726"/>
      <c r="S582" s="1726"/>
      <c r="T582" s="1726"/>
      <c r="U582" s="1726"/>
      <c r="V582" s="1727"/>
      <c r="W582" s="1668">
        <f>IF(FLOOR(Q582,5)&gt;65,65,FLOOR(Q582,5))</f>
        <v>0</v>
      </c>
      <c r="X582" s="1669"/>
      <c r="Y582" s="1669"/>
      <c r="Z582" s="1669"/>
      <c r="AA582" s="1669"/>
      <c r="AB582" s="1670"/>
      <c r="AC582" s="1668">
        <f t="shared" si="4"/>
        <v>0</v>
      </c>
      <c r="AD582" s="1669"/>
      <c r="AE582" s="1669"/>
      <c r="AF582" s="1669"/>
      <c r="AG582" s="1669"/>
      <c r="AH582" s="1670"/>
      <c r="AN582" s="281"/>
      <c r="AO582" s="4">
        <v>1</v>
      </c>
      <c r="AP582" s="1659">
        <f t="shared" si="5"/>
        <v>0</v>
      </c>
      <c r="AQ582" s="1660"/>
      <c r="AR582" s="1660"/>
      <c r="AS582" s="1660"/>
      <c r="AT582" s="1661"/>
      <c r="AX582" s="1828"/>
      <c r="AY582" s="1829"/>
      <c r="AZ582" s="1709"/>
      <c r="BA582" s="1710"/>
      <c r="BB582" s="1828"/>
      <c r="BC582" s="1829"/>
      <c r="BD582" s="1709"/>
      <c r="BE582" s="1710"/>
      <c r="BF582" s="1775">
        <f>IF(AP532=1,1,0)</f>
        <v>1</v>
      </c>
      <c r="BG582" s="1776"/>
      <c r="BH582" s="1709"/>
      <c r="BI582" s="1710"/>
      <c r="BJ582" s="1828"/>
      <c r="BK582" s="1829"/>
      <c r="BL582" s="1706">
        <f>IF(AND(T607&gt;0,AP532&gt;0),1,0)</f>
        <v>1</v>
      </c>
      <c r="BM582" s="1708"/>
      <c r="BN582" s="1828"/>
      <c r="BO582" s="1829"/>
      <c r="BP582" s="1706">
        <f>IF(AND(T607&gt;0,AP532&gt;0),1,0)</f>
        <v>1</v>
      </c>
      <c r="BQ582" s="1708"/>
    </row>
    <row r="583" spans="2:69" s="4" customFormat="1" ht="12.75" customHeight="1">
      <c r="E583" s="1656">
        <v>24</v>
      </c>
      <c r="F583" s="1657"/>
      <c r="G583" s="1657"/>
      <c r="H583" s="1657"/>
      <c r="I583" s="1657"/>
      <c r="J583" s="1658"/>
      <c r="K583" s="1659">
        <v>50</v>
      </c>
      <c r="L583" s="1660"/>
      <c r="M583" s="1660"/>
      <c r="N583" s="1660"/>
      <c r="O583" s="1660"/>
      <c r="P583" s="1661"/>
      <c r="Q583" s="1725">
        <f t="shared" si="7"/>
        <v>40</v>
      </c>
      <c r="R583" s="1726"/>
      <c r="S583" s="1726"/>
      <c r="T583" s="1726"/>
      <c r="U583" s="1726"/>
      <c r="V583" s="1727"/>
      <c r="W583" s="1668">
        <f>IF(FLOOR(Q583,5)&gt;40,40,FLOOR(Q583,5))</f>
        <v>40</v>
      </c>
      <c r="X583" s="1669"/>
      <c r="Y583" s="1669"/>
      <c r="Z583" s="1669"/>
      <c r="AA583" s="1669"/>
      <c r="AB583" s="1670"/>
      <c r="AC583" s="1668">
        <f t="shared" si="4"/>
        <v>20</v>
      </c>
      <c r="AD583" s="1669"/>
      <c r="AE583" s="1669"/>
      <c r="AF583" s="1669"/>
      <c r="AG583" s="1669"/>
      <c r="AH583" s="1670"/>
      <c r="AN583" s="281"/>
      <c r="AO583" s="4">
        <v>0</v>
      </c>
      <c r="AP583" s="1659">
        <f t="shared" si="5"/>
        <v>0</v>
      </c>
      <c r="AQ583" s="1660"/>
      <c r="AR583" s="1660"/>
      <c r="AS583" s="1660"/>
      <c r="AT583" s="1661"/>
      <c r="AX583" s="1828"/>
      <c r="AY583" s="1829"/>
      <c r="AZ583" s="1709"/>
      <c r="BA583" s="1710"/>
      <c r="BB583" s="1828"/>
      <c r="BC583" s="1829"/>
      <c r="BD583" s="1709"/>
      <c r="BE583" s="1710"/>
      <c r="BF583" s="1828"/>
      <c r="BG583" s="1829"/>
      <c r="BH583" s="1709"/>
      <c r="BI583" s="1710"/>
      <c r="BJ583" s="1775">
        <f>IF(AP533=1,1,0)</f>
        <v>0</v>
      </c>
      <c r="BK583" s="1776"/>
      <c r="BL583" s="1828"/>
      <c r="BM583" s="1829"/>
      <c r="BN583" s="1828"/>
      <c r="BO583" s="1829"/>
      <c r="BP583" s="1706">
        <f>IF(AND(T608&gt;0,AP533&gt;0),1,0)</f>
        <v>0</v>
      </c>
      <c r="BQ583" s="1708"/>
    </row>
    <row r="584" spans="2:69" s="4" customFormat="1" ht="12.75" customHeight="1">
      <c r="E584" s="1755"/>
      <c r="F584" s="1756"/>
      <c r="G584" s="1756"/>
      <c r="H584" s="1756"/>
      <c r="I584" s="1756"/>
      <c r="J584" s="1757"/>
      <c r="K584" s="1864">
        <f>IF(OR(Application!D211="Rural",Application!D211="Rural apportionment (Section 514)",Application!D211="Rural apportionment (Section 515)",Application!D211="Rural apportionment (HOME)",Application!D211="Rural (Native American apportionment)"),50,0)</f>
        <v>0</v>
      </c>
      <c r="L584" s="1865"/>
      <c r="M584" s="1866" t="s">
        <v>1931</v>
      </c>
      <c r="N584" s="1866"/>
      <c r="O584" s="1866"/>
      <c r="P584" s="1867"/>
      <c r="Q584" s="1725">
        <f t="shared" si="7"/>
        <v>0</v>
      </c>
      <c r="R584" s="1726"/>
      <c r="S584" s="1726"/>
      <c r="T584" s="1726"/>
      <c r="U584" s="1726"/>
      <c r="V584" s="1727"/>
      <c r="W584" s="1668">
        <f>IF(FLOOR(Q584,5)&gt;50,50,FLOOR(Q584,5))</f>
        <v>0</v>
      </c>
      <c r="X584" s="1669"/>
      <c r="Y584" s="1669"/>
      <c r="Z584" s="1669"/>
      <c r="AA584" s="1669"/>
      <c r="AB584" s="1670"/>
      <c r="AC584" s="1668">
        <f>IFERROR(IF(W584&gt;0,INDEX($AT$504:$BA$518,MATCH(W584,$AS$504:$AS$518,0),MATCH(K584,$AT$503:$BA$503,0)),0),0)</f>
        <v>0</v>
      </c>
      <c r="AD584" s="1669"/>
      <c r="AE584" s="1669"/>
      <c r="AF584" s="1669"/>
      <c r="AG584" s="1669"/>
      <c r="AH584" s="1670"/>
      <c r="AN584" s="281"/>
      <c r="AP584" s="1659"/>
      <c r="AQ584" s="1660"/>
      <c r="AR584" s="1660"/>
      <c r="AS584" s="1660"/>
      <c r="AT584" s="1661"/>
      <c r="AX584" s="1828"/>
      <c r="AY584" s="1829"/>
      <c r="AZ584" s="1709"/>
      <c r="BA584" s="1710"/>
      <c r="BB584" s="1828"/>
      <c r="BC584" s="1829"/>
      <c r="BD584" s="1709"/>
      <c r="BE584" s="1710"/>
      <c r="BF584" s="1828"/>
      <c r="BG584" s="1829"/>
      <c r="BH584" s="1709"/>
      <c r="BI584" s="1710"/>
      <c r="BJ584" s="1828"/>
      <c r="BK584" s="1829"/>
      <c r="BL584" s="1828"/>
      <c r="BM584" s="1829"/>
      <c r="BN584" s="1775">
        <f>IF(AP534=1,1,0)</f>
        <v>0</v>
      </c>
      <c r="BO584" s="1776"/>
      <c r="BP584" s="1709"/>
      <c r="BQ584" s="1710"/>
    </row>
    <row r="585" spans="2:69" s="4" customFormat="1" ht="12.75" customHeight="1">
      <c r="E585" s="1755"/>
      <c r="F585" s="1756"/>
      <c r="G585" s="1756"/>
      <c r="H585" s="1756"/>
      <c r="I585" s="1756"/>
      <c r="J585" s="1757"/>
      <c r="K585" s="1864">
        <f>IF(OR(Application!D211="Rural",Application!D211="Rural apportionment (Section 514)",Application!D211="Rural apportionment (Section 515)",Application!D211="Rural apportionment (HOME)",Application!D211="Rural (Native American apportionment)"),55,0)</f>
        <v>0</v>
      </c>
      <c r="L585" s="1865"/>
      <c r="M585" s="1866" t="s">
        <v>1931</v>
      </c>
      <c r="N585" s="1866"/>
      <c r="O585" s="1866"/>
      <c r="P585" s="1867"/>
      <c r="Q585" s="1725">
        <f t="shared" si="7"/>
        <v>0</v>
      </c>
      <c r="R585" s="1726"/>
      <c r="S585" s="1726"/>
      <c r="T585" s="1726"/>
      <c r="U585" s="1726"/>
      <c r="V585" s="1727"/>
      <c r="W585" s="1668">
        <f>IF(FLOOR(Q585,5)&gt;40,40,FLOOR(Q585,5))</f>
        <v>0</v>
      </c>
      <c r="X585" s="1669"/>
      <c r="Y585" s="1669"/>
      <c r="Z585" s="1669"/>
      <c r="AA585" s="1669"/>
      <c r="AB585" s="1670"/>
      <c r="AC585" s="1668">
        <f>IFERROR(IF(W585&gt;0,INDEX($AT$504:$BA$518,MATCH(W585,$AS$504:$AS$518,0),MATCH(K585,$AT$503:$BA$503,0)),0),0)</f>
        <v>0</v>
      </c>
      <c r="AD585" s="1669"/>
      <c r="AE585" s="1669"/>
      <c r="AF585" s="1669"/>
      <c r="AG585" s="1669"/>
      <c r="AH585" s="1670"/>
      <c r="AN585" s="281"/>
      <c r="AX585" s="1775">
        <f>SUM(AX580:AY584)</f>
        <v>0</v>
      </c>
      <c r="AY585" s="1776"/>
      <c r="AZ585" s="1706">
        <f>SUM(AZ581:BA584)</f>
        <v>0</v>
      </c>
      <c r="BA585" s="1708"/>
      <c r="BB585" s="1775">
        <f>SUM(BB581:BC584)</f>
        <v>0</v>
      </c>
      <c r="BC585" s="1776"/>
      <c r="BD585" s="1706">
        <f>SUM(BD580:BE584)</f>
        <v>0</v>
      </c>
      <c r="BE585" s="1708"/>
      <c r="BF585" s="1775">
        <f>SUM(BF582:BG584)</f>
        <v>1</v>
      </c>
      <c r="BG585" s="1776"/>
      <c r="BH585" s="1706">
        <f>SUM(BH580:BI584)</f>
        <v>1</v>
      </c>
      <c r="BI585" s="1708"/>
      <c r="BJ585" s="1775">
        <f>SUM(BJ580:BK584)</f>
        <v>0</v>
      </c>
      <c r="BK585" s="1776"/>
      <c r="BL585" s="1706">
        <f>SUM(BL580:BM584)</f>
        <v>2</v>
      </c>
      <c r="BM585" s="1708"/>
      <c r="BN585" s="1775">
        <f>SUM(BN580:BO584)</f>
        <v>0</v>
      </c>
      <c r="BO585" s="1776"/>
      <c r="BP585" s="1706">
        <f>SUM(BP580:BQ584)</f>
        <v>2</v>
      </c>
      <c r="BQ585" s="1708"/>
    </row>
    <row r="586" spans="2:69" s="4" customFormat="1" ht="12.75" customHeight="1">
      <c r="E586" s="1656">
        <v>21</v>
      </c>
      <c r="F586" s="1657"/>
      <c r="G586" s="1657"/>
      <c r="H586" s="1657"/>
      <c r="I586" s="1657"/>
      <c r="J586" s="1658"/>
      <c r="K586" s="1659" t="s">
        <v>2258</v>
      </c>
      <c r="L586" s="1660"/>
      <c r="M586" s="1660"/>
      <c r="N586" s="1660"/>
      <c r="O586" s="1660"/>
      <c r="P586" s="1661"/>
      <c r="Q586" s="1725">
        <f t="shared" si="7"/>
        <v>35</v>
      </c>
      <c r="R586" s="1726"/>
      <c r="S586" s="1726"/>
      <c r="T586" s="1726"/>
      <c r="U586" s="1726"/>
      <c r="V586" s="1727"/>
      <c r="W586" s="1668">
        <f t="shared" si="6"/>
        <v>35</v>
      </c>
      <c r="X586" s="1669"/>
      <c r="Y586" s="1669"/>
      <c r="Z586" s="1669"/>
      <c r="AA586" s="1669"/>
      <c r="AB586" s="1670"/>
      <c r="AC586" s="1668">
        <v>0</v>
      </c>
      <c r="AD586" s="1669"/>
      <c r="AE586" s="1669"/>
      <c r="AF586" s="1669"/>
      <c r="AG586" s="1669"/>
      <c r="AH586" s="1670"/>
      <c r="AN586" s="281"/>
      <c r="AX586" s="1789">
        <f>IF(AND(AX585=1,AZ585&gt;1),1,0)</f>
        <v>0</v>
      </c>
      <c r="AY586" s="1790"/>
      <c r="AZ586" s="1790"/>
      <c r="BA586" s="1791"/>
      <c r="BB586" s="1789">
        <f>IF(AND(BB585=1,BD585&gt;=1),1,0)</f>
        <v>0</v>
      </c>
      <c r="BC586" s="1790"/>
      <c r="BD586" s="1790"/>
      <c r="BE586" s="1791"/>
      <c r="BF586" s="1789">
        <f>IF(AND(BF585=1,BH585&gt;=1),1,0)</f>
        <v>1</v>
      </c>
      <c r="BG586" s="1790"/>
      <c r="BH586" s="1790"/>
      <c r="BI586" s="1791"/>
      <c r="BJ586" s="1789">
        <f>IF(AND(BJ585=1,BL585&gt;=1),1,0)</f>
        <v>0</v>
      </c>
      <c r="BK586" s="1790"/>
      <c r="BL586" s="1790"/>
      <c r="BM586" s="1791"/>
      <c r="BN586" s="1789">
        <f>IF(AND(BN585=1,BP585&gt;=1),1,0)</f>
        <v>0</v>
      </c>
      <c r="BO586" s="1790"/>
      <c r="BP586" s="1790"/>
      <c r="BQ586" s="1791"/>
    </row>
    <row r="587" spans="2:69" s="4" customFormat="1" ht="12.75" customHeight="1">
      <c r="E587" s="967"/>
      <c r="F587" s="968"/>
      <c r="G587" s="968"/>
      <c r="H587" s="968"/>
      <c r="I587" s="968"/>
      <c r="J587" s="969"/>
      <c r="K587" s="1659" t="s">
        <v>2259</v>
      </c>
      <c r="L587" s="1660"/>
      <c r="M587" s="1660"/>
      <c r="N587" s="1660"/>
      <c r="O587" s="1660"/>
      <c r="P587" s="1661"/>
      <c r="Q587" s="1725">
        <f>IF(ISERROR(IF((((E587/$BJ$525)*100)&gt;100),"EXCESSIVE VALUE",(E587/$BJ$525)*100)),0,IF((((E587/$BJ$525)*100)&gt;100),"EXCESSIVE VALUE",(E587/$BJ$525)*100))</f>
        <v>0</v>
      </c>
      <c r="R587" s="1726"/>
      <c r="S587" s="1726"/>
      <c r="T587" s="1726"/>
      <c r="U587" s="1726"/>
      <c r="V587" s="1727"/>
      <c r="W587" s="1668">
        <f>IF(FLOOR(Q587,5)&gt;80,80,FLOOR(Q587,5))</f>
        <v>0</v>
      </c>
      <c r="X587" s="1669"/>
      <c r="Y587" s="1669"/>
      <c r="Z587" s="1669"/>
      <c r="AA587" s="1669"/>
      <c r="AB587" s="1670"/>
      <c r="AC587" s="1668">
        <v>0</v>
      </c>
      <c r="AD587" s="1669"/>
      <c r="AE587" s="1669"/>
      <c r="AF587" s="1669"/>
      <c r="AG587" s="1669"/>
      <c r="AH587" s="1670"/>
      <c r="AN587" s="281"/>
      <c r="AX587"/>
      <c r="AY587"/>
      <c r="AZ587"/>
      <c r="BA587"/>
      <c r="BB587"/>
      <c r="BC587"/>
      <c r="BD587"/>
      <c r="BE587"/>
      <c r="BF587"/>
      <c r="BG587"/>
      <c r="BH587"/>
      <c r="BI587" s="34" t="s">
        <v>646</v>
      </c>
      <c r="BJ587" s="1789">
        <f>AX586+BB586+BF586+BJ586+BN586</f>
        <v>1</v>
      </c>
      <c r="BK587" s="1790"/>
      <c r="BL587" s="1790"/>
      <c r="BM587" s="1791"/>
      <c r="BN587"/>
      <c r="BO587"/>
      <c r="BP587"/>
      <c r="BQ587"/>
    </row>
    <row r="588" spans="2:69" s="4" customFormat="1" ht="12.75" customHeight="1">
      <c r="E588" s="967"/>
      <c r="F588" s="968"/>
      <c r="G588" s="968"/>
      <c r="H588" s="968"/>
      <c r="I588" s="968"/>
      <c r="J588" s="969"/>
      <c r="K588" s="1659" t="s">
        <v>2260</v>
      </c>
      <c r="L588" s="1660"/>
      <c r="M588" s="1660"/>
      <c r="N588" s="1660"/>
      <c r="O588" s="1660"/>
      <c r="P588" s="1661"/>
      <c r="Q588" s="1725">
        <f>IF(ISERROR(IF((((E588/$BJ$525)*100)&gt;100),"EXCESSIVE VALUE",(E588/$BJ$525)*100)),0,IF((((E588/$BJ$525)*100)&gt;100),"EXCESSIVE VALUE",(E588/$BJ$525)*100))</f>
        <v>0</v>
      </c>
      <c r="R588" s="1726"/>
      <c r="S588" s="1726"/>
      <c r="T588" s="1726"/>
      <c r="U588" s="1726"/>
      <c r="V588" s="1727"/>
      <c r="W588" s="1668">
        <f>IF(FLOOR(Q588,5)&gt;80,80,FLOOR(Q588,5))</f>
        <v>0</v>
      </c>
      <c r="X588" s="1669"/>
      <c r="Y588" s="1669"/>
      <c r="Z588" s="1669"/>
      <c r="AA588" s="1669"/>
      <c r="AB588" s="1670"/>
      <c r="AC588" s="1668">
        <v>0</v>
      </c>
      <c r="AD588" s="1669"/>
      <c r="AE588" s="1669"/>
      <c r="AF588" s="1669"/>
      <c r="AG588" s="1669"/>
      <c r="AH588" s="1670"/>
      <c r="AN588" s="281"/>
      <c r="AX588"/>
      <c r="AY588"/>
      <c r="AZ588"/>
      <c r="BA588"/>
      <c r="BB588"/>
      <c r="BC588"/>
      <c r="BD588"/>
      <c r="BE588"/>
      <c r="BF588"/>
      <c r="BG588"/>
      <c r="BI588"/>
      <c r="BJ588" t="s">
        <v>645</v>
      </c>
      <c r="BK588"/>
      <c r="BL588"/>
      <c r="BM588"/>
      <c r="BN588"/>
      <c r="BO588"/>
      <c r="BP588"/>
      <c r="BQ588"/>
    </row>
    <row r="589" spans="2:69" s="4" customFormat="1" ht="12.75" customHeight="1">
      <c r="E589" s="1752">
        <f>SUM(E578:J588)</f>
        <v>60</v>
      </c>
      <c r="F589" s="1753"/>
      <c r="G589" s="1753"/>
      <c r="H589" s="1753"/>
      <c r="I589" s="1753"/>
      <c r="J589" s="1754"/>
      <c r="K589" s="89"/>
      <c r="L589" s="89"/>
      <c r="M589" s="89"/>
      <c r="N589" s="89"/>
      <c r="O589" s="89"/>
      <c r="P589" s="89"/>
      <c r="Q589" s="89"/>
      <c r="R589" s="89"/>
      <c r="S589" s="89"/>
      <c r="T589" s="89"/>
      <c r="U589" s="93"/>
      <c r="V589" s="93"/>
      <c r="W589" s="93"/>
      <c r="X589" s="93"/>
      <c r="Y589" s="93"/>
      <c r="Z589" s="89"/>
      <c r="AA589" s="93"/>
      <c r="AB589" s="60" t="s">
        <v>641</v>
      </c>
      <c r="AC589" s="1749">
        <f>IF(SUM(AC578:AH588)&gt;0,SUM(AC578:AH588),0)</f>
        <v>50</v>
      </c>
      <c r="AD589" s="1750"/>
      <c r="AE589" s="1750"/>
      <c r="AF589" s="1750"/>
      <c r="AG589" s="1750"/>
      <c r="AH589" s="1751"/>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14" t="s">
        <v>111</v>
      </c>
      <c r="AH592" s="1714"/>
      <c r="AI592" s="1714"/>
      <c r="AJ592" s="1714"/>
      <c r="AK592" s="5"/>
      <c r="AL592" s="5"/>
      <c r="AM592" s="5"/>
      <c r="AN592" s="281"/>
    </row>
    <row r="593" spans="1:60" s="4" customFormat="1" ht="12.75" customHeight="1">
      <c r="B593" s="1674" t="s">
        <v>2245</v>
      </c>
      <c r="C593" s="1674"/>
      <c r="D593" s="1674"/>
      <c r="E593" s="1674"/>
      <c r="F593" s="1674"/>
      <c r="G593" s="1674"/>
      <c r="H593" s="1674"/>
      <c r="I593" s="1674"/>
      <c r="J593" s="1674"/>
      <c r="K593" s="1674"/>
      <c r="L593" s="1674"/>
      <c r="M593" s="1674"/>
      <c r="N593" s="1674"/>
      <c r="O593" s="1674"/>
      <c r="P593" s="1674"/>
      <c r="Q593" s="1674"/>
      <c r="R593" s="1674"/>
      <c r="S593" s="1674"/>
      <c r="T593" s="1674"/>
      <c r="U593" s="1674"/>
      <c r="V593" s="1674"/>
      <c r="W593" s="1674"/>
      <c r="X593" s="1674"/>
      <c r="Y593" s="1674"/>
      <c r="Z593" s="1674"/>
      <c r="AA593" s="1674"/>
      <c r="AB593" s="1674"/>
      <c r="AC593" s="1674"/>
      <c r="AD593" s="1674"/>
      <c r="AE593" s="1674"/>
      <c r="AF593" s="1674"/>
      <c r="AG593" s="1674"/>
      <c r="AH593" s="1674"/>
      <c r="AI593" s="21"/>
      <c r="AJ593" s="21"/>
      <c r="AK593"/>
      <c r="AL593"/>
      <c r="AM593"/>
      <c r="AN593" s="281"/>
    </row>
    <row r="594" spans="1:60" s="4" customFormat="1" ht="12.75" customHeight="1">
      <c r="A594" s="21"/>
      <c r="B594" s="1674"/>
      <c r="C594" s="1674"/>
      <c r="D594" s="1674"/>
      <c r="E594" s="1674"/>
      <c r="F594" s="1674"/>
      <c r="G594" s="1674"/>
      <c r="H594" s="1674"/>
      <c r="I594" s="1674"/>
      <c r="J594" s="1674"/>
      <c r="K594" s="1674"/>
      <c r="L594" s="1674"/>
      <c r="M594" s="1674"/>
      <c r="N594" s="1674"/>
      <c r="O594" s="1674"/>
      <c r="P594" s="1674"/>
      <c r="Q594" s="1674"/>
      <c r="R594" s="1674"/>
      <c r="S594" s="1674"/>
      <c r="T594" s="1674"/>
      <c r="U594" s="1674"/>
      <c r="V594" s="1674"/>
      <c r="W594" s="1674"/>
      <c r="X594" s="1674"/>
      <c r="Y594" s="1674"/>
      <c r="Z594" s="1674"/>
      <c r="AA594" s="1674"/>
      <c r="AB594" s="1674"/>
      <c r="AC594" s="1674"/>
      <c r="AD594" s="1674"/>
      <c r="AE594" s="1674"/>
      <c r="AF594" s="1674"/>
      <c r="AG594" s="1674"/>
      <c r="AH594" s="1674"/>
      <c r="AI594" s="21"/>
      <c r="AJ594" s="21"/>
      <c r="AK594"/>
      <c r="AL594"/>
      <c r="AM594"/>
      <c r="AN594" s="281"/>
    </row>
    <row r="595" spans="1:60" s="4" customFormat="1" ht="12.75" customHeight="1">
      <c r="A595" s="21"/>
      <c r="B595" s="1674"/>
      <c r="C595" s="1674"/>
      <c r="D595" s="1674"/>
      <c r="E595" s="1674"/>
      <c r="F595" s="1674"/>
      <c r="G595" s="1674"/>
      <c r="H595" s="1674"/>
      <c r="I595" s="1674"/>
      <c r="J595" s="1674"/>
      <c r="K595" s="1674"/>
      <c r="L595" s="1674"/>
      <c r="M595" s="1674"/>
      <c r="N595" s="1674"/>
      <c r="O595" s="1674"/>
      <c r="P595" s="1674"/>
      <c r="Q595" s="1674"/>
      <c r="R595" s="1674"/>
      <c r="S595" s="1674"/>
      <c r="T595" s="1674"/>
      <c r="U595" s="1674"/>
      <c r="V595" s="1674"/>
      <c r="W595" s="1674"/>
      <c r="X595" s="1674"/>
      <c r="Y595" s="1674"/>
      <c r="Z595" s="1674"/>
      <c r="AA595" s="1674"/>
      <c r="AB595" s="1674"/>
      <c r="AC595" s="1674"/>
      <c r="AD595" s="1674"/>
      <c r="AE595" s="1674"/>
      <c r="AF595" s="1674"/>
      <c r="AG595" s="1674"/>
      <c r="AH595" s="1674"/>
      <c r="AI595" s="21"/>
      <c r="AJ595" s="21"/>
      <c r="AK595"/>
      <c r="AL595"/>
      <c r="AM595"/>
      <c r="AN595" s="281"/>
    </row>
    <row r="596" spans="1:60" s="4" customFormat="1" ht="12.75" customHeight="1">
      <c r="A596" s="21"/>
      <c r="B596" s="1674"/>
      <c r="C596" s="1674"/>
      <c r="D596" s="1674"/>
      <c r="E596" s="1674"/>
      <c r="F596" s="1674"/>
      <c r="G596" s="1674"/>
      <c r="H596" s="1674"/>
      <c r="I596" s="1674"/>
      <c r="J596" s="1674"/>
      <c r="K596" s="1674"/>
      <c r="L596" s="1674"/>
      <c r="M596" s="1674"/>
      <c r="N596" s="1674"/>
      <c r="O596" s="1674"/>
      <c r="P596" s="1674"/>
      <c r="Q596" s="1674"/>
      <c r="R596" s="1674"/>
      <c r="S596" s="1674"/>
      <c r="T596" s="1674"/>
      <c r="U596" s="1674"/>
      <c r="V596" s="1674"/>
      <c r="W596" s="1674"/>
      <c r="X596" s="1674"/>
      <c r="Y596" s="1674"/>
      <c r="Z596" s="1674"/>
      <c r="AA596" s="1674"/>
      <c r="AB596" s="1674"/>
      <c r="AC596" s="1674"/>
      <c r="AD596" s="1674"/>
      <c r="AE596" s="1674"/>
      <c r="AF596" s="1674"/>
      <c r="AG596" s="1674"/>
      <c r="AH596" s="1674"/>
      <c r="AI596" s="21"/>
      <c r="AJ596" s="21"/>
      <c r="AK596"/>
      <c r="AL596"/>
      <c r="AM596"/>
      <c r="AN596" s="684"/>
    </row>
    <row r="597" spans="1:60">
      <c r="B597" s="1674"/>
      <c r="C597" s="1674"/>
      <c r="D597" s="1674"/>
      <c r="E597" s="1674"/>
      <c r="F597" s="1674"/>
      <c r="G597" s="1674"/>
      <c r="H597" s="1674"/>
      <c r="I597" s="1674"/>
      <c r="J597" s="1674"/>
      <c r="K597" s="1674"/>
      <c r="L597" s="1674"/>
      <c r="M597" s="1674"/>
      <c r="N597" s="1674"/>
      <c r="O597" s="1674"/>
      <c r="P597" s="1674"/>
      <c r="Q597" s="1674"/>
      <c r="R597" s="1674"/>
      <c r="S597" s="1674"/>
      <c r="T597" s="1674"/>
      <c r="U597" s="1674"/>
      <c r="V597" s="1674"/>
      <c r="W597" s="1674"/>
      <c r="X597" s="1674"/>
      <c r="Y597" s="1674"/>
      <c r="Z597" s="1674"/>
      <c r="AA597" s="1674"/>
      <c r="AB597" s="1674"/>
      <c r="AC597" s="1674"/>
      <c r="AD597" s="1674"/>
      <c r="AE597" s="1674"/>
      <c r="AF597" s="1674"/>
      <c r="AG597" s="1674"/>
      <c r="AH597" s="1674"/>
      <c r="AK597"/>
      <c r="AL597"/>
      <c r="AM597"/>
      <c r="BD597" s="21"/>
      <c r="BE597" s="21"/>
      <c r="BF597" s="21"/>
      <c r="BG597" s="21"/>
      <c r="BH597" s="21"/>
    </row>
    <row r="598" spans="1:60" ht="12.75" customHeight="1">
      <c r="B598" s="1674"/>
      <c r="C598" s="1674"/>
      <c r="D598" s="1674"/>
      <c r="E598" s="1674"/>
      <c r="F598" s="1674"/>
      <c r="G598" s="1674"/>
      <c r="H598" s="1674"/>
      <c r="I598" s="1674"/>
      <c r="J598" s="1674"/>
      <c r="K598" s="1674"/>
      <c r="L598" s="1674"/>
      <c r="M598" s="1674"/>
      <c r="N598" s="1674"/>
      <c r="O598" s="1674"/>
      <c r="P598" s="1674"/>
      <c r="Q598" s="1674"/>
      <c r="R598" s="1674"/>
      <c r="S598" s="1674"/>
      <c r="T598" s="1674"/>
      <c r="U598" s="1674"/>
      <c r="V598" s="1674"/>
      <c r="W598" s="1674"/>
      <c r="X598" s="1674"/>
      <c r="Y598" s="1674"/>
      <c r="Z598" s="1674"/>
      <c r="AA598" s="1674"/>
      <c r="AB598" s="1674"/>
      <c r="AC598" s="1674"/>
      <c r="AD598" s="1674"/>
      <c r="AE598" s="1674"/>
      <c r="AF598" s="1674"/>
      <c r="AG598" s="1674"/>
      <c r="AH598" s="1674"/>
    </row>
    <row r="599" spans="1:60" ht="12.75" customHeight="1">
      <c r="E599" s="162"/>
    </row>
    <row r="600" spans="1:60">
      <c r="J600" s="1800" t="s">
        <v>833</v>
      </c>
      <c r="K600" s="1801"/>
      <c r="L600" s="1801"/>
      <c r="M600" s="1801"/>
      <c r="N600" s="1802"/>
      <c r="O600" s="1553" t="s">
        <v>1575</v>
      </c>
      <c r="P600" s="1554"/>
      <c r="Q600" s="1554"/>
      <c r="R600" s="1554"/>
      <c r="S600" s="1555"/>
      <c r="T600" s="1553" t="s">
        <v>1847</v>
      </c>
      <c r="U600" s="1554"/>
      <c r="V600" s="1554"/>
      <c r="W600" s="1554"/>
      <c r="X600" s="1555"/>
      <c r="Y600" s="1553" t="s">
        <v>1576</v>
      </c>
      <c r="Z600" s="1554"/>
      <c r="AA600" s="1554"/>
      <c r="AB600" s="1554"/>
      <c r="AC600" s="1555"/>
      <c r="AF600"/>
      <c r="AG600"/>
      <c r="AH600"/>
      <c r="AI600"/>
      <c r="AJ600"/>
    </row>
    <row r="601" spans="1:60">
      <c r="D601"/>
      <c r="E601"/>
      <c r="F601"/>
      <c r="G601"/>
      <c r="H601"/>
      <c r="I601"/>
      <c r="J601" s="1698"/>
      <c r="K601" s="1699"/>
      <c r="L601" s="1699"/>
      <c r="M601" s="1699"/>
      <c r="N601" s="1803"/>
      <c r="O601" s="1556"/>
      <c r="P601" s="1557"/>
      <c r="Q601" s="1557"/>
      <c r="R601" s="1557"/>
      <c r="S601" s="1558"/>
      <c r="T601" s="1556"/>
      <c r="U601" s="1557"/>
      <c r="V601" s="1557"/>
      <c r="W601" s="1557"/>
      <c r="X601" s="1558"/>
      <c r="Y601" s="1556"/>
      <c r="Z601" s="1557"/>
      <c r="AA601" s="1557"/>
      <c r="AB601" s="1557"/>
      <c r="AC601" s="1558"/>
      <c r="AF601"/>
      <c r="AG601"/>
      <c r="AH601"/>
      <c r="AI601"/>
      <c r="AJ601"/>
    </row>
    <row r="602" spans="1:60">
      <c r="I602"/>
      <c r="J602" s="1698"/>
      <c r="K602" s="1699"/>
      <c r="L602" s="1699"/>
      <c r="M602" s="1699"/>
      <c r="N602" s="1803"/>
      <c r="O602" s="1556"/>
      <c r="P602" s="1557"/>
      <c r="Q602" s="1557"/>
      <c r="R602" s="1557"/>
      <c r="S602" s="1558"/>
      <c r="T602" s="1556"/>
      <c r="U602" s="1557"/>
      <c r="V602" s="1557"/>
      <c r="W602" s="1557"/>
      <c r="X602" s="1558"/>
      <c r="Y602" s="1556"/>
      <c r="Z602" s="1557"/>
      <c r="AA602" s="1557"/>
      <c r="AB602" s="1557"/>
      <c r="AC602" s="1558"/>
      <c r="AD602"/>
      <c r="AF602"/>
      <c r="AG602"/>
      <c r="AH602"/>
      <c r="AI602"/>
      <c r="AJ602"/>
    </row>
    <row r="603" spans="1:60">
      <c r="D603"/>
      <c r="E603"/>
      <c r="F603"/>
      <c r="G603"/>
      <c r="H603"/>
      <c r="I603"/>
      <c r="J603" s="1698"/>
      <c r="K603" s="1699"/>
      <c r="L603" s="1699"/>
      <c r="M603" s="1699"/>
      <c r="N603" s="1803"/>
      <c r="O603" s="1556"/>
      <c r="P603" s="1557"/>
      <c r="Q603" s="1557"/>
      <c r="R603" s="1557"/>
      <c r="S603" s="1558"/>
      <c r="T603" s="1556"/>
      <c r="U603" s="1557"/>
      <c r="V603" s="1557"/>
      <c r="W603" s="1557"/>
      <c r="X603" s="1558"/>
      <c r="Y603" s="1556"/>
      <c r="Z603" s="1557"/>
      <c r="AA603" s="1557"/>
      <c r="AB603" s="1557"/>
      <c r="AC603" s="1558"/>
      <c r="AD603"/>
      <c r="AF603"/>
      <c r="AG603"/>
      <c r="AH603"/>
      <c r="AI603"/>
      <c r="AJ603"/>
    </row>
    <row r="604" spans="1:60">
      <c r="D604"/>
      <c r="E604"/>
      <c r="F604"/>
      <c r="G604"/>
      <c r="H604"/>
      <c r="I604"/>
      <c r="J604" s="1738" t="s">
        <v>240</v>
      </c>
      <c r="K604" s="1739"/>
      <c r="L604" s="1739"/>
      <c r="M604" s="1739"/>
      <c r="N604" s="1740"/>
      <c r="O604" s="1659">
        <f>Application!CM613</f>
        <v>0</v>
      </c>
      <c r="P604" s="1660"/>
      <c r="Q604" s="1660"/>
      <c r="R604" s="1660"/>
      <c r="S604" s="1661"/>
      <c r="T604" s="1659">
        <f>Application!DR614</f>
        <v>0</v>
      </c>
      <c r="U604" s="1660"/>
      <c r="V604" s="1660"/>
      <c r="W604" s="1660"/>
      <c r="X604" s="1661"/>
      <c r="Y604" s="1744">
        <f t="shared" ref="Y604:Y609" si="8">IF(T604&gt;0,T604/O604,0)</f>
        <v>0</v>
      </c>
      <c r="Z604" s="1745"/>
      <c r="AA604" s="1745"/>
      <c r="AB604" s="1745"/>
      <c r="AC604" s="1746"/>
      <c r="AD604"/>
      <c r="AF604"/>
      <c r="AG604"/>
      <c r="AH604"/>
      <c r="AI604"/>
      <c r="AJ604"/>
    </row>
    <row r="605" spans="1:60">
      <c r="D605"/>
      <c r="E605"/>
      <c r="F605"/>
      <c r="G605"/>
      <c r="H605"/>
      <c r="I605"/>
      <c r="J605" s="1738" t="s">
        <v>35</v>
      </c>
      <c r="K605" s="1739"/>
      <c r="L605" s="1739"/>
      <c r="M605" s="1739"/>
      <c r="N605" s="1740"/>
      <c r="O605" s="1659">
        <f>Application!CH613</f>
        <v>0</v>
      </c>
      <c r="P605" s="1660"/>
      <c r="Q605" s="1660"/>
      <c r="R605" s="1660"/>
      <c r="S605" s="1661"/>
      <c r="T605" s="1659">
        <f>Application!DM614</f>
        <v>0</v>
      </c>
      <c r="U605" s="1660"/>
      <c r="V605" s="1660"/>
      <c r="W605" s="1660"/>
      <c r="X605" s="1661"/>
      <c r="Y605" s="1744">
        <f t="shared" si="8"/>
        <v>0</v>
      </c>
      <c r="Z605" s="1745"/>
      <c r="AA605" s="1745"/>
      <c r="AB605" s="1745"/>
      <c r="AC605" s="1746"/>
      <c r="AD605"/>
      <c r="AF605"/>
      <c r="AG605"/>
      <c r="AH605"/>
      <c r="AI605"/>
      <c r="AJ605"/>
      <c r="AO605" s="4"/>
    </row>
    <row r="606" spans="1:60">
      <c r="D606"/>
      <c r="E606"/>
      <c r="F606"/>
      <c r="G606"/>
      <c r="H606"/>
      <c r="I606"/>
      <c r="J606" s="1738" t="s">
        <v>280</v>
      </c>
      <c r="K606" s="1739"/>
      <c r="L606" s="1739"/>
      <c r="M606" s="1739"/>
      <c r="N606" s="1740"/>
      <c r="O606" s="1659">
        <f>Application!CC613</f>
        <v>20</v>
      </c>
      <c r="P606" s="1660"/>
      <c r="Q606" s="1660"/>
      <c r="R606" s="1660"/>
      <c r="S606" s="1661"/>
      <c r="T606" s="1659">
        <f>Application!DH614</f>
        <v>2</v>
      </c>
      <c r="U606" s="1660"/>
      <c r="V606" s="1660"/>
      <c r="W606" s="1660"/>
      <c r="X606" s="1661"/>
      <c r="Y606" s="1744">
        <f t="shared" si="8"/>
        <v>0.1</v>
      </c>
      <c r="Z606" s="1745"/>
      <c r="AA606" s="1745"/>
      <c r="AB606" s="1745"/>
      <c r="AC606" s="1746"/>
      <c r="AD606"/>
      <c r="AF606"/>
      <c r="AG606"/>
      <c r="AH606"/>
      <c r="AI606"/>
      <c r="AJ606"/>
    </row>
    <row r="607" spans="1:60">
      <c r="D607"/>
      <c r="E607"/>
      <c r="F607"/>
      <c r="G607"/>
      <c r="H607"/>
      <c r="I607"/>
      <c r="J607" s="1738" t="s">
        <v>279</v>
      </c>
      <c r="K607" s="1739"/>
      <c r="L607" s="1739"/>
      <c r="M607" s="1739"/>
      <c r="N607" s="1740"/>
      <c r="O607" s="1659">
        <f>Application!BX613</f>
        <v>40</v>
      </c>
      <c r="P607" s="1660"/>
      <c r="Q607" s="1660"/>
      <c r="R607" s="1660"/>
      <c r="S607" s="1661"/>
      <c r="T607" s="1659">
        <f>Application!DC614</f>
        <v>4</v>
      </c>
      <c r="U607" s="1660"/>
      <c r="V607" s="1660"/>
      <c r="W607" s="1660"/>
      <c r="X607" s="1661"/>
      <c r="Y607" s="1744">
        <f t="shared" si="8"/>
        <v>0.1</v>
      </c>
      <c r="Z607" s="1745"/>
      <c r="AA607" s="1745"/>
      <c r="AB607" s="1745"/>
      <c r="AC607" s="1746"/>
      <c r="AD607"/>
      <c r="AF607"/>
      <c r="AG607"/>
      <c r="AH607"/>
      <c r="AI607"/>
      <c r="AJ607"/>
    </row>
    <row r="608" spans="1:60">
      <c r="D608"/>
      <c r="E608"/>
      <c r="F608"/>
      <c r="G608"/>
      <c r="H608"/>
      <c r="I608"/>
      <c r="J608" s="1738" t="s">
        <v>278</v>
      </c>
      <c r="K608" s="1739"/>
      <c r="L608" s="1739"/>
      <c r="M608" s="1739"/>
      <c r="N608" s="1740"/>
      <c r="O608" s="1659">
        <f>Application!BS613</f>
        <v>0</v>
      </c>
      <c r="P608" s="1660"/>
      <c r="Q608" s="1660"/>
      <c r="R608" s="1660"/>
      <c r="S608" s="1661"/>
      <c r="T608" s="1659">
        <f>Application!CX614</f>
        <v>0</v>
      </c>
      <c r="U608" s="1660"/>
      <c r="V608" s="1660"/>
      <c r="W608" s="1660"/>
      <c r="X608" s="1661"/>
      <c r="Y608" s="1744">
        <f t="shared" si="8"/>
        <v>0</v>
      </c>
      <c r="Z608" s="1745"/>
      <c r="AA608" s="1745"/>
      <c r="AB608" s="1745"/>
      <c r="AC608" s="1746"/>
      <c r="AD608"/>
      <c r="AF608"/>
      <c r="AG608"/>
      <c r="AH608"/>
      <c r="AI608"/>
      <c r="AJ608"/>
    </row>
    <row r="609" spans="1:60">
      <c r="D609"/>
      <c r="E609"/>
      <c r="F609"/>
      <c r="G609"/>
      <c r="H609"/>
      <c r="I609"/>
      <c r="J609" s="1738" t="s">
        <v>651</v>
      </c>
      <c r="K609" s="1739"/>
      <c r="L609" s="1739"/>
      <c r="M609" s="1739"/>
      <c r="N609" s="1740"/>
      <c r="O609" s="1659">
        <f>Application!BN613</f>
        <v>0</v>
      </c>
      <c r="P609" s="1660"/>
      <c r="Q609" s="1660"/>
      <c r="R609" s="1660"/>
      <c r="S609" s="1661"/>
      <c r="T609" s="1659">
        <f>Application!CS614</f>
        <v>0</v>
      </c>
      <c r="U609" s="1660"/>
      <c r="V609" s="1660"/>
      <c r="W609" s="1660"/>
      <c r="X609" s="1661"/>
      <c r="Y609" s="1744">
        <f t="shared" si="8"/>
        <v>0</v>
      </c>
      <c r="Z609" s="1745"/>
      <c r="AA609" s="1745"/>
      <c r="AB609" s="1745"/>
      <c r="AC609" s="1746"/>
      <c r="AD609"/>
      <c r="AF609"/>
      <c r="AG609"/>
      <c r="AH609"/>
      <c r="AI609"/>
      <c r="AJ609"/>
    </row>
    <row r="610" spans="1:60">
      <c r="D610"/>
      <c r="E610"/>
      <c r="F610"/>
      <c r="G610"/>
      <c r="H610"/>
      <c r="I610"/>
      <c r="J610" s="1082" t="s">
        <v>917</v>
      </c>
      <c r="K610" s="1083"/>
      <c r="L610" s="1083"/>
      <c r="M610" s="1083"/>
      <c r="N610" s="1084"/>
      <c r="O610" s="1722">
        <f>SUM(O604:S609)</f>
        <v>60</v>
      </c>
      <c r="P610" s="1723"/>
      <c r="Q610" s="1723"/>
      <c r="R610" s="1723"/>
      <c r="S610" s="1724"/>
      <c r="T610" s="1722">
        <f>SUM(T604:X609)</f>
        <v>6</v>
      </c>
      <c r="U610" s="1723"/>
      <c r="V610" s="1723"/>
      <c r="W610" s="1723"/>
      <c r="X610" s="1724"/>
      <c r="Y610" s="1797" t="s">
        <v>247</v>
      </c>
      <c r="Z610" s="1798"/>
      <c r="AA610" s="1798"/>
      <c r="AB610" s="1798"/>
      <c r="AC610" s="1799"/>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39" t="s">
        <v>1579</v>
      </c>
      <c r="B613" s="1140"/>
      <c r="C613" s="1140"/>
      <c r="D613" s="1140"/>
      <c r="E613" s="1140"/>
      <c r="F613" s="1140"/>
      <c r="G613" s="1140"/>
      <c r="H613" s="1140"/>
      <c r="I613" s="1140"/>
      <c r="J613" s="1140"/>
      <c r="K613" s="1140"/>
      <c r="L613" s="1140"/>
      <c r="M613" s="1140"/>
      <c r="N613" s="1140"/>
      <c r="O613" s="1140"/>
      <c r="P613" s="1140"/>
      <c r="Q613" s="1140"/>
      <c r="R613" s="1140"/>
      <c r="S613" s="1140"/>
      <c r="T613" s="1140"/>
      <c r="U613" s="1140"/>
      <c r="V613" s="1140"/>
      <c r="W613" s="1140"/>
      <c r="X613" s="1140"/>
      <c r="Y613" s="1140"/>
      <c r="Z613" s="1140"/>
      <c r="AA613" s="1140"/>
      <c r="AB613" s="1140"/>
      <c r="AC613" s="1140"/>
      <c r="AD613" s="1140"/>
      <c r="AE613" s="1140"/>
      <c r="AF613" s="1140"/>
      <c r="AG613" s="1140"/>
      <c r="AH613" s="1140"/>
      <c r="AI613" s="1141"/>
      <c r="AJ613" s="1777">
        <v>2</v>
      </c>
      <c r="AK613" s="1778"/>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3" t="s">
        <v>191</v>
      </c>
      <c r="B615" s="1813"/>
      <c r="C615" s="1813"/>
      <c r="D615" s="1813"/>
      <c r="E615" s="1813"/>
      <c r="F615" s="1813"/>
      <c r="G615" s="1813"/>
      <c r="H615" s="1813"/>
      <c r="I615" s="1813"/>
      <c r="J615" s="1813"/>
      <c r="K615" s="1813"/>
      <c r="L615" s="1813"/>
      <c r="M615" s="1813"/>
      <c r="N615" s="1813"/>
      <c r="O615" s="1813"/>
      <c r="P615" s="1813"/>
      <c r="Q615" s="1813"/>
      <c r="R615" s="1813"/>
      <c r="S615" s="1813"/>
      <c r="T615" s="1813"/>
      <c r="U615" s="1813"/>
      <c r="V615" s="1813"/>
      <c r="W615" s="1813"/>
      <c r="X615" s="1813"/>
      <c r="Y615" s="1813"/>
      <c r="Z615" s="1813"/>
      <c r="AA615" s="1813"/>
      <c r="AB615" s="1813"/>
      <c r="AC615" s="1813"/>
      <c r="AD615" s="1813"/>
      <c r="AE615" s="1813"/>
      <c r="AF615" s="1813"/>
      <c r="AG615" s="1813"/>
      <c r="AH615" s="1813"/>
      <c r="AI615" s="1813"/>
      <c r="AJ615" s="1813"/>
      <c r="AK615" s="1256">
        <f>IF($AC$589=0,0,$AC$589+$AJ$613)</f>
        <v>52</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2" t="s">
        <v>1580</v>
      </c>
      <c r="C619" s="1652"/>
      <c r="D619" s="1652"/>
      <c r="E619" s="1652"/>
      <c r="F619" s="1652"/>
      <c r="G619" s="1652"/>
      <c r="H619" s="1652"/>
      <c r="I619" s="1652"/>
      <c r="J619" s="1652"/>
      <c r="K619" s="1652"/>
      <c r="L619" s="1652"/>
      <c r="M619" s="1652"/>
      <c r="N619" s="1652"/>
      <c r="O619" s="1652"/>
      <c r="P619" s="1652"/>
      <c r="Q619" s="1652"/>
      <c r="R619" s="1652"/>
      <c r="S619" s="1652"/>
      <c r="T619" s="1652"/>
      <c r="U619" s="1652"/>
      <c r="V619" s="1652"/>
      <c r="W619" s="1652"/>
      <c r="X619" s="1652"/>
      <c r="Y619" s="1652"/>
      <c r="Z619" s="1652"/>
      <c r="AA619" s="1652"/>
      <c r="AB619" s="1652"/>
      <c r="AC619" s="1652"/>
      <c r="AD619" s="1652"/>
      <c r="AE619" s="1652"/>
      <c r="AF619" s="1652"/>
      <c r="AG619" s="1652"/>
      <c r="AH619" s="1652"/>
      <c r="AI619" s="19"/>
      <c r="AJ619" s="4"/>
      <c r="AK619" s="4"/>
      <c r="AL619" s="4"/>
      <c r="AM619" s="4"/>
    </row>
    <row r="620" spans="1:60">
      <c r="A620" s="4"/>
      <c r="B620" s="1652"/>
      <c r="C620" s="1652"/>
      <c r="D620" s="1652"/>
      <c r="E620" s="1652"/>
      <c r="F620" s="1652"/>
      <c r="G620" s="1652"/>
      <c r="H620" s="1652"/>
      <c r="I620" s="1652"/>
      <c r="J620" s="1652"/>
      <c r="K620" s="1652"/>
      <c r="L620" s="1652"/>
      <c r="M620" s="1652"/>
      <c r="N620" s="1652"/>
      <c r="O620" s="1652"/>
      <c r="P620" s="1652"/>
      <c r="Q620" s="1652"/>
      <c r="R620" s="1652"/>
      <c r="S620" s="1652"/>
      <c r="T620" s="1652"/>
      <c r="U620" s="1652"/>
      <c r="V620" s="1652"/>
      <c r="W620" s="1652"/>
      <c r="X620" s="1652"/>
      <c r="Y620" s="1652"/>
      <c r="Z620" s="1652"/>
      <c r="AA620" s="1652"/>
      <c r="AB620" s="1652"/>
      <c r="AC620" s="1652"/>
      <c r="AD620" s="1652"/>
      <c r="AE620" s="1652"/>
      <c r="AF620" s="1652"/>
      <c r="AG620" s="1652"/>
      <c r="AH620" s="1652"/>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116</v>
      </c>
      <c r="D623" s="1232"/>
      <c r="E623" s="185"/>
      <c r="F623" s="1804" t="s">
        <v>2246</v>
      </c>
      <c r="G623" s="1805"/>
      <c r="H623" s="1805"/>
      <c r="I623" s="1805"/>
      <c r="J623" s="1805"/>
      <c r="K623" s="1805"/>
      <c r="L623" s="1805"/>
      <c r="M623" s="1805"/>
      <c r="N623" s="1805"/>
      <c r="O623" s="1805"/>
      <c r="P623" s="1805"/>
      <c r="Q623" s="1805"/>
      <c r="R623" s="1805"/>
      <c r="S623" s="1805"/>
      <c r="T623" s="1805"/>
      <c r="U623" s="1805"/>
      <c r="V623" s="1805"/>
      <c r="W623" s="1805"/>
      <c r="X623" s="1805"/>
      <c r="Y623" s="1805"/>
      <c r="Z623" s="1805"/>
      <c r="AA623" s="1805"/>
      <c r="AB623" s="1805"/>
      <c r="AC623" s="1805"/>
      <c r="AD623" s="1806"/>
      <c r="AE623" s="4"/>
      <c r="AF623" s="175"/>
      <c r="AG623" s="1039" t="s">
        <v>982</v>
      </c>
      <c r="AH623" s="1039"/>
      <c r="AI623" s="1039"/>
      <c r="AJ623" s="1039"/>
      <c r="AK623" s="4"/>
      <c r="AL623" s="4"/>
      <c r="AM623" s="4"/>
      <c r="AO623" s="4"/>
      <c r="AP623" s="35"/>
    </row>
    <row r="624" spans="1:60">
      <c r="A624" s="4"/>
      <c r="B624" s="20"/>
      <c r="C624" s="45"/>
      <c r="D624" s="4"/>
      <c r="E624" s="185"/>
      <c r="F624" s="1807"/>
      <c r="G624" s="1808"/>
      <c r="H624" s="1808"/>
      <c r="I624" s="1808"/>
      <c r="J624" s="1808"/>
      <c r="K624" s="1808"/>
      <c r="L624" s="1808"/>
      <c r="M624" s="1808"/>
      <c r="N624" s="1808"/>
      <c r="O624" s="1808"/>
      <c r="P624" s="1808"/>
      <c r="Q624" s="1808"/>
      <c r="R624" s="1808"/>
      <c r="S624" s="1808"/>
      <c r="T624" s="1808"/>
      <c r="U624" s="1808"/>
      <c r="V624" s="1808"/>
      <c r="W624" s="1808"/>
      <c r="X624" s="1808"/>
      <c r="Y624" s="1808"/>
      <c r="Z624" s="1808"/>
      <c r="AA624" s="1808"/>
      <c r="AB624" s="1808"/>
      <c r="AC624" s="1808"/>
      <c r="AD624" s="1809"/>
      <c r="AE624" s="4"/>
      <c r="AF624" s="175"/>
      <c r="AG624" s="175"/>
      <c r="AH624" s="175"/>
      <c r="AI624" s="175"/>
      <c r="AJ624" s="4"/>
      <c r="AK624" s="4"/>
      <c r="AL624" s="4"/>
      <c r="AM624" s="4"/>
    </row>
    <row r="625" spans="1:60" ht="13.7" customHeight="1">
      <c r="A625" s="4"/>
      <c r="B625" s="20"/>
      <c r="C625" s="45"/>
      <c r="D625" s="4"/>
      <c r="E625" s="185"/>
      <c r="F625" s="1810"/>
      <c r="G625" s="1811"/>
      <c r="H625" s="1811"/>
      <c r="I625" s="1811"/>
      <c r="J625" s="1811"/>
      <c r="K625" s="1811"/>
      <c r="L625" s="1811"/>
      <c r="M625" s="1811"/>
      <c r="N625" s="1811"/>
      <c r="O625" s="1811"/>
      <c r="P625" s="1811"/>
      <c r="Q625" s="1811"/>
      <c r="R625" s="1811"/>
      <c r="S625" s="1811"/>
      <c r="T625" s="1811"/>
      <c r="U625" s="1811"/>
      <c r="V625" s="1811"/>
      <c r="W625" s="1811"/>
      <c r="X625" s="1811"/>
      <c r="Y625" s="1811"/>
      <c r="Z625" s="1811"/>
      <c r="AA625" s="1811"/>
      <c r="AB625" s="1811"/>
      <c r="AC625" s="1811"/>
      <c r="AD625" s="1812"/>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52" t="s">
        <v>2247</v>
      </c>
      <c r="C627" s="1652"/>
      <c r="D627" s="1652"/>
      <c r="E627" s="1652"/>
      <c r="F627" s="1652"/>
      <c r="G627" s="1652"/>
      <c r="H627" s="1652"/>
      <c r="I627" s="1652"/>
      <c r="J627" s="1652"/>
      <c r="K627" s="1652"/>
      <c r="L627" s="1652"/>
      <c r="M627" s="1652"/>
      <c r="N627" s="1652"/>
      <c r="O627" s="1652"/>
      <c r="P627" s="1652"/>
      <c r="Q627" s="1652"/>
      <c r="R627" s="1652"/>
      <c r="S627" s="1652"/>
      <c r="T627" s="1652"/>
      <c r="U627" s="1652"/>
      <c r="V627" s="1652"/>
      <c r="W627" s="1652"/>
      <c r="X627" s="1652"/>
      <c r="Y627" s="1652"/>
      <c r="Z627" s="1652"/>
      <c r="AA627" s="1652"/>
      <c r="AB627" s="1652"/>
      <c r="AC627" s="1652"/>
      <c r="AD627" s="1652"/>
      <c r="AE627" s="1652"/>
      <c r="AF627" s="1652"/>
      <c r="AG627" s="1652"/>
      <c r="AH627" s="1652"/>
      <c r="AI627" s="175"/>
      <c r="AJ627" s="4"/>
      <c r="AK627" s="4"/>
      <c r="AL627" s="4"/>
      <c r="AM627" s="4"/>
      <c r="AN627" s="79"/>
    </row>
    <row r="628" spans="1:60" ht="13.7" customHeight="1">
      <c r="B628" s="1652"/>
      <c r="C628" s="1652"/>
      <c r="D628" s="1652"/>
      <c r="E628" s="1652"/>
      <c r="F628" s="1652"/>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2"/>
      <c r="AF628" s="1652"/>
      <c r="AG628" s="1652"/>
      <c r="AH628" s="1652"/>
      <c r="AI628" s="162"/>
      <c r="AJ628" s="4"/>
      <c r="AK628" s="4"/>
      <c r="AL628" s="4"/>
      <c r="AM628" s="4"/>
      <c r="AN628" s="79"/>
      <c r="AR628" s="41"/>
    </row>
    <row r="629" spans="1:60" ht="13.7" customHeight="1">
      <c r="A629" s="4"/>
      <c r="B629" s="1652"/>
      <c r="C629" s="1652"/>
      <c r="D629" s="1652"/>
      <c r="E629" s="1652"/>
      <c r="F629" s="1652"/>
      <c r="G629" s="1652"/>
      <c r="H629" s="1652"/>
      <c r="I629" s="1652"/>
      <c r="J629" s="1652"/>
      <c r="K629" s="1652"/>
      <c r="L629" s="1652"/>
      <c r="M629" s="1652"/>
      <c r="N629" s="1652"/>
      <c r="O629" s="1652"/>
      <c r="P629" s="1652"/>
      <c r="Q629" s="1652"/>
      <c r="R629" s="1652"/>
      <c r="S629" s="1652"/>
      <c r="T629" s="1652"/>
      <c r="U629" s="1652"/>
      <c r="V629" s="1652"/>
      <c r="W629" s="1652"/>
      <c r="X629" s="1652"/>
      <c r="Y629" s="1652"/>
      <c r="Z629" s="1652"/>
      <c r="AA629" s="1652"/>
      <c r="AB629" s="1652"/>
      <c r="AC629" s="1652"/>
      <c r="AD629" s="1652"/>
      <c r="AE629" s="1652"/>
      <c r="AF629" s="1652"/>
      <c r="AG629" s="1652"/>
      <c r="AH629" s="1652"/>
      <c r="AI629" s="162"/>
      <c r="AJ629" s="4"/>
      <c r="AK629" s="4"/>
      <c r="AL629" s="4"/>
      <c r="AM629" s="4"/>
      <c r="AN629" s="79"/>
    </row>
    <row r="630" spans="1:60" ht="13.7" customHeight="1">
      <c r="A630" s="4"/>
      <c r="B630" s="1652"/>
      <c r="C630" s="1652"/>
      <c r="D630" s="1652"/>
      <c r="E630" s="1652"/>
      <c r="F630" s="1652"/>
      <c r="G630" s="1652"/>
      <c r="H630" s="1652"/>
      <c r="I630" s="1652"/>
      <c r="J630" s="1652"/>
      <c r="K630" s="1652"/>
      <c r="L630" s="1652"/>
      <c r="M630" s="1652"/>
      <c r="N630" s="1652"/>
      <c r="O630" s="1652"/>
      <c r="P630" s="1652"/>
      <c r="Q630" s="1652"/>
      <c r="R630" s="1652"/>
      <c r="S630" s="1652"/>
      <c r="T630" s="1652"/>
      <c r="U630" s="1652"/>
      <c r="V630" s="1652"/>
      <c r="W630" s="1652"/>
      <c r="X630" s="1652"/>
      <c r="Y630" s="1652"/>
      <c r="Z630" s="1652"/>
      <c r="AA630" s="1652"/>
      <c r="AB630" s="1652"/>
      <c r="AC630" s="1652"/>
      <c r="AD630" s="1652"/>
      <c r="AE630" s="1652"/>
      <c r="AF630" s="1652"/>
      <c r="AG630" s="1652"/>
      <c r="AH630" s="1652"/>
      <c r="AI630" s="162"/>
      <c r="AJ630" s="4"/>
      <c r="AK630" s="4"/>
      <c r="AL630" s="4"/>
      <c r="AM630" s="4"/>
      <c r="AN630" s="79"/>
    </row>
    <row r="631" spans="1:60" ht="13.7" customHeight="1">
      <c r="A631" s="4"/>
      <c r="B631" s="1652"/>
      <c r="C631" s="1652"/>
      <c r="D631" s="1652"/>
      <c r="E631" s="1652"/>
      <c r="F631" s="1652"/>
      <c r="G631" s="1652"/>
      <c r="H631" s="1652"/>
      <c r="I631" s="1652"/>
      <c r="J631" s="1652"/>
      <c r="K631" s="1652"/>
      <c r="L631" s="1652"/>
      <c r="M631" s="1652"/>
      <c r="N631" s="1652"/>
      <c r="O631" s="1652"/>
      <c r="P631" s="1652"/>
      <c r="Q631" s="1652"/>
      <c r="R631" s="1652"/>
      <c r="S631" s="1652"/>
      <c r="T631" s="1652"/>
      <c r="U631" s="1652"/>
      <c r="V631" s="1652"/>
      <c r="W631" s="1652"/>
      <c r="X631" s="1652"/>
      <c r="Y631" s="1652"/>
      <c r="Z631" s="1652"/>
      <c r="AA631" s="1652"/>
      <c r="AB631" s="1652"/>
      <c r="AC631" s="1652"/>
      <c r="AD631" s="1652"/>
      <c r="AE631" s="1652"/>
      <c r="AF631" s="1652"/>
      <c r="AG631" s="1652"/>
      <c r="AH631" s="1652"/>
      <c r="AI631" s="162"/>
      <c r="AJ631" s="4"/>
      <c r="AK631" s="4"/>
      <c r="AL631" s="4"/>
      <c r="AM631" s="4"/>
      <c r="AN631" s="79"/>
    </row>
    <row r="632" spans="1:60" ht="13.7" customHeight="1">
      <c r="A632" s="4"/>
      <c r="B632" s="1652"/>
      <c r="C632" s="1652"/>
      <c r="D632" s="1652"/>
      <c r="E632" s="1652"/>
      <c r="F632" s="1652"/>
      <c r="G632" s="1652"/>
      <c r="H632" s="1652"/>
      <c r="I632" s="1652"/>
      <c r="J632" s="1652"/>
      <c r="K632" s="1652"/>
      <c r="L632" s="1652"/>
      <c r="M632" s="1652"/>
      <c r="N632" s="1652"/>
      <c r="O632" s="1652"/>
      <c r="P632" s="1652"/>
      <c r="Q632" s="1652"/>
      <c r="R632" s="1652"/>
      <c r="S632" s="1652"/>
      <c r="T632" s="1652"/>
      <c r="U632" s="1652"/>
      <c r="V632" s="1652"/>
      <c r="W632" s="1652"/>
      <c r="X632" s="1652"/>
      <c r="Y632" s="1652"/>
      <c r="Z632" s="1652"/>
      <c r="AA632" s="1652"/>
      <c r="AB632" s="1652"/>
      <c r="AC632" s="1652"/>
      <c r="AD632" s="1652"/>
      <c r="AE632" s="1652"/>
      <c r="AF632" s="1652"/>
      <c r="AG632" s="1652"/>
      <c r="AH632" s="1652"/>
      <c r="AI632" s="162"/>
      <c r="AJ632" s="4"/>
      <c r="AK632" s="4"/>
      <c r="AL632" s="4"/>
      <c r="AM632" s="4"/>
      <c r="AN632" s="79"/>
    </row>
    <row r="633" spans="1:60" ht="13.7" customHeight="1">
      <c r="A633" s="4"/>
      <c r="B633" s="1652"/>
      <c r="C633" s="1652"/>
      <c r="D633" s="1652"/>
      <c r="E633" s="1652"/>
      <c r="F633" s="1652"/>
      <c r="G633" s="1652"/>
      <c r="H633" s="1652"/>
      <c r="I633" s="1652"/>
      <c r="J633" s="1652"/>
      <c r="K633" s="1652"/>
      <c r="L633" s="1652"/>
      <c r="M633" s="1652"/>
      <c r="N633" s="1652"/>
      <c r="O633" s="1652"/>
      <c r="P633" s="1652"/>
      <c r="Q633" s="1652"/>
      <c r="R633" s="1652"/>
      <c r="S633" s="1652"/>
      <c r="T633" s="1652"/>
      <c r="U633" s="1652"/>
      <c r="V633" s="1652"/>
      <c r="W633" s="1652"/>
      <c r="X633" s="1652"/>
      <c r="Y633" s="1652"/>
      <c r="Z633" s="1652"/>
      <c r="AA633" s="1652"/>
      <c r="AB633" s="1652"/>
      <c r="AC633" s="1652"/>
      <c r="AD633" s="1652"/>
      <c r="AE633" s="1652"/>
      <c r="AF633" s="1652"/>
      <c r="AG633" s="1652"/>
      <c r="AH633" s="1652"/>
      <c r="AI633" s="162"/>
      <c r="AJ633" s="4"/>
      <c r="AK633" s="4"/>
      <c r="AL633" s="4"/>
      <c r="AM633" s="4"/>
      <c r="AN633" s="79"/>
    </row>
    <row r="634" spans="1:60">
      <c r="A634" s="4"/>
      <c r="B634" s="1652"/>
      <c r="C634" s="1652"/>
      <c r="D634" s="1652"/>
      <c r="E634" s="1652"/>
      <c r="F634" s="1652"/>
      <c r="G634" s="1652"/>
      <c r="H634" s="1652"/>
      <c r="I634" s="1652"/>
      <c r="J634" s="1652"/>
      <c r="K634" s="1652"/>
      <c r="L634" s="1652"/>
      <c r="M634" s="1652"/>
      <c r="N634" s="1652"/>
      <c r="O634" s="1652"/>
      <c r="P634" s="1652"/>
      <c r="Q634" s="1652"/>
      <c r="R634" s="1652"/>
      <c r="S634" s="1652"/>
      <c r="T634" s="1652"/>
      <c r="U634" s="1652"/>
      <c r="V634" s="1652"/>
      <c r="W634" s="1652"/>
      <c r="X634" s="1652"/>
      <c r="Y634" s="1652"/>
      <c r="Z634" s="1652"/>
      <c r="AA634" s="1652"/>
      <c r="AB634" s="1652"/>
      <c r="AC634" s="1652"/>
      <c r="AD634" s="1652"/>
      <c r="AE634" s="1652"/>
      <c r="AF634" s="1652"/>
      <c r="AG634" s="1652"/>
      <c r="AH634" s="1652"/>
      <c r="AI634" s="162"/>
      <c r="AJ634" s="4"/>
      <c r="AK634" s="4"/>
      <c r="AL634" s="4"/>
      <c r="AM634" s="4"/>
      <c r="AN634" s="79"/>
    </row>
    <row r="635" spans="1:60">
      <c r="A635" s="4"/>
      <c r="B635" s="1652"/>
      <c r="C635" s="1652"/>
      <c r="D635" s="1652"/>
      <c r="E635" s="1652"/>
      <c r="F635" s="1652"/>
      <c r="G635" s="1652"/>
      <c r="H635" s="1652"/>
      <c r="I635" s="1652"/>
      <c r="J635" s="1652"/>
      <c r="K635" s="1652"/>
      <c r="L635" s="1652"/>
      <c r="M635" s="1652"/>
      <c r="N635" s="1652"/>
      <c r="O635" s="1652"/>
      <c r="P635" s="1652"/>
      <c r="Q635" s="1652"/>
      <c r="R635" s="1652"/>
      <c r="S635" s="1652"/>
      <c r="T635" s="1652"/>
      <c r="U635" s="1652"/>
      <c r="V635" s="1652"/>
      <c r="W635" s="1652"/>
      <c r="X635" s="1652"/>
      <c r="Y635" s="1652"/>
      <c r="Z635" s="1652"/>
      <c r="AA635" s="1652"/>
      <c r="AB635" s="1652"/>
      <c r="AC635" s="1652"/>
      <c r="AD635" s="1652"/>
      <c r="AE635" s="1652"/>
      <c r="AF635" s="1652"/>
      <c r="AG635" s="1652"/>
      <c r="AH635" s="1652"/>
      <c r="AI635" s="162"/>
      <c r="AJ635" s="4"/>
      <c r="AK635" s="4"/>
      <c r="AL635" s="4"/>
      <c r="AM635" s="4"/>
      <c r="AN635" s="79"/>
    </row>
    <row r="636" spans="1:60">
      <c r="A636" s="4"/>
      <c r="B636" s="1652"/>
      <c r="C636" s="1652"/>
      <c r="D636" s="1652"/>
      <c r="E636" s="1652"/>
      <c r="F636" s="1652"/>
      <c r="G636" s="1652"/>
      <c r="H636" s="1652"/>
      <c r="I636" s="1652"/>
      <c r="J636" s="1652"/>
      <c r="K636" s="1652"/>
      <c r="L636" s="1652"/>
      <c r="M636" s="1652"/>
      <c r="N636" s="1652"/>
      <c r="O636" s="1652"/>
      <c r="P636" s="1652"/>
      <c r="Q636" s="1652"/>
      <c r="R636" s="1652"/>
      <c r="S636" s="1652"/>
      <c r="T636" s="1652"/>
      <c r="U636" s="1652"/>
      <c r="V636" s="1652"/>
      <c r="W636" s="1652"/>
      <c r="X636" s="1652"/>
      <c r="Y636" s="1652"/>
      <c r="Z636" s="1652"/>
      <c r="AA636" s="1652"/>
      <c r="AB636" s="1652"/>
      <c r="AC636" s="1652"/>
      <c r="AD636" s="1652"/>
      <c r="AE636" s="1652"/>
      <c r="AF636" s="1652"/>
      <c r="AG636" s="1652"/>
      <c r="AH636" s="1652"/>
      <c r="AI636" s="162"/>
      <c r="AJ636" s="4"/>
      <c r="AK636" s="4"/>
      <c r="AL636" s="4"/>
      <c r="AM636" s="4"/>
      <c r="AN636" s="79"/>
    </row>
    <row r="637" spans="1:60">
      <c r="A637" s="4"/>
      <c r="B637" s="1652"/>
      <c r="C637" s="1652"/>
      <c r="D637" s="1652"/>
      <c r="E637" s="1652"/>
      <c r="F637" s="1652"/>
      <c r="G637" s="1652"/>
      <c r="H637" s="1652"/>
      <c r="I637" s="1652"/>
      <c r="J637" s="1652"/>
      <c r="K637" s="1652"/>
      <c r="L637" s="1652"/>
      <c r="M637" s="1652"/>
      <c r="N637" s="1652"/>
      <c r="O637" s="1652"/>
      <c r="P637" s="1652"/>
      <c r="Q637" s="1652"/>
      <c r="R637" s="1652"/>
      <c r="S637" s="1652"/>
      <c r="T637" s="1652"/>
      <c r="U637" s="1652"/>
      <c r="V637" s="1652"/>
      <c r="W637" s="1652"/>
      <c r="X637" s="1652"/>
      <c r="Y637" s="1652"/>
      <c r="Z637" s="1652"/>
      <c r="AA637" s="1652"/>
      <c r="AB637" s="1652"/>
      <c r="AC637" s="1652"/>
      <c r="AD637" s="1652"/>
      <c r="AE637" s="1652"/>
      <c r="AF637" s="1652"/>
      <c r="AG637" s="1652"/>
      <c r="AH637" s="1652"/>
      <c r="AI637" s="162"/>
      <c r="AJ637" s="4"/>
      <c r="AK637" s="4"/>
      <c r="AL637" s="4"/>
      <c r="AM637" s="4"/>
      <c r="AN637" s="79"/>
    </row>
    <row r="638" spans="1:60" s="659" customFormat="1" ht="12.4" customHeight="1">
      <c r="A638" s="4"/>
      <c r="B638" s="1652"/>
      <c r="C638" s="1652"/>
      <c r="D638" s="1652"/>
      <c r="E638" s="1652"/>
      <c r="F638" s="1652"/>
      <c r="G638" s="1652"/>
      <c r="H638" s="1652"/>
      <c r="I638" s="1652"/>
      <c r="J638" s="1652"/>
      <c r="K638" s="1652"/>
      <c r="L638" s="1652"/>
      <c r="M638" s="1652"/>
      <c r="N638" s="1652"/>
      <c r="O638" s="1652"/>
      <c r="P638" s="1652"/>
      <c r="Q638" s="1652"/>
      <c r="R638" s="1652"/>
      <c r="S638" s="1652"/>
      <c r="T638" s="1652"/>
      <c r="U638" s="1652"/>
      <c r="V638" s="1652"/>
      <c r="W638" s="1652"/>
      <c r="X638" s="1652"/>
      <c r="Y638" s="1652"/>
      <c r="Z638" s="1652"/>
      <c r="AA638" s="1652"/>
      <c r="AB638" s="1652"/>
      <c r="AC638" s="1652"/>
      <c r="AD638" s="1652"/>
      <c r="AE638" s="1652"/>
      <c r="AF638" s="1652"/>
      <c r="AG638" s="1652"/>
      <c r="AH638" s="1652"/>
      <c r="AI638" s="162"/>
      <c r="AJ638" s="4"/>
      <c r="AK638" s="4"/>
      <c r="AL638" s="4"/>
      <c r="AM638" s="4"/>
      <c r="AN638" s="693"/>
      <c r="BD638" s="661"/>
      <c r="BE638" s="661"/>
      <c r="BF638" s="661"/>
      <c r="BG638" s="661"/>
      <c r="BH638" s="661"/>
    </row>
    <row r="639" spans="1:60">
      <c r="A639" s="4"/>
      <c r="B639" s="1652"/>
      <c r="C639" s="1652"/>
      <c r="D639" s="1652"/>
      <c r="E639" s="1652"/>
      <c r="F639" s="1652"/>
      <c r="G639" s="1652"/>
      <c r="H639" s="1652"/>
      <c r="I639" s="1652"/>
      <c r="J639" s="1652"/>
      <c r="K639" s="1652"/>
      <c r="L639" s="1652"/>
      <c r="M639" s="1652"/>
      <c r="N639" s="1652"/>
      <c r="O639" s="1652"/>
      <c r="P639" s="1652"/>
      <c r="Q639" s="1652"/>
      <c r="R639" s="1652"/>
      <c r="S639" s="1652"/>
      <c r="T639" s="1652"/>
      <c r="U639" s="1652"/>
      <c r="V639" s="1652"/>
      <c r="W639" s="1652"/>
      <c r="X639" s="1652"/>
      <c r="Y639" s="1652"/>
      <c r="Z639" s="1652"/>
      <c r="AA639" s="1652"/>
      <c r="AB639" s="1652"/>
      <c r="AC639" s="1652"/>
      <c r="AD639" s="1652"/>
      <c r="AE639" s="1652"/>
      <c r="AF639" s="1652"/>
      <c r="AG639" s="1652"/>
      <c r="AH639" s="165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132</v>
      </c>
      <c r="D646" s="1232"/>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116</v>
      </c>
      <c r="D655" s="1232"/>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296</v>
      </c>
      <c r="F669" s="1652" t="s">
        <v>2350</v>
      </c>
      <c r="G669" s="1652"/>
      <c r="H669" s="1652"/>
      <c r="I669" s="1652"/>
      <c r="J669" s="1652"/>
      <c r="K669" s="1652"/>
      <c r="L669" s="1652"/>
      <c r="M669" s="1652"/>
      <c r="N669" s="1652"/>
      <c r="O669" s="1652"/>
      <c r="P669" s="1652"/>
      <c r="Q669" s="1652"/>
      <c r="R669" s="1652"/>
      <c r="S669" s="1652"/>
      <c r="T669" s="1652"/>
      <c r="U669" s="1652"/>
      <c r="V669" s="1652"/>
      <c r="W669" s="1652"/>
      <c r="X669" s="1652"/>
      <c r="Y669" s="1652"/>
      <c r="Z669" s="1652"/>
      <c r="AA669" s="1652"/>
      <c r="AB669" s="1652"/>
      <c r="AC669" s="1652"/>
      <c r="AD669" s="1652"/>
      <c r="AE669" s="19"/>
      <c r="AF669" s="19"/>
      <c r="AG669" s="3" t="s">
        <v>111</v>
      </c>
      <c r="AH669" s="19"/>
      <c r="AI669" s="19"/>
      <c r="AJ669" s="4"/>
      <c r="AK669" s="4"/>
      <c r="AL669" s="4"/>
      <c r="AM669" s="4"/>
      <c r="AN669" s="79"/>
      <c r="AO669" s="21"/>
    </row>
    <row r="670" spans="1:41">
      <c r="A670" s="4"/>
      <c r="B670" s="19"/>
      <c r="C670" s="19"/>
      <c r="D670" s="19"/>
      <c r="E670" s="19"/>
      <c r="F670" s="1652"/>
      <c r="G670" s="1652"/>
      <c r="H670" s="1652"/>
      <c r="I670" s="1652"/>
      <c r="J670" s="1652"/>
      <c r="K670" s="1652"/>
      <c r="L670" s="1652"/>
      <c r="M670" s="1652"/>
      <c r="N670" s="1652"/>
      <c r="O670" s="1652"/>
      <c r="P670" s="1652"/>
      <c r="Q670" s="1652"/>
      <c r="R670" s="1652"/>
      <c r="S670" s="1652"/>
      <c r="T670" s="1652"/>
      <c r="U670" s="1652"/>
      <c r="V670" s="1652"/>
      <c r="W670" s="1652"/>
      <c r="X670" s="1652"/>
      <c r="Y670" s="1652"/>
      <c r="Z670" s="1652"/>
      <c r="AA670" s="1652"/>
      <c r="AB670" s="1652"/>
      <c r="AC670" s="1652"/>
      <c r="AD670" s="1652"/>
      <c r="AE670" s="19"/>
      <c r="AF670" s="19"/>
      <c r="AG670" s="19"/>
      <c r="AH670" s="19"/>
      <c r="AI670" s="19"/>
      <c r="AJ670" s="4"/>
      <c r="AK670" s="4"/>
      <c r="AL670" s="4"/>
      <c r="AM670" s="4"/>
      <c r="AN670" s="79"/>
      <c r="AO670" s="21"/>
    </row>
    <row r="671" spans="1:41" ht="0.75" customHeight="1">
      <c r="A671" s="4"/>
      <c r="B671" s="19"/>
      <c r="C671" s="19"/>
      <c r="D671" s="19"/>
      <c r="E671" s="19"/>
      <c r="F671" s="1652"/>
      <c r="G671" s="1652"/>
      <c r="H671" s="1652"/>
      <c r="I671" s="1652"/>
      <c r="J671" s="1652"/>
      <c r="K671" s="1652"/>
      <c r="L671" s="1652"/>
      <c r="M671" s="1652"/>
      <c r="N671" s="1652"/>
      <c r="O671" s="1652"/>
      <c r="P671" s="1652"/>
      <c r="Q671" s="1652"/>
      <c r="R671" s="1652"/>
      <c r="S671" s="1652"/>
      <c r="T671" s="1652"/>
      <c r="U671" s="1652"/>
      <c r="V671" s="1652"/>
      <c r="W671" s="1652"/>
      <c r="X671" s="1652"/>
      <c r="Y671" s="1652"/>
      <c r="Z671" s="1652"/>
      <c r="AA671" s="1652"/>
      <c r="AB671" s="1652"/>
      <c r="AC671" s="1652"/>
      <c r="AD671" s="165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5" t="s">
        <v>758</v>
      </c>
      <c r="B687" s="1795"/>
      <c r="C687" s="1795"/>
      <c r="D687" s="1795"/>
      <c r="E687" s="1795"/>
      <c r="F687" s="1795"/>
      <c r="G687" s="1795"/>
      <c r="H687" s="1795"/>
      <c r="I687" s="1795"/>
      <c r="J687" s="1795"/>
      <c r="K687" s="1795"/>
      <c r="L687" s="1795"/>
      <c r="M687" s="1795"/>
      <c r="N687" s="1795"/>
      <c r="O687" s="1795"/>
      <c r="P687" s="1795"/>
      <c r="Q687" s="1795"/>
      <c r="R687" s="1795"/>
      <c r="S687" s="1795"/>
      <c r="T687" s="1795"/>
      <c r="U687" s="1795"/>
      <c r="V687" s="1795"/>
      <c r="W687" s="1795"/>
      <c r="X687" s="1795"/>
      <c r="Y687" s="1795"/>
      <c r="Z687" s="1795"/>
      <c r="AA687" s="1795"/>
      <c r="AB687" s="1795"/>
      <c r="AC687" s="1795"/>
      <c r="AD687" s="1795"/>
      <c r="AE687" s="1795"/>
      <c r="AF687" s="1795"/>
      <c r="AG687" s="1795"/>
      <c r="AH687" s="1795"/>
      <c r="AI687" s="1795"/>
      <c r="AJ687" s="1795"/>
      <c r="AK687" s="1795"/>
      <c r="AL687" s="1795"/>
      <c r="AM687" s="1795"/>
      <c r="AO687" s="206"/>
      <c r="AP687" s="206"/>
      <c r="AQ687" s="206"/>
    </row>
    <row r="688" spans="1:60">
      <c r="A688" s="1796"/>
      <c r="B688" s="1796"/>
      <c r="C688" s="1796"/>
      <c r="D688" s="1796"/>
      <c r="E688" s="1796"/>
      <c r="F688" s="1796"/>
      <c r="G688" s="1796"/>
      <c r="H688" s="1796"/>
      <c r="I688" s="1796"/>
      <c r="J688" s="1796"/>
      <c r="K688" s="1796"/>
      <c r="L688" s="1796"/>
      <c r="M688" s="1796"/>
      <c r="N688" s="1796"/>
      <c r="O688" s="1796"/>
      <c r="P688" s="1796"/>
      <c r="Q688" s="1796"/>
      <c r="R688" s="1796"/>
      <c r="S688" s="1796"/>
      <c r="T688" s="1796"/>
      <c r="U688" s="1796"/>
      <c r="V688" s="1796"/>
      <c r="W688" s="1796"/>
      <c r="X688" s="1796"/>
      <c r="Y688" s="1796"/>
      <c r="Z688" s="1796"/>
      <c r="AA688" s="1796"/>
      <c r="AB688" s="1796"/>
      <c r="AC688" s="1796"/>
      <c r="AD688" s="1796"/>
      <c r="AE688" s="1796"/>
      <c r="AF688" s="1796"/>
      <c r="AG688" s="1796"/>
      <c r="AH688" s="1796"/>
      <c r="AI688" s="1796"/>
      <c r="AJ688" s="1796"/>
      <c r="AK688" s="1796"/>
      <c r="AL688" s="1796"/>
      <c r="AM688" s="1796"/>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7" t="s">
        <v>2040</v>
      </c>
      <c r="B690" s="1647"/>
      <c r="C690" s="1647"/>
      <c r="D690" s="1647"/>
      <c r="E690" s="1647"/>
      <c r="F690" s="1647"/>
      <c r="G690" s="1647"/>
      <c r="H690" s="1647"/>
      <c r="I690" s="1647"/>
      <c r="J690" s="1647"/>
      <c r="K690" s="1647"/>
      <c r="L690" s="1647"/>
      <c r="M690" s="1647"/>
      <c r="N690" s="1647"/>
      <c r="O690" s="1647"/>
      <c r="P690" s="1647"/>
      <c r="Q690" s="1647"/>
      <c r="R690" s="1647"/>
      <c r="S690" s="1647"/>
      <c r="T690" s="1647"/>
      <c r="U690" s="1647"/>
      <c r="V690" s="1647"/>
      <c r="W690" s="1647"/>
      <c r="X690" s="1647"/>
      <c r="Y690" s="1647"/>
      <c r="Z690" s="1647"/>
      <c r="AA690" s="1647"/>
      <c r="AB690" s="1647"/>
      <c r="AC690" s="1647"/>
      <c r="AD690" s="1647"/>
      <c r="AE690" s="1647"/>
      <c r="AF690" s="1647"/>
      <c r="AG690" s="1647"/>
      <c r="AH690" s="1647"/>
      <c r="AI690" s="1647"/>
      <c r="AJ690" s="1647"/>
      <c r="AK690" s="1647"/>
      <c r="AL690" s="1647"/>
      <c r="AM690" s="1647"/>
      <c r="AO690" s="206">
        <f>IF(T699&gt;15,15,T699)</f>
        <v>15</v>
      </c>
      <c r="AP690" s="206"/>
      <c r="AQ690" s="206"/>
    </row>
    <row r="691" spans="1:43">
      <c r="A691" s="1647" t="s">
        <v>2041</v>
      </c>
      <c r="B691" s="1647"/>
      <c r="C691" s="1647"/>
      <c r="D691" s="1647"/>
      <c r="E691" s="1647"/>
      <c r="F691" s="1647"/>
      <c r="G691" s="1647"/>
      <c r="H691" s="1647"/>
      <c r="I691" s="1647"/>
      <c r="J691" s="1647"/>
      <c r="K691" s="1647"/>
      <c r="L691" s="1647"/>
      <c r="M691" s="1647"/>
      <c r="N691" s="1647"/>
      <c r="O691" s="1647"/>
      <c r="P691" s="1647"/>
      <c r="Q691" s="1647"/>
      <c r="R691" s="1647"/>
      <c r="S691" s="1647"/>
      <c r="T691" s="1647"/>
      <c r="U691" s="1647"/>
      <c r="V691" s="1647"/>
      <c r="W691" s="1647"/>
      <c r="X691" s="1647"/>
      <c r="Y691" s="1647"/>
      <c r="Z691" s="1647"/>
      <c r="AA691" s="1647"/>
      <c r="AB691" s="1647"/>
      <c r="AC691" s="1647"/>
      <c r="AD691" s="1647"/>
      <c r="AE691" s="1647"/>
      <c r="AF691" s="1647"/>
      <c r="AG691" s="1647"/>
      <c r="AH691" s="1647"/>
      <c r="AI691" s="1647"/>
      <c r="AJ691" s="1647"/>
      <c r="AK691" s="1647"/>
      <c r="AL691" s="1647"/>
      <c r="AM691" s="164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1" t="s">
        <v>249</v>
      </c>
      <c r="U692" s="1181"/>
      <c r="V692" s="1181"/>
      <c r="W692" s="1181"/>
      <c r="X692" s="1181"/>
      <c r="Y692" s="1182"/>
      <c r="Z692" s="1551" t="s">
        <v>248</v>
      </c>
      <c r="AA692" s="1181"/>
      <c r="AB692" s="1181"/>
      <c r="AC692" s="1181"/>
      <c r="AD692" s="1181"/>
      <c r="AE692" s="1182"/>
      <c r="AF692" s="1551" t="s">
        <v>250</v>
      </c>
      <c r="AG692" s="1181"/>
      <c r="AH692" s="1181"/>
      <c r="AI692" s="1181"/>
      <c r="AJ692" s="1181"/>
      <c r="AK692" s="118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3"/>
      <c r="U693" s="1183"/>
      <c r="V693" s="1183"/>
      <c r="W693" s="1183"/>
      <c r="X693" s="1183"/>
      <c r="Y693" s="1184"/>
      <c r="Z693" s="1513"/>
      <c r="AA693" s="1183"/>
      <c r="AB693" s="1183"/>
      <c r="AC693" s="1183"/>
      <c r="AD693" s="1183"/>
      <c r="AE693" s="1184"/>
      <c r="AF693" s="1513"/>
      <c r="AG693" s="1183"/>
      <c r="AH693" s="1183"/>
      <c r="AI693" s="1183"/>
      <c r="AJ693" s="1183"/>
      <c r="AK693" s="1184"/>
      <c r="AL693" s="795"/>
      <c r="AM693" s="20"/>
    </row>
    <row r="694" spans="1:43">
      <c r="A694" s="609" t="s">
        <v>689</v>
      </c>
      <c r="B694" s="1764" t="s">
        <v>285</v>
      </c>
      <c r="C694" s="1764"/>
      <c r="D694" s="1764"/>
      <c r="E694" s="1764"/>
      <c r="F694" s="1764"/>
      <c r="G694" s="1764"/>
      <c r="H694" s="1764"/>
      <c r="I694" s="1764"/>
      <c r="J694" s="1764"/>
      <c r="K694" s="1764"/>
      <c r="L694" s="1764"/>
      <c r="M694" s="1764"/>
      <c r="N694" s="1764"/>
      <c r="O694" s="1764"/>
      <c r="P694" s="1764"/>
      <c r="Q694" s="1764"/>
      <c r="R694" s="1764"/>
      <c r="S694" s="1765"/>
      <c r="T694" s="1763">
        <f>SUM(T695:Y696)</f>
        <v>10</v>
      </c>
      <c r="U694" s="1763"/>
      <c r="V694" s="1763"/>
      <c r="W694" s="1763"/>
      <c r="X694" s="1763"/>
      <c r="Y694" s="1763"/>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c r="A695" s="629"/>
      <c r="B695" s="630"/>
      <c r="C695" s="635"/>
      <c r="D695" s="307" t="s">
        <v>224</v>
      </c>
      <c r="E695" s="1767" t="s">
        <v>251</v>
      </c>
      <c r="F695" s="1767"/>
      <c r="G695" s="1767"/>
      <c r="H695" s="1767"/>
      <c r="I695" s="1767"/>
      <c r="J695" s="1767"/>
      <c r="K695" s="1767"/>
      <c r="L695" s="1767"/>
      <c r="M695" s="1767"/>
      <c r="N695" s="1767"/>
      <c r="O695" s="1767"/>
      <c r="P695" s="1767"/>
      <c r="Q695" s="1767"/>
      <c r="R695" s="1767"/>
      <c r="S695" s="1768"/>
      <c r="T695" s="1766">
        <f>AJ31</f>
        <v>7</v>
      </c>
      <c r="U695" s="1766"/>
      <c r="V695" s="1766"/>
      <c r="W695" s="1766"/>
      <c r="X695" s="1766"/>
      <c r="Y695" s="1766"/>
      <c r="Z695" s="1671">
        <v>7</v>
      </c>
      <c r="AA695" s="1671"/>
      <c r="AB695" s="1671"/>
      <c r="AC695" s="1671"/>
      <c r="AD695" s="1671"/>
      <c r="AE695" s="1671"/>
      <c r="AF695" s="1779"/>
      <c r="AG695" s="1779"/>
      <c r="AH695" s="1779"/>
      <c r="AI695" s="1779"/>
      <c r="AJ695" s="1779"/>
      <c r="AK695" s="1779"/>
      <c r="AL695" s="795"/>
      <c r="AM695" s="20"/>
    </row>
    <row r="696" spans="1:43">
      <c r="A696" s="631"/>
      <c r="B696" s="630"/>
      <c r="C696" s="630"/>
      <c r="D696" s="307" t="s">
        <v>457</v>
      </c>
      <c r="E696" s="1767" t="s">
        <v>252</v>
      </c>
      <c r="F696" s="1767"/>
      <c r="G696" s="1767"/>
      <c r="H696" s="1767"/>
      <c r="I696" s="1767"/>
      <c r="J696" s="1767"/>
      <c r="K696" s="1767"/>
      <c r="L696" s="1767"/>
      <c r="M696" s="1767"/>
      <c r="N696" s="1767"/>
      <c r="O696" s="1767"/>
      <c r="P696" s="1767"/>
      <c r="Q696" s="1767"/>
      <c r="R696" s="1767"/>
      <c r="S696" s="1768"/>
      <c r="T696" s="1766">
        <f>AJ47</f>
        <v>3</v>
      </c>
      <c r="U696" s="1766"/>
      <c r="V696" s="1766"/>
      <c r="W696" s="1766"/>
      <c r="X696" s="1766"/>
      <c r="Y696" s="1766"/>
      <c r="Z696" s="1671">
        <v>3</v>
      </c>
      <c r="AA696" s="1671"/>
      <c r="AB696" s="1671"/>
      <c r="AC696" s="1671"/>
      <c r="AD696" s="1671"/>
      <c r="AE696" s="1671"/>
      <c r="AF696" s="1779"/>
      <c r="AG696" s="1779"/>
      <c r="AH696" s="1779"/>
      <c r="AI696" s="1779"/>
      <c r="AJ696" s="1779"/>
      <c r="AK696" s="1779"/>
      <c r="AL696" s="795"/>
      <c r="AM696" s="20"/>
    </row>
    <row r="697" spans="1:43">
      <c r="A697" s="609" t="s">
        <v>8</v>
      </c>
      <c r="B697" s="1764" t="s">
        <v>286</v>
      </c>
      <c r="C697" s="1764"/>
      <c r="D697" s="1764"/>
      <c r="E697" s="1764"/>
      <c r="F697" s="1764"/>
      <c r="G697" s="1764"/>
      <c r="H697" s="1764"/>
      <c r="I697" s="1764"/>
      <c r="J697" s="1764"/>
      <c r="K697" s="1764"/>
      <c r="L697" s="1764"/>
      <c r="M697" s="1764"/>
      <c r="N697" s="1764"/>
      <c r="O697" s="1764"/>
      <c r="P697" s="1764"/>
      <c r="Q697" s="1764"/>
      <c r="R697" s="1764"/>
      <c r="S697" s="1765"/>
      <c r="T697" s="1763">
        <f>AK68</f>
        <v>10</v>
      </c>
      <c r="U697" s="1763"/>
      <c r="V697" s="1763"/>
      <c r="W697" s="1763"/>
      <c r="X697" s="1763"/>
      <c r="Y697" s="1763"/>
      <c r="Z697" s="1185">
        <v>10</v>
      </c>
      <c r="AA697" s="1185"/>
      <c r="AB697" s="1185"/>
      <c r="AC697" s="1185"/>
      <c r="AD697" s="1185"/>
      <c r="AE697" s="1185"/>
      <c r="AF697" s="1185">
        <f>IF(T697&gt;Z697,Z697,T697)</f>
        <v>10</v>
      </c>
      <c r="AG697" s="1185"/>
      <c r="AH697" s="1185"/>
      <c r="AI697" s="1185"/>
      <c r="AJ697" s="1185"/>
      <c r="AK697" s="1185"/>
      <c r="AL697" s="795"/>
      <c r="AM697" s="20"/>
    </row>
    <row r="698" spans="1:43">
      <c r="A698" s="609" t="s">
        <v>127</v>
      </c>
      <c r="B698" s="1764" t="s">
        <v>287</v>
      </c>
      <c r="C698" s="1764"/>
      <c r="D698" s="1764"/>
      <c r="E698" s="1764"/>
      <c r="F698" s="1764"/>
      <c r="G698" s="1764"/>
      <c r="H698" s="1764"/>
      <c r="I698" s="1764"/>
      <c r="J698" s="1764"/>
      <c r="K698" s="1764"/>
      <c r="L698" s="1764"/>
      <c r="M698" s="1764"/>
      <c r="N698" s="1764"/>
      <c r="O698" s="1764"/>
      <c r="P698" s="1764"/>
      <c r="Q698" s="1764"/>
      <c r="R698" s="1764"/>
      <c r="S698" s="1765"/>
      <c r="T698" s="1763">
        <f>AO689</f>
        <v>25</v>
      </c>
      <c r="U698" s="1763">
        <f>IF(AND(AND(A699&gt;15,15+A700),A700&gt;10,A699+10),A698,0)</f>
        <v>0</v>
      </c>
      <c r="V698" s="1763">
        <f>IF(AND(AND(B699&gt;15,15+B700),B700&gt;10,B699+10),#REF!,0)</f>
        <v>0</v>
      </c>
      <c r="W698" s="1763">
        <f>IF(AND(AND(C699&gt;15,15+C700),C700&gt;10,C699+10),B698,0)</f>
        <v>0</v>
      </c>
      <c r="X698" s="1763" t="e">
        <f>IF(AND(AND(D699&gt;15,15+D700),D700&gt;10,D699+10),D698,0)</f>
        <v>#VALUE!</v>
      </c>
      <c r="Y698" s="1763"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idden="1">
      <c r="A699" s="609"/>
      <c r="B699" s="630"/>
      <c r="C699" s="630"/>
      <c r="D699" s="307" t="s">
        <v>1535</v>
      </c>
      <c r="E699" s="1767" t="s">
        <v>310</v>
      </c>
      <c r="F699" s="1767"/>
      <c r="G699" s="1767"/>
      <c r="H699" s="1767"/>
      <c r="I699" s="1767"/>
      <c r="J699" s="1767"/>
      <c r="K699" s="1767"/>
      <c r="L699" s="1767"/>
      <c r="M699" s="1767"/>
      <c r="N699" s="1767"/>
      <c r="O699" s="1767"/>
      <c r="P699" s="1767"/>
      <c r="Q699" s="1767"/>
      <c r="R699" s="1767"/>
      <c r="S699" s="1768"/>
      <c r="T699" s="1766">
        <f>AK280</f>
        <v>20</v>
      </c>
      <c r="U699" s="1766"/>
      <c r="V699" s="1766"/>
      <c r="W699" s="1766"/>
      <c r="X699" s="1766"/>
      <c r="Y699" s="1766"/>
      <c r="Z699" s="1671">
        <v>15</v>
      </c>
      <c r="AA699" s="1671"/>
      <c r="AB699" s="1671"/>
      <c r="AC699" s="1671"/>
      <c r="AD699" s="1671"/>
      <c r="AE699" s="1671"/>
      <c r="AF699" s="1779"/>
      <c r="AG699" s="1779"/>
      <c r="AH699" s="1779"/>
      <c r="AI699" s="1779"/>
      <c r="AJ699" s="1779"/>
      <c r="AK699" s="1779"/>
      <c r="AL699" s="795"/>
      <c r="AM699" s="20"/>
    </row>
    <row r="700" spans="1:43">
      <c r="A700" s="632"/>
      <c r="B700" s="90"/>
      <c r="C700" s="90"/>
      <c r="D700" s="633" t="s">
        <v>1536</v>
      </c>
      <c r="E700" s="1767" t="s">
        <v>311</v>
      </c>
      <c r="F700" s="1767"/>
      <c r="G700" s="1767"/>
      <c r="H700" s="1767"/>
      <c r="I700" s="1767"/>
      <c r="J700" s="1767"/>
      <c r="K700" s="1767"/>
      <c r="L700" s="1767"/>
      <c r="M700" s="1767"/>
      <c r="N700" s="1767"/>
      <c r="O700" s="1767"/>
      <c r="P700" s="1767"/>
      <c r="Q700" s="1767"/>
      <c r="R700" s="1767"/>
      <c r="S700" s="1768"/>
      <c r="T700" s="1766">
        <f>AK471</f>
        <v>15</v>
      </c>
      <c r="U700" s="1766"/>
      <c r="V700" s="1766"/>
      <c r="W700" s="1766"/>
      <c r="X700" s="1766"/>
      <c r="Y700" s="1766"/>
      <c r="Z700" s="1671">
        <v>10</v>
      </c>
      <c r="AA700" s="1671"/>
      <c r="AB700" s="1671"/>
      <c r="AC700" s="1671"/>
      <c r="AD700" s="1671"/>
      <c r="AE700" s="1671"/>
      <c r="AF700" s="1779"/>
      <c r="AG700" s="1779"/>
      <c r="AH700" s="1779"/>
      <c r="AI700" s="1779"/>
      <c r="AJ700" s="1779"/>
      <c r="AK700" s="1779"/>
      <c r="AL700" s="795"/>
      <c r="AM700" s="20"/>
    </row>
    <row r="701" spans="1:43">
      <c r="A701" s="609" t="s">
        <v>130</v>
      </c>
      <c r="B701" s="1764" t="s">
        <v>571</v>
      </c>
      <c r="C701" s="1764"/>
      <c r="D701" s="1764"/>
      <c r="E701" s="1764"/>
      <c r="F701" s="1764"/>
      <c r="G701" s="1764"/>
      <c r="H701" s="1764"/>
      <c r="I701" s="1764"/>
      <c r="J701" s="1764"/>
      <c r="K701" s="1764"/>
      <c r="L701" s="1764"/>
      <c r="M701" s="1764"/>
      <c r="N701" s="1764"/>
      <c r="O701" s="1764"/>
      <c r="P701" s="1764"/>
      <c r="Q701" s="1764"/>
      <c r="R701" s="1764"/>
      <c r="S701" s="1765"/>
      <c r="T701" s="1763"/>
      <c r="U701" s="1763"/>
      <c r="V701" s="1763"/>
      <c r="W701" s="1763"/>
      <c r="X701" s="1763"/>
      <c r="Y701" s="1763"/>
      <c r="Z701" s="1185"/>
      <c r="AA701" s="1185"/>
      <c r="AB701" s="1185"/>
      <c r="AC701" s="1185"/>
      <c r="AD701" s="1185"/>
      <c r="AE701" s="1185"/>
      <c r="AF701" s="1185"/>
      <c r="AG701" s="1185"/>
      <c r="AH701" s="1185"/>
      <c r="AI701" s="1185"/>
      <c r="AJ701" s="1185"/>
      <c r="AK701" s="1185"/>
      <c r="AL701" s="795"/>
      <c r="AM701" s="20"/>
    </row>
    <row r="702" spans="1:43">
      <c r="A702" s="609" t="s">
        <v>130</v>
      </c>
      <c r="B702" s="1764" t="s">
        <v>572</v>
      </c>
      <c r="C702" s="1764"/>
      <c r="D702" s="1764"/>
      <c r="E702" s="1764"/>
      <c r="F702" s="1764"/>
      <c r="G702" s="1764"/>
      <c r="H702" s="1764"/>
      <c r="I702" s="1764"/>
      <c r="J702" s="1764"/>
      <c r="K702" s="1764"/>
      <c r="L702" s="1764"/>
      <c r="M702" s="1764"/>
      <c r="N702" s="1764"/>
      <c r="O702" s="1764"/>
      <c r="P702" s="1764"/>
      <c r="Q702" s="1764"/>
      <c r="R702" s="1764"/>
      <c r="S702" s="1765"/>
      <c r="T702" s="1785">
        <f>IF(SUM(T703:Y704)&gt;52,52,SUM(T703:Y704))</f>
        <v>52</v>
      </c>
      <c r="U702" s="1759"/>
      <c r="V702" s="1759"/>
      <c r="W702" s="1759"/>
      <c r="X702" s="1759"/>
      <c r="Y702" s="1759"/>
      <c r="Z702" s="1759">
        <v>52</v>
      </c>
      <c r="AA702" s="1759"/>
      <c r="AB702" s="1759"/>
      <c r="AC702" s="1759"/>
      <c r="AD702" s="1759"/>
      <c r="AE702" s="1759"/>
      <c r="AF702" s="1759">
        <f>$AO$694+$T$704</f>
        <v>52</v>
      </c>
      <c r="AG702" s="1759"/>
      <c r="AH702" s="1759"/>
      <c r="AI702" s="1759"/>
      <c r="AJ702" s="1759"/>
      <c r="AK702" s="1759"/>
      <c r="AL702" s="795"/>
      <c r="AM702" s="20"/>
    </row>
    <row r="703" spans="1:43">
      <c r="A703" s="634"/>
      <c r="B703" s="636"/>
      <c r="C703" s="636"/>
      <c r="D703" s="637" t="s">
        <v>1537</v>
      </c>
      <c r="E703" s="1767" t="s">
        <v>194</v>
      </c>
      <c r="F703" s="1767"/>
      <c r="G703" s="1767"/>
      <c r="H703" s="1767"/>
      <c r="I703" s="1767"/>
      <c r="J703" s="1767"/>
      <c r="K703" s="1767"/>
      <c r="L703" s="1767"/>
      <c r="M703" s="1767"/>
      <c r="N703" s="1767"/>
      <c r="O703" s="1767"/>
      <c r="P703" s="1767"/>
      <c r="Q703" s="1767"/>
      <c r="R703" s="1767"/>
      <c r="S703" s="1768"/>
      <c r="T703" s="1760">
        <f>AC589</f>
        <v>50</v>
      </c>
      <c r="U703" s="1761"/>
      <c r="V703" s="1761"/>
      <c r="W703" s="1761"/>
      <c r="X703" s="1761"/>
      <c r="Y703" s="1762"/>
      <c r="Z703" s="1760">
        <v>50</v>
      </c>
      <c r="AA703" s="1761"/>
      <c r="AB703" s="1761"/>
      <c r="AC703" s="1761"/>
      <c r="AD703" s="1761"/>
      <c r="AE703" s="1762"/>
      <c r="AF703" s="1792"/>
      <c r="AG703" s="1793"/>
      <c r="AH703" s="1793"/>
      <c r="AI703" s="1793"/>
      <c r="AJ703" s="1793"/>
      <c r="AK703" s="1794"/>
      <c r="AL703" s="795"/>
      <c r="AM703" s="4"/>
    </row>
    <row r="704" spans="1:43">
      <c r="A704" s="638"/>
      <c r="B704" s="630"/>
      <c r="C704" s="630"/>
      <c r="D704" s="307" t="s">
        <v>1538</v>
      </c>
      <c r="E704" s="1767" t="s">
        <v>284</v>
      </c>
      <c r="F704" s="1767"/>
      <c r="G704" s="1767"/>
      <c r="H704" s="1767"/>
      <c r="I704" s="1767"/>
      <c r="J704" s="1767"/>
      <c r="K704" s="1767"/>
      <c r="L704" s="1767"/>
      <c r="M704" s="1767"/>
      <c r="N704" s="1767"/>
      <c r="O704" s="1767"/>
      <c r="P704" s="1767"/>
      <c r="Q704" s="1767"/>
      <c r="R704" s="1767"/>
      <c r="S704" s="1768"/>
      <c r="T704" s="1752">
        <f>IF(AJ613&gt;0,2,0)</f>
        <v>2</v>
      </c>
      <c r="U704" s="1753"/>
      <c r="V704" s="1753"/>
      <c r="W704" s="1753"/>
      <c r="X704" s="1753"/>
      <c r="Y704" s="1754"/>
      <c r="Z704" s="1256">
        <v>2</v>
      </c>
      <c r="AA704" s="1257"/>
      <c r="AB704" s="1257"/>
      <c r="AC704" s="1257"/>
      <c r="AD704" s="1257"/>
      <c r="AE704" s="1258"/>
      <c r="AF704" s="1782"/>
      <c r="AG704" s="1783"/>
      <c r="AH704" s="1783"/>
      <c r="AI704" s="1783"/>
      <c r="AJ704" s="1783"/>
      <c r="AK704" s="1784"/>
      <c r="AL704" s="795"/>
      <c r="AM704" s="4"/>
    </row>
    <row r="705" spans="1:39">
      <c r="A705" s="634" t="s">
        <v>131</v>
      </c>
      <c r="B705" s="1764" t="s">
        <v>573</v>
      </c>
      <c r="C705" s="1764"/>
      <c r="D705" s="1764"/>
      <c r="E705" s="1764"/>
      <c r="F705" s="1764"/>
      <c r="G705" s="1764"/>
      <c r="H705" s="1764"/>
      <c r="I705" s="1764"/>
      <c r="J705" s="1764"/>
      <c r="K705" s="1764"/>
      <c r="L705" s="1764"/>
      <c r="M705" s="1764"/>
      <c r="N705" s="1764"/>
      <c r="O705" s="1764"/>
      <c r="P705" s="1764"/>
      <c r="Q705" s="1764"/>
      <c r="R705" s="1764"/>
      <c r="S705" s="1765"/>
      <c r="T705" s="1763">
        <f>AK641</f>
        <v>10</v>
      </c>
      <c r="U705" s="1763"/>
      <c r="V705" s="1763"/>
      <c r="W705" s="1763"/>
      <c r="X705" s="1763"/>
      <c r="Y705" s="1763"/>
      <c r="Z705" s="1185">
        <v>10</v>
      </c>
      <c r="AA705" s="1185"/>
      <c r="AB705" s="1185"/>
      <c r="AC705" s="1185"/>
      <c r="AD705" s="1185"/>
      <c r="AE705" s="1185"/>
      <c r="AF705" s="1332">
        <f>IF(T705&gt;Z705,Z705,T705)</f>
        <v>10</v>
      </c>
      <c r="AG705" s="1333"/>
      <c r="AH705" s="1333"/>
      <c r="AI705" s="1333"/>
      <c r="AJ705" s="1333"/>
      <c r="AK705" s="1334"/>
      <c r="AL705" s="795"/>
      <c r="AM705" s="20"/>
    </row>
    <row r="706" spans="1:39">
      <c r="A706" s="634" t="s">
        <v>133</v>
      </c>
      <c r="B706" s="1764" t="s">
        <v>1029</v>
      </c>
      <c r="C706" s="1764"/>
      <c r="D706" s="1764"/>
      <c r="E706" s="1764"/>
      <c r="F706" s="1764"/>
      <c r="G706" s="1764"/>
      <c r="H706" s="1764"/>
      <c r="I706" s="1764"/>
      <c r="J706" s="1764"/>
      <c r="K706" s="1764"/>
      <c r="L706" s="1764"/>
      <c r="M706" s="1764"/>
      <c r="N706" s="1764"/>
      <c r="O706" s="1764"/>
      <c r="P706" s="1764"/>
      <c r="Q706" s="1764"/>
      <c r="R706" s="1764"/>
      <c r="S706" s="1765"/>
      <c r="T706" s="1786">
        <f>IF(AK684&gt;2,2,AK684)</f>
        <v>2</v>
      </c>
      <c r="U706" s="1787"/>
      <c r="V706" s="1787"/>
      <c r="W706" s="1787"/>
      <c r="X706" s="1787"/>
      <c r="Y706" s="1788"/>
      <c r="Z706" s="1332">
        <v>2</v>
      </c>
      <c r="AA706" s="1333"/>
      <c r="AB706" s="1333"/>
      <c r="AC706" s="1333"/>
      <c r="AD706" s="1333"/>
      <c r="AE706" s="1334"/>
      <c r="AF706" s="1332">
        <f>IF(T706&gt;Z706,Z706,T706)</f>
        <v>2</v>
      </c>
      <c r="AG706" s="1780"/>
      <c r="AH706" s="1780"/>
      <c r="AI706" s="1780"/>
      <c r="AJ706" s="1780"/>
      <c r="AK706" s="1781"/>
      <c r="AL706" s="3"/>
      <c r="AM706" s="20"/>
    </row>
    <row r="707" spans="1:39">
      <c r="A707" s="1868" t="s">
        <v>313</v>
      </c>
      <c r="B707" s="1764"/>
      <c r="C707" s="1764"/>
      <c r="D707" s="1764"/>
      <c r="E707" s="1764"/>
      <c r="F707" s="1764"/>
      <c r="G707" s="1764"/>
      <c r="H707" s="1764"/>
      <c r="I707" s="1764"/>
      <c r="J707" s="1764"/>
      <c r="K707" s="1764"/>
      <c r="L707" s="1764"/>
      <c r="M707" s="1764"/>
      <c r="N707" s="1764"/>
      <c r="O707" s="1764"/>
      <c r="P707" s="1764"/>
      <c r="Q707" s="1764"/>
      <c r="R707" s="1764"/>
      <c r="S707" s="1765"/>
      <c r="T707" s="1347"/>
      <c r="U707" s="1347"/>
      <c r="V707" s="1347"/>
      <c r="W707" s="1347"/>
      <c r="X707" s="1347"/>
      <c r="Y707" s="1347"/>
      <c r="Z707" s="1671" t="s">
        <v>312</v>
      </c>
      <c r="AA707" s="1671"/>
      <c r="AB707" s="1671"/>
      <c r="AC707" s="1671"/>
      <c r="AD707" s="1671"/>
      <c r="AE707" s="1671"/>
      <c r="AF707" s="1332">
        <f>IF(T707&gt;0,T707,0)</f>
        <v>0</v>
      </c>
      <c r="AG707" s="1333"/>
      <c r="AH707" s="1333"/>
      <c r="AI707" s="1333"/>
      <c r="AJ707" s="1333"/>
      <c r="AK707" s="1334"/>
      <c r="AL707" s="18"/>
      <c r="AM707" s="20"/>
    </row>
    <row r="708" spans="1:39" ht="15.75">
      <c r="A708" s="1858" t="s">
        <v>757</v>
      </c>
      <c r="B708" s="1859"/>
      <c r="C708" s="1859"/>
      <c r="D708" s="1859"/>
      <c r="E708" s="1859"/>
      <c r="F708" s="1859"/>
      <c r="G708" s="1859"/>
      <c r="H708" s="1859"/>
      <c r="I708" s="1859"/>
      <c r="J708" s="1859"/>
      <c r="K708" s="1859"/>
      <c r="L708" s="1859"/>
      <c r="M708" s="1859"/>
      <c r="N708" s="1859"/>
      <c r="O708" s="1859"/>
      <c r="P708" s="1859"/>
      <c r="Q708" s="1859"/>
      <c r="R708" s="1859"/>
      <c r="S708" s="1859"/>
      <c r="T708" s="1859"/>
      <c r="U708" s="1859"/>
      <c r="V708" s="1859"/>
      <c r="W708" s="1859"/>
      <c r="X708" s="1859"/>
      <c r="Y708" s="1859"/>
      <c r="Z708" s="1859"/>
      <c r="AA708" s="1859"/>
      <c r="AB708" s="1859"/>
      <c r="AC708" s="1859"/>
      <c r="AD708" s="1859"/>
      <c r="AE708" s="1860"/>
      <c r="AF708" s="1769">
        <f>SUM(AF694:AK706)-AF707</f>
        <v>109</v>
      </c>
      <c r="AG708" s="1770"/>
      <c r="AH708" s="1770"/>
      <c r="AI708" s="1770"/>
      <c r="AJ708" s="1770"/>
      <c r="AK708" s="1771"/>
      <c r="AL708" s="796"/>
      <c r="AM708" s="4"/>
    </row>
    <row r="709" spans="1:39" ht="12.4" customHeight="1">
      <c r="A709" s="1861"/>
      <c r="B709" s="1862"/>
      <c r="C709" s="1862"/>
      <c r="D709" s="1862"/>
      <c r="E709" s="1862"/>
      <c r="F709" s="1862"/>
      <c r="G709" s="1862"/>
      <c r="H709" s="1862"/>
      <c r="I709" s="1862"/>
      <c r="J709" s="1862"/>
      <c r="K709" s="1862"/>
      <c r="L709" s="1862"/>
      <c r="M709" s="1862"/>
      <c r="N709" s="1862"/>
      <c r="O709" s="1862"/>
      <c r="P709" s="1862"/>
      <c r="Q709" s="1862"/>
      <c r="R709" s="1862"/>
      <c r="S709" s="1862"/>
      <c r="T709" s="1862"/>
      <c r="U709" s="1862"/>
      <c r="V709" s="1862"/>
      <c r="W709" s="1862"/>
      <c r="X709" s="1862"/>
      <c r="Y709" s="1862"/>
      <c r="Z709" s="1862"/>
      <c r="AA709" s="1862"/>
      <c r="AB709" s="1862"/>
      <c r="AC709" s="1862"/>
      <c r="AD709" s="1862"/>
      <c r="AE709" s="1863"/>
      <c r="AF709" s="1772"/>
      <c r="AG709" s="1773"/>
      <c r="AH709" s="1773"/>
      <c r="AI709" s="1773"/>
      <c r="AJ709" s="1773"/>
      <c r="AK709" s="1774"/>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53"/>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53"/>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53"/>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53"/>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53"/>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53"/>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8" t="s">
        <v>2137</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918"/>
      <c r="B3" s="918"/>
      <c r="I3" s="919"/>
      <c r="K3" s="920"/>
    </row>
    <row r="4" spans="1:57" ht="14.25" customHeight="1">
      <c r="A4" s="1897" t="s">
        <v>2138</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c r="A5" s="918"/>
      <c r="B5" s="918"/>
      <c r="I5" s="919"/>
      <c r="K5" s="920"/>
    </row>
    <row r="6" spans="1:57">
      <c r="A6" s="918"/>
      <c r="B6" s="918"/>
      <c r="D6" s="916" t="s">
        <v>2141</v>
      </c>
      <c r="I6" s="919"/>
      <c r="K6" s="920"/>
      <c r="U6" s="1907"/>
      <c r="V6" s="1907"/>
      <c r="W6" s="1907"/>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898"/>
      <c r="Q9" s="1898"/>
      <c r="R9" s="1898"/>
      <c r="S9" s="1898"/>
      <c r="T9" s="1898"/>
    </row>
    <row r="10" spans="1:57">
      <c r="A10" s="918"/>
      <c r="B10" s="918"/>
      <c r="I10" s="919"/>
      <c r="K10" s="920"/>
    </row>
    <row r="11" spans="1:57">
      <c r="A11" s="1897" t="s">
        <v>2144</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916" t="s">
        <v>116</v>
      </c>
    </row>
    <row r="12" spans="1:57">
      <c r="A12" s="918"/>
      <c r="B12" s="918"/>
      <c r="I12" s="919"/>
      <c r="K12" s="920"/>
      <c r="BC12" s="916" t="s">
        <v>511</v>
      </c>
    </row>
    <row r="13" spans="1:57">
      <c r="A13" s="918"/>
      <c r="B13" s="918"/>
      <c r="D13" s="916" t="s">
        <v>2145</v>
      </c>
      <c r="I13" s="919"/>
      <c r="K13" s="920"/>
      <c r="T13" s="1907"/>
      <c r="U13" s="1907"/>
      <c r="V13" s="1907"/>
    </row>
    <row r="14" spans="1:57">
      <c r="A14" s="918"/>
      <c r="B14" s="918"/>
      <c r="E14" s="916" t="s">
        <v>2152</v>
      </c>
      <c r="I14" s="919"/>
      <c r="K14" s="920"/>
      <c r="N14" s="1895"/>
      <c r="O14" s="1895"/>
      <c r="P14" s="1895"/>
      <c r="Q14" s="1895"/>
      <c r="R14" s="1895"/>
      <c r="S14" s="1895"/>
      <c r="T14" s="1895"/>
      <c r="U14" s="1895"/>
      <c r="V14" s="1895"/>
      <c r="W14" s="1895"/>
      <c r="X14" s="1895"/>
      <c r="Y14" s="1895"/>
      <c r="Z14" s="1895"/>
      <c r="AA14" s="1895"/>
      <c r="AB14" s="1895"/>
      <c r="AC14" s="1895"/>
      <c r="AD14" s="1895"/>
      <c r="AE14" s="1895"/>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2500000</v>
      </c>
    </row>
    <row r="16" spans="1:57">
      <c r="A16" s="918"/>
      <c r="B16" s="918"/>
      <c r="BC16" s="916" t="s">
        <v>2156</v>
      </c>
      <c r="BE16" s="916">
        <f>'Basis &amp; Credits'!T11+'Basis &amp; Credits'!AD11</f>
        <v>31570687.64919921</v>
      </c>
    </row>
    <row r="17" spans="1:43">
      <c r="A17" s="918"/>
      <c r="B17" s="918"/>
      <c r="D17" s="916" t="s">
        <v>2147</v>
      </c>
      <c r="I17" s="919"/>
      <c r="K17" s="920"/>
      <c r="U17" s="1896" t="str">
        <f>IF(T13="yes",(BE15/BE16)," ")</f>
        <v xml:space="preserve"> </v>
      </c>
      <c r="V17" s="1896"/>
      <c r="W17" s="1896"/>
      <c r="X17" s="1896"/>
      <c r="Y17" s="1896"/>
    </row>
    <row r="18" spans="1:43">
      <c r="A18" s="918"/>
      <c r="B18" s="918"/>
      <c r="I18" s="919"/>
      <c r="K18" s="920"/>
    </row>
    <row r="19" spans="1:43">
      <c r="A19" s="1897" t="s">
        <v>2149</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c r="C20" s="918"/>
      <c r="D20" s="918"/>
      <c r="K20" s="919"/>
      <c r="M20" s="920"/>
    </row>
    <row r="21" spans="1:43">
      <c r="C21" s="918"/>
      <c r="D21" s="918"/>
      <c r="K21" s="919"/>
      <c r="M21" s="920"/>
    </row>
    <row r="22" spans="1:43">
      <c r="C22" s="921" t="s">
        <v>764</v>
      </c>
      <c r="D22" s="921"/>
      <c r="E22" s="916" t="s">
        <v>2150</v>
      </c>
      <c r="H22" s="922"/>
      <c r="K22" s="916"/>
      <c r="Q22" s="1899">
        <f>ROUND('Basis &amp; Credits'!AB55,0)</f>
        <v>2500000</v>
      </c>
      <c r="R22" s="1899"/>
      <c r="S22" s="1899"/>
      <c r="T22" s="1899"/>
      <c r="U22" s="1899"/>
      <c r="V22" s="1899"/>
      <c r="W22" s="1899"/>
      <c r="X22" s="1899"/>
      <c r="Y22" s="936"/>
    </row>
    <row r="23" spans="1:43">
      <c r="C23" s="918"/>
      <c r="D23" s="918"/>
      <c r="G23" s="923"/>
      <c r="H23" s="923"/>
      <c r="I23" s="924"/>
      <c r="J23" s="924"/>
      <c r="K23" s="923"/>
      <c r="M23" s="917"/>
    </row>
    <row r="24" spans="1:43">
      <c r="C24" s="925"/>
      <c r="D24" s="925"/>
      <c r="E24" s="926"/>
      <c r="J24" s="924"/>
      <c r="K24" s="916"/>
      <c r="L24" s="1906" t="s">
        <v>2127</v>
      </c>
      <c r="M24" s="1906"/>
      <c r="N24" s="1906"/>
      <c r="P24" s="1902" t="s">
        <v>2128</v>
      </c>
      <c r="Q24" s="1902"/>
      <c r="R24" s="1902"/>
      <c r="S24" s="1902"/>
      <c r="T24" s="1902"/>
      <c r="V24" s="1902" t="s">
        <v>2129</v>
      </c>
      <c r="W24" s="1902"/>
      <c r="X24" s="1902"/>
    </row>
    <row r="25" spans="1:43">
      <c r="C25" s="921" t="s">
        <v>201</v>
      </c>
      <c r="D25" s="921"/>
      <c r="E25" s="916" t="s">
        <v>1030</v>
      </c>
      <c r="J25" s="924"/>
      <c r="L25" s="1903" t="s">
        <v>2130</v>
      </c>
      <c r="M25" s="1903"/>
      <c r="N25" s="1903"/>
      <c r="P25" s="1903" t="s">
        <v>2131</v>
      </c>
      <c r="Q25" s="1903"/>
      <c r="R25" s="1903"/>
      <c r="S25" s="1903"/>
      <c r="T25" s="1903"/>
      <c r="V25" s="1903" t="s">
        <v>2130</v>
      </c>
      <c r="W25" s="1903"/>
      <c r="X25" s="1903"/>
    </row>
    <row r="26" spans="1:43">
      <c r="C26" s="918"/>
      <c r="D26" s="918"/>
      <c r="E26" s="927" t="s">
        <v>2132</v>
      </c>
      <c r="F26" s="927"/>
      <c r="J26" s="928"/>
      <c r="L26" s="1900">
        <f>Application!BN613</f>
        <v>0</v>
      </c>
      <c r="M26" s="1900"/>
      <c r="N26" s="1900"/>
      <c r="P26" s="1904">
        <v>0.9</v>
      </c>
      <c r="Q26" s="1904"/>
      <c r="R26" s="1904"/>
      <c r="S26" s="1904"/>
      <c r="T26" s="1904"/>
      <c r="V26" s="1904">
        <f>L26*P26</f>
        <v>0</v>
      </c>
      <c r="W26" s="1904"/>
      <c r="X26" s="1904"/>
    </row>
    <row r="27" spans="1:43">
      <c r="C27" s="918"/>
      <c r="D27" s="918"/>
      <c r="E27" s="916" t="s">
        <v>2133</v>
      </c>
      <c r="J27" s="928"/>
      <c r="L27" s="1909">
        <f>Application!BS613</f>
        <v>0</v>
      </c>
      <c r="M27" s="1909">
        <f>Application!BS621+Application!BS630+Application!CX644</f>
        <v>0</v>
      </c>
      <c r="N27" s="1909"/>
      <c r="P27" s="1905">
        <v>1</v>
      </c>
      <c r="Q27" s="1905"/>
      <c r="R27" s="1905"/>
      <c r="S27" s="1905"/>
      <c r="T27" s="1905"/>
      <c r="V27" s="1905">
        <f>L27*P27</f>
        <v>0</v>
      </c>
      <c r="W27" s="1905"/>
      <c r="X27" s="1905"/>
    </row>
    <row r="28" spans="1:43">
      <c r="C28" s="918"/>
      <c r="D28" s="918"/>
      <c r="E28" s="916" t="s">
        <v>2134</v>
      </c>
      <c r="J28" s="928"/>
      <c r="L28" s="1909">
        <f>Application!BX613</f>
        <v>40</v>
      </c>
      <c r="M28" s="1909">
        <f>Application!BX621+Application!BX630+Application!DC644</f>
        <v>0</v>
      </c>
      <c r="N28" s="1909"/>
      <c r="P28" s="1905">
        <v>1.25</v>
      </c>
      <c r="Q28" s="1905"/>
      <c r="R28" s="1905"/>
      <c r="S28" s="1905"/>
      <c r="T28" s="1905"/>
      <c r="V28" s="1905">
        <f>L28*P28</f>
        <v>50</v>
      </c>
      <c r="W28" s="1905"/>
      <c r="X28" s="1905"/>
    </row>
    <row r="29" spans="1:43">
      <c r="C29" s="918"/>
      <c r="D29" s="918"/>
      <c r="E29" s="916" t="s">
        <v>2135</v>
      </c>
      <c r="J29" s="928"/>
      <c r="L29" s="1909">
        <f>Application!CC613</f>
        <v>20</v>
      </c>
      <c r="M29" s="1909">
        <f>Application!CC621+Application!CC630+Application!DH644</f>
        <v>0</v>
      </c>
      <c r="N29" s="1909"/>
      <c r="P29" s="1905">
        <v>1.5</v>
      </c>
      <c r="Q29" s="1905"/>
      <c r="R29" s="1905"/>
      <c r="S29" s="1905"/>
      <c r="T29" s="1905"/>
      <c r="V29" s="1905">
        <f>L29*P29</f>
        <v>30</v>
      </c>
      <c r="W29" s="1905"/>
      <c r="X29" s="1905"/>
    </row>
    <row r="30" spans="1:43">
      <c r="C30" s="918"/>
      <c r="D30" s="918"/>
      <c r="E30" s="916" t="s">
        <v>2136</v>
      </c>
      <c r="J30" s="928"/>
      <c r="L30" s="1910">
        <f>Application!CH613+Application!CM613</f>
        <v>0</v>
      </c>
      <c r="M30" s="1910"/>
      <c r="N30" s="1910"/>
      <c r="P30" s="1905">
        <v>1.75</v>
      </c>
      <c r="Q30" s="1905"/>
      <c r="R30" s="1905">
        <f>1.75+0.25*0</f>
        <v>1.75</v>
      </c>
      <c r="S30" s="1905"/>
      <c r="T30" s="1905"/>
      <c r="V30" s="1914">
        <f>L30*P30</f>
        <v>0</v>
      </c>
      <c r="W30" s="1914"/>
      <c r="X30" s="1914"/>
    </row>
    <row r="31" spans="1:43">
      <c r="C31" s="918"/>
      <c r="D31" s="918"/>
      <c r="L31" s="1900">
        <f>SUM(L26:N30)</f>
        <v>60</v>
      </c>
      <c r="M31" s="1901"/>
      <c r="N31" s="1901"/>
      <c r="V31" s="1904">
        <f>SUM(V26:X30)</f>
        <v>80</v>
      </c>
      <c r="W31" s="1904"/>
      <c r="X31" s="1904"/>
    </row>
    <row r="32" spans="1:43">
      <c r="C32" s="918"/>
      <c r="D32" s="918"/>
      <c r="K32" s="929"/>
    </row>
    <row r="33" spans="1:27">
      <c r="C33" s="921" t="s">
        <v>202</v>
      </c>
      <c r="D33" s="921"/>
      <c r="E33" s="918" t="s">
        <v>2151</v>
      </c>
      <c r="H33" s="930"/>
      <c r="I33" s="931"/>
      <c r="J33" s="932"/>
      <c r="K33" s="929"/>
      <c r="M33" s="917"/>
      <c r="V33" s="1911">
        <f>IF(V31&gt;0,V31/Q22," ")</f>
        <v>3.1999999999999999E-5</v>
      </c>
      <c r="W33" s="1912"/>
      <c r="X33" s="1912"/>
      <c r="Y33" s="1912"/>
      <c r="Z33" s="1912"/>
      <c r="AA33" s="1913"/>
    </row>
    <row r="34" spans="1:27">
      <c r="K34" s="916"/>
      <c r="M34" s="917"/>
    </row>
    <row r="35" spans="1:27">
      <c r="E35" s="918" t="s">
        <v>2157</v>
      </c>
      <c r="F35" s="918"/>
      <c r="G35" s="918"/>
      <c r="H35" s="918"/>
      <c r="I35" s="918"/>
      <c r="J35" s="918"/>
      <c r="K35" s="918"/>
      <c r="L35" s="918"/>
      <c r="M35" s="938"/>
      <c r="N35" s="918"/>
      <c r="O35" s="918"/>
      <c r="P35" s="918"/>
      <c r="Q35" s="918"/>
      <c r="R35" s="918"/>
      <c r="V35" s="1892">
        <f>IF(V31&gt;0,1/V33," ")</f>
        <v>31250</v>
      </c>
      <c r="W35" s="1893"/>
      <c r="X35" s="1893"/>
      <c r="Y35" s="1893"/>
      <c r="Z35" s="1893"/>
      <c r="AA35" s="1894"/>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4" zoomScale="90" zoomScaleNormal="90" workbookViewId="0">
      <selection activeCell="C90" sqref="C90"/>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6" t="s">
        <v>1954</v>
      </c>
      <c r="B1" s="1936"/>
      <c r="C1" s="1936"/>
      <c r="D1" s="1936"/>
      <c r="E1" s="1936"/>
      <c r="F1" s="1936"/>
      <c r="G1" s="1936"/>
      <c r="H1" s="1936"/>
      <c r="I1" s="1936"/>
      <c r="J1" s="1936"/>
      <c r="K1" s="1936"/>
      <c r="L1" s="1936"/>
      <c r="M1" s="1936"/>
      <c r="N1" s="1936"/>
      <c r="O1" s="1936"/>
      <c r="P1" s="1936"/>
      <c r="Q1" s="1936"/>
      <c r="R1" s="1936"/>
      <c r="S1" s="1936"/>
    </row>
    <row r="2" spans="1:19" ht="15" customHeight="1">
      <c r="A2" s="1936"/>
      <c r="B2" s="1936"/>
      <c r="C2" s="1936"/>
      <c r="D2" s="1936"/>
      <c r="E2" s="1936"/>
      <c r="F2" s="1936"/>
      <c r="G2" s="1936"/>
      <c r="H2" s="1936"/>
      <c r="I2" s="1936"/>
      <c r="J2" s="1936"/>
      <c r="K2" s="1936"/>
      <c r="L2" s="1936"/>
      <c r="M2" s="1936"/>
      <c r="N2" s="1936"/>
      <c r="O2" s="1936"/>
      <c r="P2" s="1936"/>
      <c r="Q2" s="1936"/>
      <c r="R2" s="1936"/>
      <c r="S2" s="1936"/>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2" t="s">
        <v>2248</v>
      </c>
      <c r="C4" s="1922"/>
      <c r="D4" s="1922"/>
      <c r="E4" s="1922"/>
      <c r="F4" s="1922"/>
      <c r="G4" s="1922"/>
      <c r="H4" s="1922"/>
      <c r="I4" s="1922"/>
      <c r="J4" s="1922"/>
      <c r="K4" s="1922"/>
      <c r="L4" s="1922"/>
      <c r="M4" s="1922"/>
      <c r="N4" s="1922"/>
      <c r="O4" s="1922"/>
      <c r="P4" s="1922"/>
      <c r="Q4" s="1922"/>
      <c r="R4" s="1922"/>
    </row>
    <row r="5" spans="1:19" ht="15" customHeight="1">
      <c r="A5" s="522"/>
      <c r="B5" s="1922"/>
      <c r="C5" s="1922"/>
      <c r="D5" s="1922"/>
      <c r="E5" s="1922"/>
      <c r="F5" s="1922"/>
      <c r="G5" s="1922"/>
      <c r="H5" s="1922"/>
      <c r="I5" s="1922"/>
      <c r="J5" s="1922"/>
      <c r="K5" s="1922"/>
      <c r="L5" s="1922"/>
      <c r="M5" s="1922"/>
      <c r="N5" s="1922"/>
      <c r="O5" s="1922"/>
      <c r="P5" s="1922"/>
      <c r="Q5" s="1922"/>
      <c r="R5" s="1922"/>
    </row>
    <row r="6" spans="1:19" ht="15" customHeight="1">
      <c r="A6" s="522"/>
      <c r="B6" s="1922"/>
      <c r="C6" s="1922"/>
      <c r="D6" s="1922"/>
      <c r="E6" s="1922"/>
      <c r="F6" s="1922"/>
      <c r="G6" s="1922"/>
      <c r="H6" s="1922"/>
      <c r="I6" s="1922"/>
      <c r="J6" s="1922"/>
      <c r="K6" s="1922"/>
      <c r="L6" s="1922"/>
      <c r="M6" s="1922"/>
      <c r="N6" s="1922"/>
      <c r="O6" s="1922"/>
      <c r="P6" s="1922"/>
      <c r="Q6" s="1922"/>
      <c r="R6" s="1922"/>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2" t="s">
        <v>1771</v>
      </c>
      <c r="C8" s="1922"/>
      <c r="D8" s="1922"/>
      <c r="E8" s="1922"/>
      <c r="F8" s="1922"/>
      <c r="G8" s="1922"/>
      <c r="H8" s="1922"/>
      <c r="I8" s="1922"/>
      <c r="J8" s="1922"/>
      <c r="K8" s="1922"/>
      <c r="L8" s="1922"/>
      <c r="M8" s="1922"/>
      <c r="N8" s="1922"/>
      <c r="O8" s="1922"/>
      <c r="P8" s="1922"/>
      <c r="Q8" s="1922"/>
      <c r="R8" s="1922"/>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2" t="s">
        <v>2338</v>
      </c>
      <c r="C10" s="1922"/>
      <c r="D10" s="1922"/>
      <c r="E10" s="1922"/>
      <c r="F10" s="1922"/>
      <c r="G10" s="1922"/>
      <c r="H10" s="1922"/>
      <c r="I10" s="1922"/>
      <c r="J10" s="1922"/>
      <c r="K10" s="1922"/>
      <c r="L10" s="1922"/>
      <c r="M10" s="1922"/>
      <c r="N10" s="1922"/>
      <c r="O10" s="1922"/>
      <c r="P10" s="1922"/>
      <c r="Q10" s="1922"/>
      <c r="R10" s="1922"/>
    </row>
    <row r="11" spans="1:19" ht="29.25" customHeight="1">
      <c r="A11" s="522"/>
      <c r="B11" s="1922"/>
      <c r="C11" s="1922"/>
      <c r="D11" s="1922"/>
      <c r="E11" s="1922"/>
      <c r="F11" s="1922"/>
      <c r="G11" s="1922"/>
      <c r="H11" s="1922"/>
      <c r="I11" s="1922"/>
      <c r="J11" s="1922"/>
      <c r="K11" s="1922"/>
      <c r="L11" s="1922"/>
      <c r="M11" s="1922"/>
      <c r="N11" s="1922"/>
      <c r="O11" s="1922"/>
      <c r="P11" s="1922"/>
      <c r="Q11" s="1922"/>
      <c r="R11" s="1922"/>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2" t="s">
        <v>2249</v>
      </c>
      <c r="C13" s="1922"/>
      <c r="D13" s="1922"/>
      <c r="E13" s="1922"/>
      <c r="F13" s="1922"/>
      <c r="G13" s="1922"/>
      <c r="H13" s="1922"/>
      <c r="I13" s="1922"/>
      <c r="J13" s="1922"/>
      <c r="K13" s="1922"/>
      <c r="L13" s="1922"/>
      <c r="M13" s="1922"/>
      <c r="N13" s="1922"/>
      <c r="O13" s="1922"/>
      <c r="P13" s="1922"/>
      <c r="Q13" s="1922"/>
      <c r="R13" s="1922"/>
    </row>
    <row r="14" spans="1:19" ht="15" customHeight="1">
      <c r="A14" s="522"/>
      <c r="B14" s="1922"/>
      <c r="C14" s="1922"/>
      <c r="D14" s="1922"/>
      <c r="E14" s="1922"/>
      <c r="F14" s="1922"/>
      <c r="G14" s="1922"/>
      <c r="H14" s="1922"/>
      <c r="I14" s="1922"/>
      <c r="J14" s="1922"/>
      <c r="K14" s="1922"/>
      <c r="L14" s="1922"/>
      <c r="M14" s="1922"/>
      <c r="N14" s="1922"/>
      <c r="O14" s="1922"/>
      <c r="P14" s="1922"/>
      <c r="Q14" s="1922"/>
      <c r="R14" s="1922"/>
    </row>
    <row r="15" spans="1:19" ht="15" customHeight="1">
      <c r="A15" s="522"/>
      <c r="B15" s="1922"/>
      <c r="C15" s="1922"/>
      <c r="D15" s="1922"/>
      <c r="E15" s="1922"/>
      <c r="F15" s="1922"/>
      <c r="G15" s="1922"/>
      <c r="H15" s="1922"/>
      <c r="I15" s="1922"/>
      <c r="J15" s="1922"/>
      <c r="K15" s="1922"/>
      <c r="L15" s="1922"/>
      <c r="M15" s="1922"/>
      <c r="N15" s="1922"/>
      <c r="O15" s="1922"/>
      <c r="P15" s="1922"/>
      <c r="Q15" s="1922"/>
      <c r="R15" s="1922"/>
    </row>
    <row r="16" spans="1:19" ht="15" customHeight="1">
      <c r="A16" s="522"/>
      <c r="B16" s="1922"/>
      <c r="C16" s="1922"/>
      <c r="D16" s="1922"/>
      <c r="E16" s="1922"/>
      <c r="F16" s="1922"/>
      <c r="G16" s="1922"/>
      <c r="H16" s="1922"/>
      <c r="I16" s="1922"/>
      <c r="J16" s="1922"/>
      <c r="K16" s="1922"/>
      <c r="L16" s="1922"/>
      <c r="M16" s="1922"/>
      <c r="N16" s="1922"/>
      <c r="O16" s="1922"/>
      <c r="P16" s="1922"/>
      <c r="Q16" s="1922"/>
      <c r="R16" s="1922"/>
    </row>
    <row r="17" spans="1:18" ht="15" customHeight="1">
      <c r="A17" s="522"/>
      <c r="B17" s="1922"/>
      <c r="C17" s="1922"/>
      <c r="D17" s="1922"/>
      <c r="E17" s="1922"/>
      <c r="F17" s="1922"/>
      <c r="G17" s="1922"/>
      <c r="H17" s="1922"/>
      <c r="I17" s="1922"/>
      <c r="J17" s="1922"/>
      <c r="K17" s="1922"/>
      <c r="L17" s="1922"/>
      <c r="M17" s="1922"/>
      <c r="N17" s="1922"/>
      <c r="O17" s="1922"/>
      <c r="P17" s="1922"/>
      <c r="Q17" s="1922"/>
      <c r="R17" s="1922"/>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2" t="s">
        <v>1881</v>
      </c>
      <c r="C19" s="1922"/>
      <c r="D19" s="1922"/>
      <c r="E19" s="1922"/>
      <c r="F19" s="1922"/>
      <c r="G19" s="1922"/>
      <c r="H19" s="1922"/>
      <c r="I19" s="1922"/>
      <c r="J19" s="1922"/>
      <c r="K19" s="1922"/>
      <c r="L19" s="1922"/>
      <c r="M19" s="1922"/>
      <c r="N19" s="1922"/>
      <c r="O19" s="1922"/>
      <c r="P19" s="1922"/>
      <c r="Q19" s="1922"/>
      <c r="R19" s="1922"/>
    </row>
    <row r="20" spans="1:18" ht="15" customHeight="1">
      <c r="A20" s="522"/>
      <c r="B20" s="1922"/>
      <c r="C20" s="1922"/>
      <c r="D20" s="1922"/>
      <c r="E20" s="1922"/>
      <c r="F20" s="1922"/>
      <c r="G20" s="1922"/>
      <c r="H20" s="1922"/>
      <c r="I20" s="1922"/>
      <c r="J20" s="1922"/>
      <c r="K20" s="1922"/>
      <c r="L20" s="1922"/>
      <c r="M20" s="1922"/>
      <c r="N20" s="1922"/>
      <c r="O20" s="1922"/>
      <c r="P20" s="1922"/>
      <c r="Q20" s="1922"/>
      <c r="R20" s="1922"/>
    </row>
    <row r="21" spans="1:18" ht="15" customHeight="1">
      <c r="A21" s="522"/>
      <c r="B21" s="1922"/>
      <c r="C21" s="1922"/>
      <c r="D21" s="1922"/>
      <c r="E21" s="1922"/>
      <c r="F21" s="1922"/>
      <c r="G21" s="1922"/>
      <c r="H21" s="1922"/>
      <c r="I21" s="1922"/>
      <c r="J21" s="1922"/>
      <c r="K21" s="1922"/>
      <c r="L21" s="1922"/>
      <c r="M21" s="1922"/>
      <c r="N21" s="1922"/>
      <c r="O21" s="1922"/>
      <c r="P21" s="1922"/>
      <c r="Q21" s="1922"/>
      <c r="R21" s="1922"/>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2" t="s">
        <v>1882</v>
      </c>
      <c r="C23" s="1922"/>
      <c r="D23" s="1922"/>
      <c r="E23" s="1922"/>
      <c r="F23" s="1922"/>
      <c r="G23" s="1922"/>
      <c r="H23" s="1922"/>
      <c r="I23" s="1922"/>
      <c r="J23" s="1922"/>
      <c r="K23" s="1922"/>
      <c r="L23" s="1922"/>
      <c r="M23" s="1922"/>
      <c r="N23" s="1922"/>
      <c r="O23" s="1922"/>
      <c r="P23" s="1922"/>
      <c r="Q23" s="1922"/>
      <c r="R23" s="1922"/>
    </row>
    <row r="24" spans="1:18" ht="15" customHeight="1">
      <c r="B24" s="1922"/>
      <c r="C24" s="1922"/>
      <c r="D24" s="1922"/>
      <c r="E24" s="1922"/>
      <c r="F24" s="1922"/>
      <c r="G24" s="1922"/>
      <c r="H24" s="1922"/>
      <c r="I24" s="1922"/>
      <c r="J24" s="1922"/>
      <c r="K24" s="1922"/>
      <c r="L24" s="1922"/>
      <c r="M24" s="1922"/>
      <c r="N24" s="1922"/>
      <c r="O24" s="1922"/>
      <c r="P24" s="1922"/>
      <c r="Q24" s="1922"/>
      <c r="R24" s="1922"/>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2" t="s">
        <v>1770</v>
      </c>
      <c r="C26" s="1922"/>
      <c r="D26" s="1922"/>
      <c r="E26" s="1922"/>
      <c r="F26" s="1922"/>
      <c r="G26" s="1922"/>
      <c r="H26" s="1922"/>
      <c r="I26" s="1922"/>
      <c r="J26" s="1922"/>
      <c r="K26" s="1922"/>
      <c r="L26" s="1922"/>
      <c r="M26" s="1922"/>
      <c r="N26" s="1922"/>
      <c r="O26" s="1922"/>
      <c r="P26" s="1922"/>
      <c r="Q26" s="1922"/>
      <c r="R26" s="1922"/>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31" t="s">
        <v>1682</v>
      </c>
      <c r="C29" s="1931"/>
      <c r="D29" s="1931"/>
      <c r="E29" s="1931"/>
      <c r="F29" s="1931"/>
      <c r="G29" s="1931"/>
      <c r="H29" s="380"/>
      <c r="I29" s="380"/>
      <c r="J29" s="380"/>
      <c r="K29" s="380"/>
      <c r="L29" s="380"/>
      <c r="M29" s="380"/>
      <c r="N29" s="380"/>
      <c r="O29" s="1929" t="s">
        <v>1691</v>
      </c>
    </row>
    <row r="30" spans="1:18" ht="15" customHeight="1">
      <c r="B30" s="1931"/>
      <c r="C30" s="1931"/>
      <c r="D30" s="1931"/>
      <c r="E30" s="1931"/>
      <c r="F30" s="1931"/>
      <c r="G30" s="1931"/>
      <c r="H30" s="380"/>
      <c r="I30" s="380"/>
      <c r="J30" s="380"/>
      <c r="K30" s="380"/>
      <c r="L30" s="380"/>
      <c r="M30" s="380"/>
      <c r="N30" s="380"/>
      <c r="O30" s="1929"/>
    </row>
    <row r="31" spans="1:18" ht="15" customHeight="1">
      <c r="B31" s="1931"/>
      <c r="C31" s="1931"/>
      <c r="D31" s="1931"/>
      <c r="E31" s="1931"/>
      <c r="F31" s="1931"/>
      <c r="G31" s="1931"/>
      <c r="H31" s="380"/>
      <c r="I31" s="380"/>
      <c r="J31" s="380"/>
      <c r="K31" s="380"/>
      <c r="L31" s="380"/>
      <c r="M31" s="380"/>
      <c r="N31" s="380"/>
      <c r="O31" s="1929"/>
    </row>
    <row r="32" spans="1:18" ht="15" customHeight="1">
      <c r="B32" s="1932"/>
      <c r="C32" s="1932"/>
      <c r="D32" s="1932"/>
      <c r="E32" s="1932"/>
      <c r="F32" s="1932"/>
      <c r="G32" s="1932"/>
      <c r="I32" s="1933" t="s">
        <v>149</v>
      </c>
      <c r="J32" s="1934" t="s">
        <v>1036</v>
      </c>
      <c r="K32" s="1935">
        <v>1</v>
      </c>
      <c r="M32" s="524"/>
      <c r="O32" s="1930"/>
      <c r="P32" s="1934" t="s">
        <v>2039</v>
      </c>
    </row>
    <row r="33" spans="1:18" ht="15" customHeight="1">
      <c r="B33" s="1959" t="s">
        <v>1686</v>
      </c>
      <c r="C33" s="1959"/>
      <c r="D33" s="1959"/>
      <c r="E33" s="1959"/>
      <c r="F33" s="1959"/>
      <c r="G33" s="1959"/>
      <c r="I33" s="1933"/>
      <c r="J33" s="1934"/>
      <c r="K33" s="1935"/>
      <c r="M33" s="525"/>
      <c r="O33" s="1959" t="s">
        <v>1686</v>
      </c>
      <c r="P33" s="1934"/>
    </row>
    <row r="34" spans="1:18" ht="15" customHeight="1">
      <c r="B34" s="1933"/>
      <c r="C34" s="1933"/>
      <c r="D34" s="1933"/>
      <c r="E34" s="1933"/>
      <c r="F34" s="1933"/>
      <c r="G34" s="1933"/>
      <c r="I34" s="663"/>
      <c r="J34" s="662"/>
      <c r="K34" s="542"/>
      <c r="M34" s="525"/>
      <c r="O34" s="193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7" t="s">
        <v>1674</v>
      </c>
      <c r="C37" s="1937"/>
      <c r="D37" s="1937"/>
      <c r="E37" s="1937"/>
      <c r="F37" s="531"/>
      <c r="G37" s="531"/>
      <c r="H37" s="532"/>
      <c r="I37" s="380"/>
      <c r="J37" s="380"/>
      <c r="Q37" s="380"/>
      <c r="R37" s="380"/>
    </row>
    <row r="38" spans="1:18" ht="15" customHeight="1">
      <c r="B38" s="1942" t="s">
        <v>1692</v>
      </c>
      <c r="C38" s="1942"/>
      <c r="D38" s="1942"/>
      <c r="E38" s="1942"/>
      <c r="F38" s="665"/>
      <c r="G38" s="533">
        <f>D110</f>
        <v>0</v>
      </c>
      <c r="H38" s="388"/>
      <c r="I38" s="534"/>
      <c r="J38" s="388"/>
      <c r="L38" s="804"/>
      <c r="M38" s="804"/>
      <c r="N38" s="804"/>
      <c r="O38" s="804"/>
      <c r="Q38" s="1928"/>
      <c r="R38" s="1928"/>
    </row>
    <row r="39" spans="1:18" ht="15" customHeight="1">
      <c r="B39" s="1943" t="s">
        <v>1336</v>
      </c>
      <c r="C39" s="1943"/>
      <c r="D39" s="1943"/>
      <c r="E39" s="1943"/>
      <c r="F39" s="665"/>
      <c r="G39" s="647"/>
      <c r="H39" s="388"/>
      <c r="I39" s="534"/>
      <c r="J39" s="388"/>
      <c r="L39" s="388"/>
      <c r="M39" s="380"/>
      <c r="N39" s="380"/>
      <c r="O39" s="380"/>
      <c r="Q39" s="535"/>
      <c r="R39" s="535"/>
    </row>
    <row r="40" spans="1:18" ht="15" customHeight="1">
      <c r="B40" s="1943" t="s">
        <v>1337</v>
      </c>
      <c r="C40" s="1943"/>
      <c r="D40" s="1943"/>
      <c r="E40" s="1943"/>
      <c r="F40" s="665"/>
      <c r="G40" s="647"/>
      <c r="H40" s="388"/>
      <c r="I40" s="534"/>
      <c r="J40" s="388"/>
      <c r="K40" s="1927"/>
      <c r="L40" s="1927"/>
      <c r="M40" s="1927"/>
      <c r="N40" s="1927"/>
      <c r="O40" s="1927"/>
      <c r="Q40" s="1928"/>
      <c r="R40" s="1928"/>
    </row>
    <row r="41" spans="1:18" ht="15" customHeight="1">
      <c r="B41" s="1944" t="s">
        <v>1687</v>
      </c>
      <c r="C41" s="1944"/>
      <c r="D41" s="1944"/>
      <c r="E41" s="1944"/>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27"/>
      <c r="L42" s="1927"/>
      <c r="M42" s="1927"/>
      <c r="N42" s="1927"/>
      <c r="O42" s="1927"/>
      <c r="Q42" s="1928"/>
      <c r="R42" s="1928"/>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28"/>
      <c r="R44" s="1928"/>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21" t="s">
        <v>1935</v>
      </c>
      <c r="L46" s="1921"/>
      <c r="M46" s="1921"/>
      <c r="N46" s="1921"/>
      <c r="O46" s="1921"/>
      <c r="Q46" s="1923"/>
      <c r="R46" s="1923"/>
    </row>
    <row r="47" spans="1:18" ht="15" customHeight="1">
      <c r="B47" s="649"/>
      <c r="C47" s="649"/>
      <c r="D47" s="519"/>
      <c r="E47" s="667"/>
      <c r="F47" s="665"/>
      <c r="G47" s="388"/>
      <c r="H47" s="388"/>
      <c r="I47" s="534"/>
      <c r="J47" s="388"/>
      <c r="K47" s="1926" t="s">
        <v>1936</v>
      </c>
      <c r="L47" s="1926"/>
      <c r="M47" s="1926"/>
      <c r="N47" s="1926"/>
      <c r="O47" s="1926"/>
      <c r="Q47" s="1925"/>
      <c r="R47" s="1925"/>
    </row>
    <row r="48" spans="1:18" ht="15" customHeight="1">
      <c r="B48" s="649"/>
      <c r="C48" s="649"/>
      <c r="D48" s="519"/>
      <c r="E48" s="667"/>
      <c r="F48" s="665"/>
      <c r="G48" s="388"/>
      <c r="H48" s="388"/>
      <c r="I48" s="534"/>
      <c r="J48" s="388"/>
      <c r="K48" s="1924" t="s">
        <v>1937</v>
      </c>
      <c r="L48" s="1924"/>
      <c r="M48" s="1924"/>
      <c r="N48" s="1924"/>
      <c r="O48" s="1924"/>
      <c r="Q48" s="1921">
        <f>Q46+Q47</f>
        <v>0</v>
      </c>
      <c r="R48" s="1921"/>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42" t="s">
        <v>1683</v>
      </c>
      <c r="C52" s="1942"/>
      <c r="D52" s="1942"/>
      <c r="E52" s="1942"/>
      <c r="F52" s="665"/>
      <c r="G52" s="533">
        <f>SUM(E42:E49)-ABS(E50)-ABS(E51)</f>
        <v>0</v>
      </c>
      <c r="H52" s="388"/>
      <c r="I52" s="534"/>
      <c r="J52" s="388"/>
    </row>
    <row r="53" spans="1:29" ht="15" customHeight="1">
      <c r="C53" s="538"/>
      <c r="D53" s="538" t="s">
        <v>916</v>
      </c>
      <c r="E53" s="538"/>
      <c r="F53" s="538"/>
      <c r="G53" s="539">
        <f>SUM(G38:G40)+G52</f>
        <v>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5" t="s">
        <v>1317</v>
      </c>
      <c r="C56" s="1945"/>
      <c r="D56" s="665"/>
      <c r="E56" s="665"/>
      <c r="F56" s="665"/>
      <c r="G56" s="665"/>
      <c r="H56" s="665"/>
      <c r="I56" s="665"/>
      <c r="J56" s="665"/>
      <c r="K56" s="665"/>
      <c r="L56" s="665"/>
      <c r="M56" s="665"/>
      <c r="N56" s="665"/>
      <c r="O56" s="665"/>
      <c r="P56" s="665"/>
      <c r="U56" s="769" t="s">
        <v>1876</v>
      </c>
      <c r="AC56" s="798">
        <v>0.2</v>
      </c>
    </row>
    <row r="57" spans="1:29" ht="15" customHeight="1">
      <c r="A57" s="536"/>
      <c r="B57" s="1946" t="s">
        <v>1677</v>
      </c>
      <c r="C57" s="1946"/>
      <c r="D57" s="1946"/>
      <c r="E57" s="1946"/>
      <c r="F57" s="1946"/>
      <c r="G57" s="1946"/>
      <c r="H57" s="1946"/>
      <c r="I57" s="1946"/>
      <c r="J57" s="1946"/>
      <c r="K57" s="1946"/>
      <c r="L57" s="1946"/>
      <c r="M57" s="1946"/>
      <c r="N57" s="1946"/>
      <c r="O57" s="1946"/>
      <c r="P57" s="665"/>
      <c r="U57" s="769" t="s">
        <v>1877</v>
      </c>
      <c r="AC57" s="798">
        <v>0.1</v>
      </c>
    </row>
    <row r="58" spans="1:29" ht="15" customHeight="1">
      <c r="B58" s="1937" t="s">
        <v>1676</v>
      </c>
      <c r="C58" s="1938"/>
      <c r="D58" s="1938"/>
      <c r="E58" s="1938"/>
      <c r="F58" s="541"/>
      <c r="G58" s="541"/>
      <c r="H58" s="531"/>
      <c r="I58" s="531"/>
      <c r="J58" s="1939">
        <f>('Sources and Uses Budget'!D104+Q47)/('Sources and Uses Budget'!B104+Q48)</f>
        <v>0</v>
      </c>
      <c r="K58" s="1940"/>
      <c r="L58" s="1940"/>
      <c r="M58" s="1940"/>
      <c r="N58" s="1941"/>
      <c r="O58" s="531"/>
      <c r="P58" s="531"/>
      <c r="U58" s="769" t="s">
        <v>1878</v>
      </c>
      <c r="AC58" s="798">
        <v>0.1</v>
      </c>
    </row>
    <row r="59" spans="1:29" ht="15" customHeight="1">
      <c r="B59" s="1922" t="s">
        <v>2250</v>
      </c>
      <c r="C59" s="1922"/>
      <c r="D59" s="1922"/>
      <c r="E59" s="1922"/>
      <c r="F59" s="1922"/>
      <c r="G59" s="1922"/>
      <c r="H59" s="1922"/>
      <c r="I59" s="1922"/>
      <c r="J59" s="1922"/>
      <c r="K59" s="1922"/>
      <c r="L59" s="1922"/>
      <c r="M59" s="1922"/>
      <c r="N59" s="1922"/>
      <c r="O59" s="1922"/>
      <c r="P59" s="531"/>
      <c r="U59" s="769" t="s">
        <v>1879</v>
      </c>
      <c r="AC59" s="798">
        <v>0.05</v>
      </c>
    </row>
    <row r="60" spans="1:29" ht="15" customHeight="1" thickBot="1">
      <c r="B60" s="1922"/>
      <c r="C60" s="1922"/>
      <c r="D60" s="1922"/>
      <c r="E60" s="1922"/>
      <c r="F60" s="1922"/>
      <c r="G60" s="1922"/>
      <c r="H60" s="1922"/>
      <c r="I60" s="1922"/>
      <c r="J60" s="1922"/>
      <c r="K60" s="1922"/>
      <c r="L60" s="1922"/>
      <c r="M60" s="1922"/>
      <c r="N60" s="1922"/>
      <c r="O60" s="1922"/>
      <c r="P60" s="531"/>
      <c r="U60" s="770"/>
      <c r="AC60" s="771"/>
    </row>
    <row r="61" spans="1:29" ht="15" customHeight="1">
      <c r="B61" s="1946" t="s">
        <v>1678</v>
      </c>
      <c r="C61" s="1946"/>
      <c r="D61" s="1946"/>
      <c r="E61" s="1946"/>
      <c r="F61" s="1946"/>
      <c r="G61" s="1946"/>
      <c r="H61" s="1946"/>
      <c r="I61" s="1946"/>
      <c r="J61" s="1946"/>
      <c r="K61" s="1946"/>
      <c r="L61" s="1946"/>
      <c r="M61" s="1946"/>
      <c r="N61" s="1946"/>
      <c r="O61" s="1946"/>
      <c r="P61" s="531"/>
      <c r="U61" s="1915">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6"/>
    </row>
    <row r="63" spans="1:29" ht="15" customHeight="1">
      <c r="B63" s="380"/>
      <c r="C63" s="380"/>
      <c r="D63" s="380"/>
      <c r="E63" s="387"/>
      <c r="F63" s="380"/>
      <c r="G63" s="380"/>
      <c r="H63" s="380"/>
      <c r="I63" s="774"/>
      <c r="J63" s="1948" t="s">
        <v>2252</v>
      </c>
      <c r="K63" s="1949"/>
      <c r="L63" s="1949"/>
      <c r="M63" s="1949"/>
      <c r="N63" s="1949"/>
      <c r="O63" s="1949"/>
      <c r="P63" s="1949"/>
      <c r="Q63" s="1949"/>
      <c r="R63" s="1949"/>
      <c r="U63" s="1915">
        <f>IF(J67="Non-rural project, Census Tract is High Resource (10 percentage points)",AC57,0)</f>
        <v>0</v>
      </c>
    </row>
    <row r="64" spans="1:29" ht="15" customHeight="1" thickBot="1">
      <c r="B64" s="1945" t="s">
        <v>1688</v>
      </c>
      <c r="C64" s="1945"/>
      <c r="D64" s="380"/>
      <c r="F64" s="380"/>
      <c r="G64" s="538" t="s">
        <v>1938</v>
      </c>
      <c r="H64" s="380"/>
      <c r="I64" s="775"/>
      <c r="J64" s="1950"/>
      <c r="K64" s="1951"/>
      <c r="L64" s="1951"/>
      <c r="M64" s="1951"/>
      <c r="N64" s="1951"/>
      <c r="O64" s="1951"/>
      <c r="P64" s="1951"/>
      <c r="Q64" s="1951"/>
      <c r="R64" s="1951"/>
      <c r="U64" s="1916"/>
    </row>
    <row r="65" spans="1:22" ht="15" customHeight="1">
      <c r="B65" s="542" t="s">
        <v>1681</v>
      </c>
      <c r="C65" s="527" t="str">
        <f>IF(Application!M349="Yes","Yes","No")</f>
        <v>Yes</v>
      </c>
      <c r="E65" s="807"/>
      <c r="F65" s="807"/>
      <c r="G65" s="538" t="s">
        <v>1940</v>
      </c>
      <c r="H65" s="380"/>
      <c r="I65" s="775"/>
      <c r="J65" s="1950"/>
      <c r="K65" s="1951"/>
      <c r="L65" s="1951"/>
      <c r="M65" s="1951"/>
      <c r="N65" s="1951"/>
      <c r="O65" s="1951"/>
      <c r="P65" s="1951"/>
      <c r="Q65" s="1951"/>
      <c r="R65" s="1951"/>
      <c r="U65" s="1915">
        <f>IF(J67="Rural project, Census Tract is Highest Resource (10 percentage points)",AC58,0)</f>
        <v>0</v>
      </c>
    </row>
    <row r="66" spans="1:22" ht="15" customHeight="1" thickBot="1">
      <c r="B66" s="543" t="s">
        <v>1758</v>
      </c>
      <c r="C66" s="653">
        <f>Application!AG430-Application!AG431</f>
        <v>60</v>
      </c>
      <c r="D66" s="807"/>
      <c r="E66" s="543" t="s">
        <v>1941</v>
      </c>
      <c r="F66" s="807"/>
      <c r="G66" s="670"/>
      <c r="H66" s="544"/>
      <c r="I66" s="776"/>
      <c r="J66" s="1950"/>
      <c r="K66" s="1951"/>
      <c r="L66" s="1951"/>
      <c r="M66" s="1951"/>
      <c r="N66" s="1951"/>
      <c r="O66" s="1951"/>
      <c r="P66" s="1951"/>
      <c r="Q66" s="1951"/>
      <c r="R66" s="1951"/>
      <c r="U66" s="1916"/>
    </row>
    <row r="67" spans="1:22" ht="15" customHeight="1">
      <c r="B67" s="543" t="s">
        <v>1675</v>
      </c>
      <c r="C67" s="654">
        <f>MIN(IF(AND(C65="Yes",G67&gt;=50),(0.75+(G67/200)),1),1.5)</f>
        <v>1.05</v>
      </c>
      <c r="D67" s="544"/>
      <c r="E67" s="543" t="s">
        <v>1759</v>
      </c>
      <c r="G67" s="653">
        <f>C66+G66</f>
        <v>60</v>
      </c>
      <c r="H67" s="544"/>
      <c r="I67" s="776"/>
      <c r="J67" s="1947" t="s">
        <v>132</v>
      </c>
      <c r="K67" s="1947"/>
      <c r="L67" s="1947"/>
      <c r="M67" s="1947"/>
      <c r="N67" s="1947"/>
      <c r="O67" s="1947"/>
      <c r="P67" s="1947"/>
      <c r="Q67" s="1947"/>
      <c r="R67" s="1947"/>
      <c r="U67" s="1915">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6"/>
    </row>
    <row r="69" spans="1:22" ht="15" customHeight="1">
      <c r="U69" s="1919">
        <f>SUM(U61:U68)</f>
        <v>0</v>
      </c>
    </row>
    <row r="70" spans="1:22" ht="15" customHeight="1" thickBot="1">
      <c r="B70" s="523" t="s">
        <v>1685</v>
      </c>
      <c r="C70" s="523"/>
      <c r="D70" s="523"/>
      <c r="E70" s="523"/>
      <c r="F70" s="523"/>
      <c r="G70" s="523"/>
      <c r="U70" s="1920"/>
      <c r="V70" s="377" t="s">
        <v>1880</v>
      </c>
    </row>
    <row r="71" spans="1:22" ht="15" customHeight="1">
      <c r="B71" s="1942" t="s">
        <v>1689</v>
      </c>
      <c r="C71" s="1942"/>
      <c r="D71" s="1942"/>
      <c r="E71" s="523"/>
      <c r="F71" s="523"/>
      <c r="G71" s="533">
        <f>G53*(1-J58)</f>
        <v>0</v>
      </c>
      <c r="J71" s="545"/>
      <c r="K71" s="702" t="s">
        <v>1691</v>
      </c>
      <c r="L71" s="702"/>
      <c r="M71" s="702"/>
      <c r="N71" s="702"/>
      <c r="O71" s="702"/>
      <c r="Q71" s="1921">
        <f>'Basis &amp; Credits'!T23+'Basis &amp; Credits'!Y23+'Basis &amp; Credits'!AD23+'Basis &amp; Credits'!AI23</f>
        <v>31570687.64919921</v>
      </c>
      <c r="R71" s="1921"/>
    </row>
    <row r="72" spans="1:22" ht="15" customHeight="1">
      <c r="B72" s="1952" t="s">
        <v>1690</v>
      </c>
      <c r="C72" s="1952"/>
      <c r="D72" s="1952"/>
      <c r="E72" s="523"/>
      <c r="F72" s="523"/>
      <c r="G72" s="533">
        <f>G71*C67</f>
        <v>0</v>
      </c>
      <c r="J72" s="545"/>
      <c r="K72" s="665"/>
      <c r="L72" s="665"/>
      <c r="M72" s="665"/>
      <c r="N72" s="665"/>
      <c r="O72" s="665"/>
      <c r="Q72" s="1928"/>
      <c r="R72" s="1928"/>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3">
        <f>$G$72</f>
        <v>0</v>
      </c>
      <c r="C75" s="1954"/>
      <c r="D75" s="1954"/>
      <c r="E75" s="1954"/>
      <c r="F75" s="1954"/>
      <c r="G75" s="1954"/>
      <c r="H75" s="546"/>
      <c r="I75" s="1933" t="s">
        <v>149</v>
      </c>
      <c r="J75" s="1934" t="s">
        <v>1036</v>
      </c>
      <c r="K75" s="1933">
        <v>1</v>
      </c>
      <c r="M75" s="399"/>
      <c r="N75" s="525"/>
      <c r="O75" s="672">
        <f>$Q$71</f>
        <v>31570687.64919921</v>
      </c>
      <c r="P75" s="1934" t="s">
        <v>2039</v>
      </c>
      <c r="Q75" s="1955" t="s">
        <v>148</v>
      </c>
      <c r="R75" s="1917">
        <f>((B75/B76)+((1-(O75/O76))/2))+U69</f>
        <v>9.3286648855448517E-2</v>
      </c>
    </row>
    <row r="76" spans="1:22" ht="15" customHeight="1" thickBot="1">
      <c r="B76" s="1956">
        <f>'Sources and Uses Budget'!$C$104+$Q$46-($E$50+$E$51)*(1-$J$58)</f>
        <v>38811963.709028274</v>
      </c>
      <c r="C76" s="1957"/>
      <c r="D76" s="1957"/>
      <c r="E76" s="1957"/>
      <c r="F76" s="1957"/>
      <c r="G76" s="1956"/>
      <c r="I76" s="1933"/>
      <c r="J76" s="1934"/>
      <c r="K76" s="1933"/>
      <c r="M76" s="663"/>
      <c r="O76" s="671">
        <f>B76</f>
        <v>38811963.709028274</v>
      </c>
      <c r="P76" s="1934"/>
      <c r="Q76" s="1955"/>
      <c r="R76" s="191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23"/>
      <c r="R84" s="1923"/>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23"/>
      <c r="R89" s="1923"/>
    </row>
    <row r="90" spans="2:18" ht="15" customHeight="1">
      <c r="B90" s="511" t="s">
        <v>651</v>
      </c>
      <c r="C90" s="512"/>
      <c r="D90" s="513"/>
      <c r="E90" s="513"/>
      <c r="F90" s="555"/>
      <c r="G90" s="388">
        <f>MAX(($E90-$D90)*$C90*12,0)</f>
        <v>0</v>
      </c>
      <c r="I90" s="534"/>
      <c r="K90" s="773" t="s">
        <v>1700</v>
      </c>
      <c r="L90" s="699"/>
      <c r="M90" s="699"/>
      <c r="N90" s="699"/>
      <c r="O90" s="699"/>
      <c r="P90" s="699"/>
      <c r="Q90" s="1958"/>
      <c r="R90" s="1958"/>
    </row>
    <row r="91" spans="2:18" ht="15" customHeight="1">
      <c r="B91" s="511" t="s">
        <v>651</v>
      </c>
      <c r="C91" s="512"/>
      <c r="D91" s="513"/>
      <c r="E91" s="513"/>
      <c r="F91" s="555"/>
      <c r="G91" s="388">
        <f t="shared" ref="G91:G97" si="0">MAX(($E91-$D91)*$C91*12,0)</f>
        <v>0</v>
      </c>
      <c r="I91" s="534"/>
      <c r="K91" s="773" t="s">
        <v>1703</v>
      </c>
      <c r="L91" s="699"/>
      <c r="M91" s="699"/>
      <c r="N91" s="699"/>
      <c r="O91" s="699"/>
      <c r="P91" s="699"/>
      <c r="Q91" s="1926">
        <f>IFERROR(Q89/Q90,0)</f>
        <v>0</v>
      </c>
      <c r="R91" s="1926"/>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21">
        <f>MAX(Q84,Q91)</f>
        <v>0</v>
      </c>
      <c r="R93" s="1921"/>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8" workbookViewId="0">
      <selection activeCell="E54" sqref="E5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927180</v>
      </c>
      <c r="F4" s="388"/>
      <c r="G4" s="388">
        <f>E4*$C$4</f>
        <v>950359.49999999988</v>
      </c>
      <c r="H4" s="388"/>
      <c r="I4" s="388">
        <f>G4*$C$4</f>
        <v>974118.48749999981</v>
      </c>
      <c r="J4" s="388"/>
      <c r="K4" s="388">
        <f>I4*$C$4</f>
        <v>998471.44968749967</v>
      </c>
      <c r="L4" s="388"/>
      <c r="M4" s="388">
        <f>K4*$C$4</f>
        <v>1023433.235929687</v>
      </c>
      <c r="N4" s="388"/>
      <c r="O4" s="388">
        <f>M4*$C$4</f>
        <v>1049019.0668279291</v>
      </c>
      <c r="P4" s="388"/>
      <c r="Q4" s="388">
        <f>O4*$C$4</f>
        <v>1075244.5434986271</v>
      </c>
      <c r="R4" s="388"/>
      <c r="S4" s="388">
        <f>Q4*$C$4</f>
        <v>1102125.6570860927</v>
      </c>
      <c r="T4" s="388"/>
      <c r="U4" s="388">
        <f>S4*$C$4</f>
        <v>1129678.7985132451</v>
      </c>
      <c r="V4" s="388"/>
      <c r="W4" s="388">
        <f>U4*$C$4</f>
        <v>1157920.7684760762</v>
      </c>
      <c r="X4" s="388"/>
      <c r="Y4" s="388">
        <f>W4*$C$4</f>
        <v>1186868.787687978</v>
      </c>
      <c r="Z4" s="388"/>
      <c r="AA4" s="388">
        <f>Y4*$C$4</f>
        <v>1216540.5073801773</v>
      </c>
      <c r="AB4" s="388"/>
      <c r="AC4" s="388">
        <f>AA4*$C$4</f>
        <v>1246954.0200646815</v>
      </c>
      <c r="AD4" s="388"/>
      <c r="AE4" s="388">
        <f>AC4*$C$4</f>
        <v>1278127.8705662985</v>
      </c>
      <c r="AF4" s="388"/>
      <c r="AG4" s="388">
        <f>AE4*$C$4</f>
        <v>1310081.0673304559</v>
      </c>
      <c r="AH4" s="388"/>
    </row>
    <row r="5" spans="1:34" ht="14.25">
      <c r="A5" s="380"/>
      <c r="B5" s="380" t="s">
        <v>1032</v>
      </c>
      <c r="C5" s="412">
        <f>IF(Application!$D$214="Special Needs",0.1,0.05)</f>
        <v>0.05</v>
      </c>
      <c r="D5" s="380"/>
      <c r="E5" s="390">
        <f>-E4*$C$5</f>
        <v>-46359</v>
      </c>
      <c r="F5" s="390"/>
      <c r="G5" s="390">
        <f>-G4*$C$5</f>
        <v>-47517.974999999999</v>
      </c>
      <c r="H5" s="390"/>
      <c r="I5" s="390">
        <f>-I4*$C$5</f>
        <v>-48705.924374999995</v>
      </c>
      <c r="J5" s="390"/>
      <c r="K5" s="390">
        <f>-K4*$C$5</f>
        <v>-49923.572484374985</v>
      </c>
      <c r="L5" s="390"/>
      <c r="M5" s="390">
        <f>-M4*$C$5</f>
        <v>-51171.661796484354</v>
      </c>
      <c r="N5" s="390"/>
      <c r="O5" s="390">
        <f>-O4*$C$5</f>
        <v>-52450.95334139646</v>
      </c>
      <c r="P5" s="390"/>
      <c r="Q5" s="390">
        <f>-Q4*$C$5</f>
        <v>-53762.227174931359</v>
      </c>
      <c r="R5" s="390"/>
      <c r="S5" s="390">
        <f>-S4*$C$5</f>
        <v>-55106.282854304642</v>
      </c>
      <c r="T5" s="390"/>
      <c r="U5" s="390">
        <f>-U4*$C$5</f>
        <v>-56483.939925662256</v>
      </c>
      <c r="V5" s="390"/>
      <c r="W5" s="390">
        <f>-W4*$C$5</f>
        <v>-57896.03842380381</v>
      </c>
      <c r="X5" s="390"/>
      <c r="Y5" s="390">
        <f>-Y4*$C$5</f>
        <v>-59343.439384398902</v>
      </c>
      <c r="Z5" s="390"/>
      <c r="AA5" s="390">
        <f>-AA4*$C$5</f>
        <v>-60827.025369008865</v>
      </c>
      <c r="AB5" s="390"/>
      <c r="AC5" s="390">
        <f>-AC4*$C$5</f>
        <v>-62347.701003234077</v>
      </c>
      <c r="AD5" s="390"/>
      <c r="AE5" s="390">
        <f>-AE4*$C$5</f>
        <v>-63906.393528314926</v>
      </c>
      <c r="AF5" s="390"/>
      <c r="AG5" s="390">
        <f>-AG4*$C$5</f>
        <v>-65504.053366522799</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13176</v>
      </c>
      <c r="F8" s="391"/>
      <c r="G8" s="391">
        <f>E8*$C$8</f>
        <v>13505.4</v>
      </c>
      <c r="H8" s="391"/>
      <c r="I8" s="391">
        <f>G8*$C$8</f>
        <v>13843.034999999998</v>
      </c>
      <c r="J8" s="391"/>
      <c r="K8" s="391">
        <f>I8*$C$8</f>
        <v>14189.110874999997</v>
      </c>
      <c r="L8" s="391"/>
      <c r="M8" s="391">
        <f>K8*$C$8</f>
        <v>14543.838646874996</v>
      </c>
      <c r="N8" s="391"/>
      <c r="O8" s="391">
        <f>M8*$C$8</f>
        <v>14907.434613046869</v>
      </c>
      <c r="P8" s="391"/>
      <c r="Q8" s="391">
        <f>O8*$C$8</f>
        <v>15280.120478373039</v>
      </c>
      <c r="R8" s="391"/>
      <c r="S8" s="391">
        <f>Q8*$C$8</f>
        <v>15662.123490332364</v>
      </c>
      <c r="T8" s="391"/>
      <c r="U8" s="391">
        <f>S8*$C$8</f>
        <v>16053.676577590672</v>
      </c>
      <c r="V8" s="391"/>
      <c r="W8" s="391">
        <f>U8*$C$8</f>
        <v>16455.018492030438</v>
      </c>
      <c r="X8" s="391"/>
      <c r="Y8" s="391">
        <f>W8*$C$8</f>
        <v>16866.393954331197</v>
      </c>
      <c r="Z8" s="391"/>
      <c r="AA8" s="391">
        <f>Y8*$C$8</f>
        <v>17288.053803189476</v>
      </c>
      <c r="AB8" s="391"/>
      <c r="AC8" s="391">
        <f>AA8*$C$8</f>
        <v>17720.255148269211</v>
      </c>
      <c r="AD8" s="391"/>
      <c r="AE8" s="391">
        <f>AC8*$C$8</f>
        <v>18163.261526975941</v>
      </c>
      <c r="AF8" s="391"/>
      <c r="AG8" s="391">
        <f>AE8*$C$8</f>
        <v>18617.343065150337</v>
      </c>
      <c r="AH8" s="380"/>
    </row>
    <row r="9" spans="1:34" ht="14.25">
      <c r="A9" s="380"/>
      <c r="B9" s="380" t="s">
        <v>1032</v>
      </c>
      <c r="C9" s="412">
        <f>IF(Application!$D$214="Special Needs",0.1,0.05)</f>
        <v>0.05</v>
      </c>
      <c r="D9" s="380"/>
      <c r="E9" s="390">
        <f>-E8*$C$9</f>
        <v>-658.80000000000007</v>
      </c>
      <c r="F9" s="390"/>
      <c r="G9" s="390">
        <f>-G8*$C$9</f>
        <v>-675.27</v>
      </c>
      <c r="H9" s="390"/>
      <c r="I9" s="390">
        <f>-I8*$C$9</f>
        <v>-692.15174999999999</v>
      </c>
      <c r="J9" s="390"/>
      <c r="K9" s="390">
        <f>-K8*$C$9</f>
        <v>-709.45554374999983</v>
      </c>
      <c r="L9" s="390"/>
      <c r="M9" s="390">
        <f>-M8*$C$9</f>
        <v>-727.19193234374984</v>
      </c>
      <c r="N9" s="390"/>
      <c r="O9" s="390">
        <f>-O8*$C$9</f>
        <v>-745.37173065234356</v>
      </c>
      <c r="P9" s="390"/>
      <c r="Q9" s="390">
        <f>-Q8*$C$9</f>
        <v>-764.00602391865198</v>
      </c>
      <c r="R9" s="390"/>
      <c r="S9" s="390">
        <f>-S8*$C$9</f>
        <v>-783.10617451661824</v>
      </c>
      <c r="T9" s="390"/>
      <c r="U9" s="390">
        <f>-U8*$C$9</f>
        <v>-802.68382887953362</v>
      </c>
      <c r="V9" s="390"/>
      <c r="W9" s="390">
        <f>-W8*$C$9</f>
        <v>-822.750924601522</v>
      </c>
      <c r="X9" s="390"/>
      <c r="Y9" s="390">
        <f>-Y8*$C$9</f>
        <v>-843.31969771655986</v>
      </c>
      <c r="Z9" s="390"/>
      <c r="AA9" s="390">
        <f>-AA8*$C$9</f>
        <v>-864.40269015947388</v>
      </c>
      <c r="AB9" s="390"/>
      <c r="AC9" s="390">
        <f>-AC8*$C$9</f>
        <v>-886.01275741346058</v>
      </c>
      <c r="AD9" s="390"/>
      <c r="AE9" s="390">
        <f>-AE8*$C$9</f>
        <v>-908.16307634879706</v>
      </c>
      <c r="AF9" s="390"/>
      <c r="AG9" s="390">
        <f>-AG8*$C$9</f>
        <v>-930.86715325751686</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893338.2</v>
      </c>
      <c r="F11" s="392"/>
      <c r="G11" s="392">
        <f>SUM(G4:G10)</f>
        <v>915671.65499999991</v>
      </c>
      <c r="H11" s="392"/>
      <c r="I11" s="392">
        <f>SUM(I4:I10)</f>
        <v>938563.44637499994</v>
      </c>
      <c r="J11" s="392"/>
      <c r="K11" s="392">
        <f>SUM(K4:K10)</f>
        <v>962027.53253437474</v>
      </c>
      <c r="L11" s="392"/>
      <c r="M11" s="392">
        <f>SUM(M4:M10)</f>
        <v>986078.2208477339</v>
      </c>
      <c r="N11" s="392"/>
      <c r="O11" s="392">
        <f>SUM(O4:O10)</f>
        <v>1010730.1763689272</v>
      </c>
      <c r="P11" s="392"/>
      <c r="Q11" s="392">
        <f>SUM(Q4:Q10)</f>
        <v>1035998.4307781502</v>
      </c>
      <c r="R11" s="392"/>
      <c r="S11" s="392">
        <f>SUM(S4:S10)</f>
        <v>1061898.3915476038</v>
      </c>
      <c r="T11" s="392"/>
      <c r="U11" s="392">
        <f>SUM(U4:U10)</f>
        <v>1088445.8513362939</v>
      </c>
      <c r="V11" s="392"/>
      <c r="W11" s="392">
        <f>SUM(W4:W10)</f>
        <v>1115656.9976197013</v>
      </c>
      <c r="X11" s="392"/>
      <c r="Y11" s="392">
        <f>SUM(Y4:Y10)</f>
        <v>1143548.4225601938</v>
      </c>
      <c r="Z11" s="392"/>
      <c r="AA11" s="392">
        <f>SUM(AA4:AA10)</f>
        <v>1172137.1331241985</v>
      </c>
      <c r="AB11" s="392"/>
      <c r="AC11" s="392">
        <f>SUM(AC4:AC10)</f>
        <v>1201440.5614523031</v>
      </c>
      <c r="AD11" s="392"/>
      <c r="AE11" s="392">
        <f>SUM(AE4:AE10)</f>
        <v>1231476.5754886107</v>
      </c>
      <c r="AF11" s="392"/>
      <c r="AG11" s="392">
        <f>SUM(AG4:AG10)</f>
        <v>1262263.4898758258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33000</v>
      </c>
      <c r="F15" s="388"/>
      <c r="G15" s="388">
        <f t="shared" ref="G15:G21" si="0">E15*$C$14</f>
        <v>34155</v>
      </c>
      <c r="H15" s="388"/>
      <c r="I15" s="388">
        <f t="shared" ref="I15:I21" si="1">G15*$C$14</f>
        <v>35350.424999999996</v>
      </c>
      <c r="J15" s="388"/>
      <c r="K15" s="388">
        <f t="shared" ref="K15:K21" si="2">I15*$C$14</f>
        <v>36587.689874999989</v>
      </c>
      <c r="L15" s="388"/>
      <c r="M15" s="388">
        <f t="shared" ref="M15:M21" si="3">K15*$C$14</f>
        <v>37868.259020624988</v>
      </c>
      <c r="N15" s="388"/>
      <c r="O15" s="388">
        <f t="shared" ref="O15:O21" si="4">M15*$C$14</f>
        <v>39193.648086346861</v>
      </c>
      <c r="P15" s="388"/>
      <c r="Q15" s="388">
        <f t="shared" ref="Q15:Q21" si="5">O15*$C$14</f>
        <v>40565.425769368994</v>
      </c>
      <c r="R15" s="388"/>
      <c r="S15" s="388">
        <f t="shared" ref="S15:S21" si="6">Q15*$C$14</f>
        <v>41985.215671296908</v>
      </c>
      <c r="T15" s="388"/>
      <c r="U15" s="388">
        <f>S15*$C$14</f>
        <v>43454.698219792299</v>
      </c>
      <c r="V15" s="388"/>
      <c r="W15" s="388">
        <f t="shared" ref="W15:W21" si="7">U15*$C$14</f>
        <v>44975.612657485028</v>
      </c>
      <c r="X15" s="388"/>
      <c r="Y15" s="388">
        <f t="shared" ref="Y15:Y21" si="8">W15*$C$14</f>
        <v>46549.759100497002</v>
      </c>
      <c r="Z15" s="388"/>
      <c r="AA15" s="388">
        <f t="shared" ref="AA15:AA21" si="9">Y15*$C$14</f>
        <v>48179.000669014393</v>
      </c>
      <c r="AB15" s="388"/>
      <c r="AC15" s="388">
        <f t="shared" ref="AC15:AC21" si="10">AA15*$C$14</f>
        <v>49865.265692429894</v>
      </c>
      <c r="AD15" s="388"/>
      <c r="AE15" s="388">
        <f t="shared" ref="AE15:AE21" si="11">AC15*$C$14</f>
        <v>51610.549991664935</v>
      </c>
      <c r="AF15" s="388"/>
      <c r="AG15" s="388">
        <f t="shared" ref="AG15:AG21" si="12">AE15*$C$14</f>
        <v>53416.919241373202</v>
      </c>
      <c r="AH15" s="388"/>
    </row>
    <row r="16" spans="1:34" ht="14.25">
      <c r="A16" s="380" t="s">
        <v>497</v>
      </c>
      <c r="B16" s="380"/>
      <c r="C16" s="402"/>
      <c r="D16" s="380"/>
      <c r="E16" s="391">
        <f>Application!W813</f>
        <v>53600.292000000001</v>
      </c>
      <c r="F16" s="391"/>
      <c r="G16" s="391">
        <f t="shared" si="0"/>
        <v>55476.302219999998</v>
      </c>
      <c r="H16" s="391"/>
      <c r="I16" s="391">
        <f t="shared" si="1"/>
        <v>57417.972797699993</v>
      </c>
      <c r="J16" s="391"/>
      <c r="K16" s="391">
        <f t="shared" si="2"/>
        <v>59427.601845619487</v>
      </c>
      <c r="L16" s="391"/>
      <c r="M16" s="391">
        <f t="shared" si="3"/>
        <v>61507.567910216167</v>
      </c>
      <c r="N16" s="391"/>
      <c r="O16" s="391">
        <f t="shared" si="4"/>
        <v>63660.332787073727</v>
      </c>
      <c r="P16" s="391"/>
      <c r="Q16" s="391">
        <f t="shared" si="5"/>
        <v>65888.444434621299</v>
      </c>
      <c r="R16" s="391"/>
      <c r="S16" s="391">
        <f t="shared" si="6"/>
        <v>68194.539989833036</v>
      </c>
      <c r="T16" s="391"/>
      <c r="U16" s="391">
        <f t="shared" ref="U16:U21" si="13">S16*$C$14</f>
        <v>70581.348889477187</v>
      </c>
      <c r="V16" s="391"/>
      <c r="W16" s="391">
        <f t="shared" si="7"/>
        <v>73051.696100608882</v>
      </c>
      <c r="X16" s="391"/>
      <c r="Y16" s="391">
        <f t="shared" si="8"/>
        <v>75608.505464130183</v>
      </c>
      <c r="Z16" s="391"/>
      <c r="AA16" s="391">
        <f t="shared" si="9"/>
        <v>78254.803155374728</v>
      </c>
      <c r="AB16" s="391"/>
      <c r="AC16" s="391">
        <f t="shared" si="10"/>
        <v>80993.721265812841</v>
      </c>
      <c r="AD16" s="391"/>
      <c r="AE16" s="391">
        <f t="shared" si="11"/>
        <v>83828.501510116286</v>
      </c>
      <c r="AF16" s="391"/>
      <c r="AG16" s="391">
        <f t="shared" si="12"/>
        <v>86762.499062970353</v>
      </c>
      <c r="AH16" s="380"/>
    </row>
    <row r="17" spans="1:34" ht="14.25">
      <c r="A17" s="380" t="s">
        <v>770</v>
      </c>
      <c r="B17" s="380"/>
      <c r="C17" s="402"/>
      <c r="D17" s="380"/>
      <c r="E17" s="391">
        <f>Application!W819</f>
        <v>61556.625</v>
      </c>
      <c r="F17" s="391"/>
      <c r="G17" s="391">
        <f t="shared" si="0"/>
        <v>63711.106874999998</v>
      </c>
      <c r="H17" s="391"/>
      <c r="I17" s="391">
        <f t="shared" si="1"/>
        <v>65940.995615624997</v>
      </c>
      <c r="J17" s="391"/>
      <c r="K17" s="391">
        <f t="shared" si="2"/>
        <v>68248.930462171862</v>
      </c>
      <c r="L17" s="391"/>
      <c r="M17" s="391">
        <f t="shared" si="3"/>
        <v>70637.643028347869</v>
      </c>
      <c r="N17" s="391"/>
      <c r="O17" s="391">
        <f t="shared" si="4"/>
        <v>73109.960534340033</v>
      </c>
      <c r="P17" s="391"/>
      <c r="Q17" s="391">
        <f t="shared" si="5"/>
        <v>75668.809153041933</v>
      </c>
      <c r="R17" s="391"/>
      <c r="S17" s="391">
        <f t="shared" si="6"/>
        <v>78317.217473398399</v>
      </c>
      <c r="T17" s="391"/>
      <c r="U17" s="391">
        <f t="shared" si="13"/>
        <v>81058.32008496733</v>
      </c>
      <c r="V17" s="391"/>
      <c r="W17" s="391">
        <f t="shared" si="7"/>
        <v>83895.361287941181</v>
      </c>
      <c r="X17" s="391"/>
      <c r="Y17" s="391">
        <f t="shared" si="8"/>
        <v>86831.698933019114</v>
      </c>
      <c r="Z17" s="391"/>
      <c r="AA17" s="391">
        <f t="shared" si="9"/>
        <v>89870.808395674772</v>
      </c>
      <c r="AB17" s="391"/>
      <c r="AC17" s="391">
        <f t="shared" si="10"/>
        <v>93016.286689523389</v>
      </c>
      <c r="AD17" s="391"/>
      <c r="AE17" s="391">
        <f t="shared" si="11"/>
        <v>96271.856723656703</v>
      </c>
      <c r="AF17" s="391"/>
      <c r="AG17" s="391">
        <f t="shared" si="12"/>
        <v>99641.371708984676</v>
      </c>
      <c r="AH17" s="380"/>
    </row>
    <row r="18" spans="1:34" ht="14.25">
      <c r="A18" s="380" t="s">
        <v>1126</v>
      </c>
      <c r="B18" s="380"/>
      <c r="C18" s="402"/>
      <c r="D18" s="380"/>
      <c r="E18" s="391">
        <f>Application!W826</f>
        <v>146036.46585516809</v>
      </c>
      <c r="F18" s="391"/>
      <c r="G18" s="391">
        <f t="shared" si="0"/>
        <v>151147.74216009898</v>
      </c>
      <c r="H18" s="391"/>
      <c r="I18" s="391">
        <f t="shared" si="1"/>
        <v>156437.91313570243</v>
      </c>
      <c r="J18" s="391"/>
      <c r="K18" s="391">
        <f t="shared" si="2"/>
        <v>161913.240095452</v>
      </c>
      <c r="L18" s="391"/>
      <c r="M18" s="391">
        <f t="shared" si="3"/>
        <v>167580.20349879281</v>
      </c>
      <c r="N18" s="391"/>
      <c r="O18" s="391">
        <f t="shared" si="4"/>
        <v>173445.51062125055</v>
      </c>
      <c r="P18" s="391"/>
      <c r="Q18" s="391">
        <f t="shared" si="5"/>
        <v>179516.1034929943</v>
      </c>
      <c r="R18" s="391"/>
      <c r="S18" s="391">
        <f t="shared" si="6"/>
        <v>185799.16711524909</v>
      </c>
      <c r="T18" s="391"/>
      <c r="U18" s="391">
        <f t="shared" si="13"/>
        <v>192302.1379642828</v>
      </c>
      <c r="V18" s="391"/>
      <c r="W18" s="391">
        <f t="shared" si="7"/>
        <v>199032.71279303267</v>
      </c>
      <c r="X18" s="391"/>
      <c r="Y18" s="391">
        <f t="shared" si="8"/>
        <v>205998.85774078881</v>
      </c>
      <c r="Z18" s="391"/>
      <c r="AA18" s="391">
        <f t="shared" si="9"/>
        <v>213208.8177617164</v>
      </c>
      <c r="AB18" s="391"/>
      <c r="AC18" s="391">
        <f t="shared" si="10"/>
        <v>220671.12638337645</v>
      </c>
      <c r="AD18" s="391"/>
      <c r="AE18" s="391">
        <f t="shared" si="11"/>
        <v>228394.61580679461</v>
      </c>
      <c r="AF18" s="391"/>
      <c r="AG18" s="391">
        <f t="shared" si="12"/>
        <v>236388.42736003239</v>
      </c>
    </row>
    <row r="19" spans="1:34" ht="14.25">
      <c r="A19" s="380" t="s">
        <v>975</v>
      </c>
      <c r="B19" s="380"/>
      <c r="C19" s="402"/>
      <c r="D19" s="380"/>
      <c r="E19" s="391">
        <f>Application!W827</f>
        <v>0</v>
      </c>
      <c r="F19" s="391"/>
      <c r="G19" s="391">
        <f t="shared" si="0"/>
        <v>0</v>
      </c>
      <c r="H19" s="391"/>
      <c r="I19" s="391">
        <f t="shared" si="1"/>
        <v>0</v>
      </c>
      <c r="J19" s="391"/>
      <c r="K19" s="391">
        <f t="shared" si="2"/>
        <v>0</v>
      </c>
      <c r="L19" s="391"/>
      <c r="M19" s="391">
        <f t="shared" si="3"/>
        <v>0</v>
      </c>
      <c r="N19" s="391"/>
      <c r="O19" s="391">
        <f t="shared" si="4"/>
        <v>0</v>
      </c>
      <c r="P19" s="391"/>
      <c r="Q19" s="391">
        <f t="shared" si="5"/>
        <v>0</v>
      </c>
      <c r="R19" s="391"/>
      <c r="S19" s="391">
        <f t="shared" si="6"/>
        <v>0</v>
      </c>
      <c r="T19" s="391"/>
      <c r="U19" s="391">
        <f t="shared" si="13"/>
        <v>0</v>
      </c>
      <c r="V19" s="391"/>
      <c r="W19" s="391">
        <f t="shared" si="7"/>
        <v>0</v>
      </c>
      <c r="X19" s="391"/>
      <c r="Y19" s="391">
        <f t="shared" si="8"/>
        <v>0</v>
      </c>
      <c r="Z19" s="391"/>
      <c r="AA19" s="391">
        <f t="shared" si="9"/>
        <v>0</v>
      </c>
      <c r="AB19" s="391"/>
      <c r="AC19" s="391">
        <f t="shared" si="10"/>
        <v>0</v>
      </c>
      <c r="AD19" s="391"/>
      <c r="AE19" s="391">
        <f t="shared" si="11"/>
        <v>0</v>
      </c>
      <c r="AF19" s="391"/>
      <c r="AG19" s="391">
        <f t="shared" si="12"/>
        <v>0</v>
      </c>
    </row>
    <row r="20" spans="1:34" ht="14.25">
      <c r="A20" s="380" t="s">
        <v>59</v>
      </c>
      <c r="B20" s="380"/>
      <c r="C20" s="402"/>
      <c r="D20" s="380"/>
      <c r="E20" s="391">
        <f>Application!W836</f>
        <v>71875.5</v>
      </c>
      <c r="F20" s="391"/>
      <c r="G20" s="391">
        <f t="shared" si="0"/>
        <v>74391.142499999987</v>
      </c>
      <c r="H20" s="391"/>
      <c r="I20" s="391">
        <f t="shared" si="1"/>
        <v>76994.832487499982</v>
      </c>
      <c r="J20" s="391"/>
      <c r="K20" s="391">
        <f t="shared" si="2"/>
        <v>79689.651624562481</v>
      </c>
      <c r="L20" s="391"/>
      <c r="M20" s="391">
        <f t="shared" si="3"/>
        <v>82478.789431422163</v>
      </c>
      <c r="N20" s="391"/>
      <c r="O20" s="391">
        <f t="shared" si="4"/>
        <v>85365.547061521938</v>
      </c>
      <c r="P20" s="391"/>
      <c r="Q20" s="391">
        <f t="shared" si="5"/>
        <v>88353.341208675192</v>
      </c>
      <c r="R20" s="391"/>
      <c r="S20" s="391">
        <f t="shared" si="6"/>
        <v>91445.708150978811</v>
      </c>
      <c r="T20" s="391"/>
      <c r="U20" s="391">
        <f t="shared" si="13"/>
        <v>94646.307936263067</v>
      </c>
      <c r="V20" s="391"/>
      <c r="W20" s="391">
        <f t="shared" si="7"/>
        <v>97958.92871403227</v>
      </c>
      <c r="X20" s="391"/>
      <c r="Y20" s="391">
        <f t="shared" si="8"/>
        <v>101387.49121902339</v>
      </c>
      <c r="Z20" s="391"/>
      <c r="AA20" s="391">
        <f t="shared" si="9"/>
        <v>104936.05341168919</v>
      </c>
      <c r="AB20" s="391"/>
      <c r="AC20" s="391">
        <f t="shared" si="10"/>
        <v>108608.8152810983</v>
      </c>
      <c r="AD20" s="391"/>
      <c r="AE20" s="391">
        <f t="shared" si="11"/>
        <v>112410.12381593673</v>
      </c>
      <c r="AF20" s="391"/>
      <c r="AG20" s="391">
        <f t="shared" si="12"/>
        <v>116344.47814949451</v>
      </c>
    </row>
    <row r="21" spans="1:34" ht="14.25">
      <c r="A21" s="614" t="s">
        <v>1271</v>
      </c>
      <c r="B21" s="614"/>
      <c r="C21" s="402"/>
      <c r="D21" s="380"/>
      <c r="E21" s="401">
        <f>Application!W843</f>
        <v>24400</v>
      </c>
      <c r="F21" s="391"/>
      <c r="G21" s="401">
        <f t="shared" si="0"/>
        <v>25253.999999999996</v>
      </c>
      <c r="H21" s="391"/>
      <c r="I21" s="401">
        <f t="shared" si="1"/>
        <v>26137.889999999996</v>
      </c>
      <c r="J21" s="391"/>
      <c r="K21" s="401">
        <f t="shared" si="2"/>
        <v>27052.716149999993</v>
      </c>
      <c r="L21" s="391"/>
      <c r="M21" s="401">
        <f t="shared" si="3"/>
        <v>27999.561215249989</v>
      </c>
      <c r="N21" s="391"/>
      <c r="O21" s="401">
        <f t="shared" si="4"/>
        <v>28979.545857783738</v>
      </c>
      <c r="P21" s="391"/>
      <c r="Q21" s="401">
        <f t="shared" si="5"/>
        <v>29993.829962806165</v>
      </c>
      <c r="R21" s="391"/>
      <c r="S21" s="401">
        <f t="shared" si="6"/>
        <v>31043.614011504378</v>
      </c>
      <c r="T21" s="391"/>
      <c r="U21" s="401">
        <f t="shared" si="13"/>
        <v>32130.14050190703</v>
      </c>
      <c r="V21" s="391"/>
      <c r="W21" s="401">
        <f t="shared" si="7"/>
        <v>33254.69541947377</v>
      </c>
      <c r="X21" s="391"/>
      <c r="Y21" s="401">
        <f t="shared" si="8"/>
        <v>34418.609759155348</v>
      </c>
      <c r="Z21" s="391"/>
      <c r="AA21" s="401">
        <f t="shared" si="9"/>
        <v>35623.26110072578</v>
      </c>
      <c r="AB21" s="391"/>
      <c r="AC21" s="401">
        <f t="shared" si="10"/>
        <v>36870.075239251179</v>
      </c>
      <c r="AD21" s="391"/>
      <c r="AE21" s="401">
        <f t="shared" si="11"/>
        <v>38160.527872624967</v>
      </c>
      <c r="AF21" s="391"/>
      <c r="AG21" s="401">
        <f t="shared" si="12"/>
        <v>39496.14634816684</v>
      </c>
    </row>
    <row r="22" spans="1:34" ht="15">
      <c r="A22" s="392" t="s">
        <v>1127</v>
      </c>
      <c r="B22" s="392"/>
      <c r="C22" s="402"/>
      <c r="D22" s="392"/>
      <c r="E22" s="392">
        <f>SUM(E15:E21)</f>
        <v>390468.88285516808</v>
      </c>
      <c r="F22" s="392"/>
      <c r="G22" s="392">
        <f>SUM(G15:G21)</f>
        <v>404135.29375509894</v>
      </c>
      <c r="H22" s="392"/>
      <c r="I22" s="392">
        <f>SUM(I15:I21)</f>
        <v>418280.02903652744</v>
      </c>
      <c r="J22" s="392"/>
      <c r="K22" s="392">
        <f>SUM(K15:K21)</f>
        <v>432919.83005280583</v>
      </c>
      <c r="L22" s="392"/>
      <c r="M22" s="392">
        <f>SUM(M15:M21)</f>
        <v>448072.02410465392</v>
      </c>
      <c r="N22" s="392"/>
      <c r="O22" s="392">
        <f>SUM(O15:O21)</f>
        <v>463754.54494831688</v>
      </c>
      <c r="P22" s="392"/>
      <c r="Q22" s="392">
        <f>SUM(Q15:Q21)</f>
        <v>479985.95402150787</v>
      </c>
      <c r="R22" s="392"/>
      <c r="S22" s="392">
        <f>SUM(S15:S21)</f>
        <v>496785.46241226065</v>
      </c>
      <c r="T22" s="392"/>
      <c r="U22" s="392">
        <f>SUM(U15:U21)</f>
        <v>514172.95359668968</v>
      </c>
      <c r="V22" s="392"/>
      <c r="W22" s="392">
        <f>SUM(W15:W21)</f>
        <v>532169.00697257381</v>
      </c>
      <c r="X22" s="392"/>
      <c r="Y22" s="392">
        <f>SUM(Y15:Y21)</f>
        <v>550794.92221661378</v>
      </c>
      <c r="Z22" s="392"/>
      <c r="AA22" s="392">
        <f>SUM(AA15:AA21)</f>
        <v>570072.74449419521</v>
      </c>
      <c r="AB22" s="392"/>
      <c r="AC22" s="392">
        <f>SUM(AC15:AC21)</f>
        <v>590025.29055149201</v>
      </c>
      <c r="AD22" s="392"/>
      <c r="AE22" s="392">
        <f>SUM(AE15:AE21)</f>
        <v>610676.17572079424</v>
      </c>
      <c r="AF22" s="392"/>
      <c r="AG22" s="392">
        <f>SUM(AG15:AG21)</f>
        <v>632049.84187102201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20000</v>
      </c>
      <c r="F27" s="391"/>
      <c r="G27" s="391">
        <f>E27*$C$27</f>
        <v>20700</v>
      </c>
      <c r="H27" s="391"/>
      <c r="I27" s="391">
        <f>G27*$C$27</f>
        <v>21424.5</v>
      </c>
      <c r="J27" s="391"/>
      <c r="K27" s="391">
        <f>I27*$C$27</f>
        <v>22174.357499999998</v>
      </c>
      <c r="L27" s="391"/>
      <c r="M27" s="391">
        <f>K27*$C$27</f>
        <v>22950.460012499996</v>
      </c>
      <c r="N27" s="391"/>
      <c r="O27" s="391">
        <f>M27*$C$27</f>
        <v>23753.726112937493</v>
      </c>
      <c r="P27" s="391"/>
      <c r="Q27" s="391">
        <f>O27*$C$27</f>
        <v>24585.106526890304</v>
      </c>
      <c r="R27" s="391"/>
      <c r="S27" s="391">
        <f>Q27*$C$27</f>
        <v>25445.585255331462</v>
      </c>
      <c r="T27" s="391"/>
      <c r="U27" s="391">
        <f>S27*$C$27</f>
        <v>26336.18073926806</v>
      </c>
      <c r="V27" s="391"/>
      <c r="W27" s="391">
        <f>U27*$C$27</f>
        <v>27257.947065142442</v>
      </c>
      <c r="X27" s="391"/>
      <c r="Y27" s="391">
        <f>W27*$C$27</f>
        <v>28211.975212422425</v>
      </c>
      <c r="Z27" s="391"/>
      <c r="AA27" s="391">
        <f>Y27*$C$27</f>
        <v>29199.394344857206</v>
      </c>
      <c r="AB27" s="391"/>
      <c r="AC27" s="391">
        <f>AA27*$C$27</f>
        <v>30221.373146927206</v>
      </c>
      <c r="AD27" s="391"/>
      <c r="AE27" s="391">
        <f>AC27*$C$27</f>
        <v>31279.121207069657</v>
      </c>
      <c r="AF27" s="391"/>
      <c r="AG27" s="391">
        <f>AE27*$C$27</f>
        <v>32373.890449317092</v>
      </c>
    </row>
    <row r="28" spans="1:34" ht="14.25">
      <c r="A28" s="614" t="s">
        <v>1129</v>
      </c>
      <c r="B28" s="380"/>
      <c r="C28" s="411"/>
      <c r="D28" s="380"/>
      <c r="E28" s="391">
        <f>Application!AC853</f>
        <v>15250</v>
      </c>
      <c r="F28" s="391"/>
      <c r="G28" s="391">
        <f>$E$28</f>
        <v>15250</v>
      </c>
      <c r="H28" s="391"/>
      <c r="I28" s="391">
        <f>$E$28</f>
        <v>15250</v>
      </c>
      <c r="J28" s="391"/>
      <c r="K28" s="391">
        <f>$E$28</f>
        <v>15250</v>
      </c>
      <c r="L28" s="391"/>
      <c r="M28" s="391">
        <f>$E$28</f>
        <v>15250</v>
      </c>
      <c r="N28" s="391"/>
      <c r="O28" s="391">
        <f>$E$28</f>
        <v>15250</v>
      </c>
      <c r="P28" s="391"/>
      <c r="Q28" s="391">
        <f>$E$28</f>
        <v>15250</v>
      </c>
      <c r="R28" s="391"/>
      <c r="S28" s="391">
        <f>$E$28</f>
        <v>15250</v>
      </c>
      <c r="T28" s="391"/>
      <c r="U28" s="391">
        <f>$E$28</f>
        <v>15250</v>
      </c>
      <c r="V28" s="391"/>
      <c r="W28" s="391">
        <f>$E$28</f>
        <v>15250</v>
      </c>
      <c r="X28" s="391"/>
      <c r="Y28" s="391">
        <f>$E$28</f>
        <v>15250</v>
      </c>
      <c r="Z28" s="391"/>
      <c r="AA28" s="391">
        <f>$E$28</f>
        <v>15250</v>
      </c>
      <c r="AB28" s="391"/>
      <c r="AC28" s="391">
        <f>$E$28</f>
        <v>15250</v>
      </c>
      <c r="AD28" s="391"/>
      <c r="AE28" s="391">
        <f>$E$28</f>
        <v>15250</v>
      </c>
      <c r="AF28" s="391"/>
      <c r="AG28" s="391">
        <f>$E$28</f>
        <v>15250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1000</v>
      </c>
      <c r="F30" s="391"/>
      <c r="G30" s="391">
        <f>E30*$C$30</f>
        <v>1020</v>
      </c>
      <c r="H30" s="391"/>
      <c r="I30" s="391">
        <f>G30*$C$30</f>
        <v>1040.4000000000001</v>
      </c>
      <c r="J30" s="391"/>
      <c r="K30" s="391">
        <f>I30*$C$30</f>
        <v>1061.2080000000001</v>
      </c>
      <c r="L30" s="391"/>
      <c r="M30" s="391">
        <f>K30*$C$30</f>
        <v>1082.4321600000001</v>
      </c>
      <c r="N30" s="391"/>
      <c r="O30" s="391">
        <f>M30*$C$30</f>
        <v>1104.0808032</v>
      </c>
      <c r="P30" s="391"/>
      <c r="Q30" s="391">
        <f>O30*$C$30</f>
        <v>1126.1624192639999</v>
      </c>
      <c r="R30" s="391"/>
      <c r="S30" s="391">
        <f>Q30*$C$30</f>
        <v>1148.68566764928</v>
      </c>
      <c r="T30" s="391"/>
      <c r="U30" s="391">
        <f>S30*$C$30</f>
        <v>1171.6593810022657</v>
      </c>
      <c r="V30" s="391"/>
      <c r="W30" s="391">
        <f>U30*$C$30</f>
        <v>1195.0925686223111</v>
      </c>
      <c r="X30" s="391"/>
      <c r="Y30" s="391">
        <f>W30*$C$30</f>
        <v>1218.9944199947574</v>
      </c>
      <c r="Z30" s="391"/>
      <c r="AA30" s="391">
        <f>Y30*$C$30</f>
        <v>1243.3743083946526</v>
      </c>
      <c r="AB30" s="391"/>
      <c r="AC30" s="391">
        <f>AA30*$C$30</f>
        <v>1268.2417945625457</v>
      </c>
      <c r="AD30" s="391"/>
      <c r="AE30" s="391">
        <f>AC30*$C$30</f>
        <v>1293.6066304537967</v>
      </c>
      <c r="AF30" s="391"/>
      <c r="AG30" s="391">
        <f>AE30*$C$30</f>
        <v>1319.4787630628728</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426718.88285516808</v>
      </c>
      <c r="F35" s="392"/>
      <c r="G35" s="392">
        <f>SUM(G22:G33)</f>
        <v>441105.29375509894</v>
      </c>
      <c r="H35" s="392"/>
      <c r="I35" s="392">
        <f>SUM(I22:I33)</f>
        <v>455994.92903652746</v>
      </c>
      <c r="J35" s="392"/>
      <c r="K35" s="392">
        <f>SUM(K22:K33)</f>
        <v>471405.3955528058</v>
      </c>
      <c r="L35" s="392"/>
      <c r="M35" s="392">
        <f>SUM(M22:M33)</f>
        <v>487354.91627715394</v>
      </c>
      <c r="N35" s="392"/>
      <c r="O35" s="392">
        <f>SUM(O22:O33)</f>
        <v>503862.35186445439</v>
      </c>
      <c r="P35" s="392"/>
      <c r="Q35" s="392">
        <f>SUM(Q22:Q33)</f>
        <v>520947.22296766215</v>
      </c>
      <c r="R35" s="392"/>
      <c r="S35" s="392">
        <f>SUM(S22:S33)</f>
        <v>538629.73333524133</v>
      </c>
      <c r="T35" s="392"/>
      <c r="U35" s="392">
        <f>SUM(U22:U33)</f>
        <v>556930.79371696</v>
      </c>
      <c r="V35" s="392"/>
      <c r="W35" s="392">
        <f>SUM(W22:W33)</f>
        <v>575872.04660633858</v>
      </c>
      <c r="X35" s="392"/>
      <c r="Y35" s="392">
        <f>SUM(Y22:Y33)</f>
        <v>595475.89184903097</v>
      </c>
      <c r="Z35" s="392"/>
      <c r="AA35" s="392">
        <f>SUM(AA22:AA33)</f>
        <v>615765.51314744703</v>
      </c>
      <c r="AB35" s="392"/>
      <c r="AC35" s="392">
        <f>SUM(AC22:AC33)</f>
        <v>636764.90549298178</v>
      </c>
      <c r="AD35" s="392"/>
      <c r="AE35" s="392">
        <f>SUM(AE22:AE33)</f>
        <v>658498.90355831769</v>
      </c>
      <c r="AF35" s="392"/>
      <c r="AG35" s="392">
        <f>SUM(AG22:AG33)</f>
        <v>680993.21108340193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466619.31714483188</v>
      </c>
      <c r="F37" s="392"/>
      <c r="G37" s="392">
        <f>G11-G35</f>
        <v>474566.36124490097</v>
      </c>
      <c r="H37" s="392"/>
      <c r="I37" s="392">
        <f>I11-I35</f>
        <v>482568.51733847248</v>
      </c>
      <c r="J37" s="392"/>
      <c r="K37" s="392">
        <f>K11-K35</f>
        <v>490622.13698156894</v>
      </c>
      <c r="L37" s="392"/>
      <c r="M37" s="392">
        <f>M11-M35</f>
        <v>498723.30457057996</v>
      </c>
      <c r="N37" s="392"/>
      <c r="O37" s="392">
        <f>O11-O35</f>
        <v>506867.82450447284</v>
      </c>
      <c r="P37" s="392"/>
      <c r="Q37" s="392">
        <f>Q11-Q35</f>
        <v>515051.20781048806</v>
      </c>
      <c r="R37" s="392"/>
      <c r="S37" s="392">
        <f>S11-S35</f>
        <v>523268.65821236244</v>
      </c>
      <c r="T37" s="392"/>
      <c r="U37" s="392">
        <f>U11-U35</f>
        <v>531515.05761933385</v>
      </c>
      <c r="V37" s="392"/>
      <c r="W37" s="392">
        <f>W11-W35</f>
        <v>539784.95101336273</v>
      </c>
      <c r="X37" s="392"/>
      <c r="Y37" s="392">
        <f>Y11-Y35</f>
        <v>548072.53071116284</v>
      </c>
      <c r="Z37" s="392"/>
      <c r="AA37" s="392">
        <f>AA11-AA35</f>
        <v>556371.61997675151</v>
      </c>
      <c r="AB37" s="392"/>
      <c r="AC37" s="392">
        <f>AC11-AC35</f>
        <v>564675.6559593213</v>
      </c>
      <c r="AD37" s="392"/>
      <c r="AE37" s="392">
        <f>AE11-AE35</f>
        <v>572977.67193029297</v>
      </c>
      <c r="AF37" s="392"/>
      <c r="AG37" s="392">
        <f>AG11-AG35</f>
        <v>581270.27879242389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 xml:space="preserve">Citibank/Permanent Loan </v>
      </c>
      <c r="B40" s="395"/>
      <c r="C40" s="389"/>
      <c r="D40" s="380"/>
      <c r="E40" s="388">
        <f>Application!AF618</f>
        <v>405755.927952028</v>
      </c>
      <c r="F40" s="388"/>
      <c r="G40" s="388">
        <f>$E$40</f>
        <v>405755.927952028</v>
      </c>
      <c r="H40" s="388"/>
      <c r="I40" s="388">
        <f>$E$40</f>
        <v>405755.927952028</v>
      </c>
      <c r="J40" s="388"/>
      <c r="K40" s="388">
        <f>$E$40</f>
        <v>405755.927952028</v>
      </c>
      <c r="L40" s="388"/>
      <c r="M40" s="388">
        <f>$E$40</f>
        <v>405755.927952028</v>
      </c>
      <c r="N40" s="388"/>
      <c r="O40" s="388">
        <f>$E$40</f>
        <v>405755.927952028</v>
      </c>
      <c r="P40" s="388"/>
      <c r="Q40" s="388">
        <f>$E$40</f>
        <v>405755.927952028</v>
      </c>
      <c r="R40" s="388"/>
      <c r="S40" s="388">
        <f>$E$40</f>
        <v>405755.927952028</v>
      </c>
      <c r="T40" s="388"/>
      <c r="U40" s="388">
        <f>$E$40</f>
        <v>405755.927952028</v>
      </c>
      <c r="V40" s="388"/>
      <c r="W40" s="388">
        <f>$E$40</f>
        <v>405755.927952028</v>
      </c>
      <c r="X40" s="388"/>
      <c r="Y40" s="388">
        <f>$E$40</f>
        <v>405755.927952028</v>
      </c>
      <c r="Z40" s="388"/>
      <c r="AA40" s="388">
        <f>$E$40</f>
        <v>405755.927952028</v>
      </c>
      <c r="AB40" s="388"/>
      <c r="AC40" s="388">
        <f>$E$40</f>
        <v>405755.927952028</v>
      </c>
      <c r="AD40" s="388"/>
      <c r="AE40" s="388">
        <f>$E$40</f>
        <v>405755.927952028</v>
      </c>
      <c r="AF40" s="388"/>
      <c r="AG40" s="388">
        <f>$E$40</f>
        <v>405755.927952028</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405755.927952028</v>
      </c>
      <c r="F43" s="392"/>
      <c r="G43" s="392">
        <f>SUM(G40:G42)</f>
        <v>405755.927952028</v>
      </c>
      <c r="H43" s="392"/>
      <c r="I43" s="392">
        <f>SUM(I40:I42)</f>
        <v>405755.927952028</v>
      </c>
      <c r="J43" s="392"/>
      <c r="K43" s="392">
        <f>SUM(K40:K42)</f>
        <v>405755.927952028</v>
      </c>
      <c r="L43" s="392"/>
      <c r="M43" s="392">
        <f>SUM(M40:M42)</f>
        <v>405755.927952028</v>
      </c>
      <c r="N43" s="392"/>
      <c r="O43" s="392">
        <f>SUM(O40:O42)</f>
        <v>405755.927952028</v>
      </c>
      <c r="P43" s="392"/>
      <c r="Q43" s="392">
        <f>SUM(Q40:Q42)</f>
        <v>405755.927952028</v>
      </c>
      <c r="R43" s="392"/>
      <c r="S43" s="392">
        <f>SUM(S40:S42)</f>
        <v>405755.927952028</v>
      </c>
      <c r="T43" s="392"/>
      <c r="U43" s="392">
        <f>SUM(U40:U42)</f>
        <v>405755.927952028</v>
      </c>
      <c r="V43" s="392"/>
      <c r="W43" s="392">
        <f>SUM(W40:W42)</f>
        <v>405755.927952028</v>
      </c>
      <c r="X43" s="392"/>
      <c r="Y43" s="392">
        <f>SUM(Y40:Y42)</f>
        <v>405755.927952028</v>
      </c>
      <c r="Z43" s="392"/>
      <c r="AA43" s="392">
        <f>SUM(AA40:AA42)</f>
        <v>405755.927952028</v>
      </c>
      <c r="AB43" s="392"/>
      <c r="AC43" s="392">
        <f>SUM(AC40:AC42)</f>
        <v>405755.927952028</v>
      </c>
      <c r="AD43" s="392"/>
      <c r="AE43" s="392">
        <f>SUM(AE40:AE42)</f>
        <v>405755.927952028</v>
      </c>
      <c r="AF43" s="392"/>
      <c r="AG43" s="392">
        <f>SUM(AG40:AG42)</f>
        <v>405755.927952028</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60863.389192803879</v>
      </c>
      <c r="F45" s="392"/>
      <c r="G45" s="392">
        <f>G37-G43</f>
        <v>68810.433292872971</v>
      </c>
      <c r="H45" s="392"/>
      <c r="I45" s="392">
        <f>I37-I43</f>
        <v>76812.589386444481</v>
      </c>
      <c r="J45" s="392"/>
      <c r="K45" s="392">
        <f>K37-K43</f>
        <v>84866.209029540943</v>
      </c>
      <c r="L45" s="392"/>
      <c r="M45" s="392">
        <f>M37-M43</f>
        <v>92967.376618551963</v>
      </c>
      <c r="N45" s="392"/>
      <c r="O45" s="392">
        <f>O37-O43</f>
        <v>101111.89655244484</v>
      </c>
      <c r="P45" s="392"/>
      <c r="Q45" s="392">
        <f>Q37-Q43</f>
        <v>109295.27985846007</v>
      </c>
      <c r="R45" s="392"/>
      <c r="S45" s="392">
        <f>S37-S43</f>
        <v>117512.73026033444</v>
      </c>
      <c r="T45" s="392"/>
      <c r="U45" s="392">
        <f>U37-U43</f>
        <v>125759.12966730585</v>
      </c>
      <c r="V45" s="392"/>
      <c r="W45" s="392">
        <f>W37-W43</f>
        <v>134029.02306133474</v>
      </c>
      <c r="X45" s="392"/>
      <c r="Y45" s="392">
        <f>Y37-Y43</f>
        <v>142316.60275913484</v>
      </c>
      <c r="Z45" s="392"/>
      <c r="AA45" s="392">
        <f>AA37-AA43</f>
        <v>150615.69202472351</v>
      </c>
      <c r="AB45" s="392"/>
      <c r="AC45" s="392">
        <f>AC37-AC43</f>
        <v>158919.72800729331</v>
      </c>
      <c r="AD45" s="392"/>
      <c r="AE45" s="392">
        <f>AE37-AE43</f>
        <v>167221.74397826497</v>
      </c>
      <c r="AF45" s="392"/>
      <c r="AG45" s="392">
        <f>AG37-AG43</f>
        <v>175514.3508403959</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6.4723773967310119E-2</v>
      </c>
      <c r="F47" s="396"/>
      <c r="G47" s="396">
        <f>G45/(G4+G6+G8)</f>
        <v>7.1390122508738496E-2</v>
      </c>
      <c r="H47" s="396"/>
      <c r="I47" s="396">
        <f>I45/(I4+I6+I8)</f>
        <v>7.7748563721462632E-2</v>
      </c>
      <c r="J47" s="396"/>
      <c r="K47" s="396">
        <f>K45/(K4+K6+K8)</f>
        <v>8.3805188366771741E-2</v>
      </c>
      <c r="L47" s="396"/>
      <c r="M47" s="396">
        <f>M45/(M4+M6+M8)</f>
        <v>8.9565924812431502E-2</v>
      </c>
      <c r="N47" s="396"/>
      <c r="O47" s="396">
        <f>O45/(O4+O6+O8)</f>
        <v>9.5036542858458237E-2</v>
      </c>
      <c r="P47" s="396"/>
      <c r="Q47" s="396">
        <f>Q45/(Q4+Q6+Q8)</f>
        <v>0.10022265746826353</v>
      </c>
      <c r="R47" s="396"/>
      <c r="S47" s="396">
        <f>S45/(S4+S6+S8)</f>
        <v>0.10512973240746559</v>
      </c>
      <c r="T47" s="396"/>
      <c r="U47" s="396">
        <f>U45/(U4+U6+U8)</f>
        <v>0.10976308379260651</v>
      </c>
      <c r="V47" s="396"/>
      <c r="W47" s="396">
        <f>W45/(W4+W6+W8)</f>
        <v>0.11412788355195769</v>
      </c>
      <c r="X47" s="396"/>
      <c r="Y47" s="396">
        <f>Y45/(Y4+Y6+Y8)</f>
        <v>0.1182291628005472</v>
      </c>
      <c r="Z47" s="396"/>
      <c r="AA47" s="396">
        <f>AA45/(AA4+AA6+AA8)</f>
        <v>0.12207181513148617</v>
      </c>
      <c r="AB47" s="396"/>
      <c r="AC47" s="396">
        <f>AC45/(AC4+AC6+AC8)</f>
        <v>0.12566059982562211</v>
      </c>
      <c r="AD47" s="396"/>
      <c r="AE47" s="396">
        <f>AE45/(AE4+AE6+AE8)</f>
        <v>0.12900014498149984</v>
      </c>
      <c r="AF47" s="396"/>
      <c r="AG47" s="396">
        <f>AG45/(AG4+AG6+AG8)</f>
        <v>0.13209495056755455</v>
      </c>
      <c r="AH47" s="396"/>
      <c r="AI47" s="396"/>
    </row>
    <row r="48" spans="1:35" ht="14.25">
      <c r="A48" s="396" t="s">
        <v>1136</v>
      </c>
      <c r="B48" s="396"/>
      <c r="C48" s="389"/>
      <c r="D48" s="396"/>
      <c r="E48" s="396">
        <f>E45/E43</f>
        <v>0.14999999999999922</v>
      </c>
      <c r="F48" s="396"/>
      <c r="G48" s="396">
        <f>G45/G43</f>
        <v>0.16958577448314777</v>
      </c>
      <c r="H48" s="396"/>
      <c r="I48" s="396">
        <f>I45/I43</f>
        <v>0.18930737444586623</v>
      </c>
      <c r="J48" s="396"/>
      <c r="K48" s="396">
        <f>K45/K43</f>
        <v>0.20915580816745225</v>
      </c>
      <c r="L48" s="396"/>
      <c r="M48" s="396">
        <f>M45/M43</f>
        <v>0.22912142550273074</v>
      </c>
      <c r="N48" s="396"/>
      <c r="O48" s="396">
        <f>O45/O43</f>
        <v>0.24919388624286265</v>
      </c>
      <c r="P48" s="396"/>
      <c r="Q48" s="396">
        <f>Q45/Q43</f>
        <v>0.26936212715389313</v>
      </c>
      <c r="R48" s="396"/>
      <c r="S48" s="396">
        <f>S45/S43</f>
        <v>0.28961432764138895</v>
      </c>
      <c r="T48" s="396"/>
      <c r="U48" s="396">
        <f>U45/U43</f>
        <v>0.30993787398757167</v>
      </c>
      <c r="V48" s="396"/>
      <c r="W48" s="396">
        <f>W45/W43</f>
        <v>0.33031932210533427</v>
      </c>
      <c r="X48" s="396"/>
      <c r="Y48" s="396">
        <f>Y45/Y43</f>
        <v>0.35074435875145304</v>
      </c>
      <c r="Z48" s="396"/>
      <c r="AA48" s="396">
        <f>AA45/AA43</f>
        <v>0.37119776113913144</v>
      </c>
      <c r="AB48" s="396"/>
      <c r="AC48" s="396">
        <f>AC45/AC43</f>
        <v>0.39166335488777426</v>
      </c>
      <c r="AD48" s="396"/>
      <c r="AE48" s="396">
        <f>AE45/AE43</f>
        <v>0.41212397024556935</v>
      </c>
      <c r="AF48" s="396"/>
      <c r="AG48" s="396">
        <f>AG45/AG43</f>
        <v>0.43256139651802383</v>
      </c>
      <c r="AH48" s="396"/>
      <c r="AI48" s="396"/>
    </row>
    <row r="49" spans="1:35" ht="14.25">
      <c r="A49" s="397" t="s">
        <v>1137</v>
      </c>
      <c r="B49" s="397"/>
      <c r="C49" s="398"/>
      <c r="D49" s="397"/>
      <c r="E49" s="397">
        <f>E37/E43</f>
        <v>1.1499999999999992</v>
      </c>
      <c r="F49" s="397"/>
      <c r="G49" s="397">
        <f>G37/G43</f>
        <v>1.1695857744831477</v>
      </c>
      <c r="H49" s="397"/>
      <c r="I49" s="397">
        <f>I37/I43</f>
        <v>1.1893073744458662</v>
      </c>
      <c r="J49" s="397"/>
      <c r="K49" s="397">
        <f>K37/K43</f>
        <v>1.2091558081674523</v>
      </c>
      <c r="L49" s="397"/>
      <c r="M49" s="397">
        <f>M37/M43</f>
        <v>1.2291214255027307</v>
      </c>
      <c r="N49" s="397"/>
      <c r="O49" s="397">
        <f>O37/O43</f>
        <v>1.2491938862428626</v>
      </c>
      <c r="P49" s="397"/>
      <c r="Q49" s="397">
        <f>Q37/Q43</f>
        <v>1.2693621271538931</v>
      </c>
      <c r="R49" s="397"/>
      <c r="S49" s="397">
        <f>S37/S43</f>
        <v>1.2896143276413889</v>
      </c>
      <c r="T49" s="397"/>
      <c r="U49" s="397">
        <f>U37/U43</f>
        <v>1.3099378739875716</v>
      </c>
      <c r="V49" s="397"/>
      <c r="W49" s="397">
        <f>W37/W43</f>
        <v>1.3303193221053342</v>
      </c>
      <c r="X49" s="397"/>
      <c r="Y49" s="397">
        <f>Y37/Y43</f>
        <v>1.3507443587514529</v>
      </c>
      <c r="Z49" s="397"/>
      <c r="AA49" s="397">
        <f>AA37/AA43</f>
        <v>1.3711977611391315</v>
      </c>
      <c r="AB49" s="397"/>
      <c r="AC49" s="397">
        <f>AC37/AC43</f>
        <v>1.3916633548877744</v>
      </c>
      <c r="AD49" s="397"/>
      <c r="AE49" s="397">
        <f>AE37/AE43</f>
        <v>1.4121239702455695</v>
      </c>
      <c r="AF49" s="397"/>
      <c r="AG49" s="397">
        <f>AG37/AG43</f>
        <v>1.4325613965180239</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v>7500</v>
      </c>
      <c r="F53" s="378"/>
      <c r="G53" s="839">
        <f>E53*$C$53</f>
        <v>7725</v>
      </c>
      <c r="H53" s="839"/>
      <c r="I53" s="839">
        <f>G53*$C$53</f>
        <v>7956.75</v>
      </c>
      <c r="J53" s="839"/>
      <c r="K53" s="839">
        <f>I53*$C$53</f>
        <v>8195.4524999999994</v>
      </c>
      <c r="L53" s="839"/>
      <c r="M53" s="839">
        <f>K53*$C$53</f>
        <v>8441.3160749999988</v>
      </c>
      <c r="N53" s="839"/>
      <c r="O53" s="839">
        <f>M53*$C$53</f>
        <v>8694.5555572499998</v>
      </c>
      <c r="P53" s="839"/>
      <c r="Q53" s="839">
        <f>O53*$C$53</f>
        <v>8955.3922239674994</v>
      </c>
      <c r="R53" s="839"/>
      <c r="S53" s="839">
        <f>Q53*$C$53</f>
        <v>9224.0539906865251</v>
      </c>
      <c r="T53" s="839"/>
      <c r="U53" s="839">
        <f>S53*$C$53</f>
        <v>9500.7756104071213</v>
      </c>
      <c r="V53" s="839"/>
      <c r="W53" s="839">
        <f>U53*$C$53</f>
        <v>9785.7988787193353</v>
      </c>
      <c r="X53" s="839"/>
      <c r="Y53" s="839">
        <f>W53*$C$53</f>
        <v>10079.372845080916</v>
      </c>
      <c r="Z53" s="839"/>
      <c r="AA53" s="839">
        <f>Y53*$C$53</f>
        <v>10381.754030433343</v>
      </c>
      <c r="AB53" s="839"/>
      <c r="AC53" s="839">
        <f>AA53*$C$53</f>
        <v>10693.206651346343</v>
      </c>
      <c r="AD53" s="839"/>
      <c r="AE53" s="839">
        <f>AC53*$C$53</f>
        <v>11014.002850886734</v>
      </c>
      <c r="AF53" s="839"/>
      <c r="AG53" s="839">
        <f>AE53*$C$53</f>
        <v>11344.422936413337</v>
      </c>
      <c r="AH53" s="378"/>
      <c r="AI53" s="378"/>
    </row>
    <row r="54" spans="1:35">
      <c r="A54" s="365" t="s">
        <v>1140</v>
      </c>
      <c r="B54" s="365"/>
      <c r="C54" s="413"/>
      <c r="D54" s="365"/>
      <c r="E54" s="406">
        <v>7500</v>
      </c>
      <c r="F54" s="384"/>
      <c r="G54" s="838">
        <f>E54</f>
        <v>7500</v>
      </c>
      <c r="H54" s="838"/>
      <c r="I54" s="838">
        <f>G54</f>
        <v>7500</v>
      </c>
      <c r="J54" s="838"/>
      <c r="K54" s="838">
        <f>I54</f>
        <v>7500</v>
      </c>
      <c r="L54" s="838"/>
      <c r="M54" s="838">
        <f>K54</f>
        <v>7500</v>
      </c>
      <c r="N54" s="838"/>
      <c r="O54" s="838">
        <f>M54</f>
        <v>7500</v>
      </c>
      <c r="P54" s="838"/>
      <c r="Q54" s="838">
        <f>O54</f>
        <v>7500</v>
      </c>
      <c r="R54" s="838"/>
      <c r="S54" s="838">
        <f>Q54</f>
        <v>7500</v>
      </c>
      <c r="T54" s="838"/>
      <c r="U54" s="838">
        <f>S54</f>
        <v>7500</v>
      </c>
      <c r="V54" s="838"/>
      <c r="W54" s="838">
        <f>U54</f>
        <v>7500</v>
      </c>
      <c r="X54" s="838"/>
      <c r="Y54" s="838">
        <f>W54</f>
        <v>7500</v>
      </c>
      <c r="Z54" s="838"/>
      <c r="AA54" s="838">
        <f>Y54</f>
        <v>7500</v>
      </c>
      <c r="AB54" s="838"/>
      <c r="AC54" s="838">
        <f>AA54</f>
        <v>7500</v>
      </c>
      <c r="AD54" s="838"/>
      <c r="AE54" s="838">
        <f>AC54</f>
        <v>7500</v>
      </c>
      <c r="AF54" s="838"/>
      <c r="AG54" s="838">
        <f t="shared" ref="G54:AG57" si="14">AE54*$C$53</f>
        <v>7725</v>
      </c>
      <c r="AH54" s="384"/>
      <c r="AI54" s="384"/>
    </row>
    <row r="55" spans="1:35">
      <c r="A55" s="365" t="s">
        <v>1141</v>
      </c>
      <c r="B55" s="365"/>
      <c r="C55" s="413"/>
      <c r="D55" s="365"/>
      <c r="E55" s="406">
        <v>10000</v>
      </c>
      <c r="F55" s="384"/>
      <c r="G55" s="838">
        <f>E55</f>
        <v>10000</v>
      </c>
      <c r="H55" s="838"/>
      <c r="I55" s="838">
        <f>G55</f>
        <v>10000</v>
      </c>
      <c r="J55" s="838"/>
      <c r="K55" s="838">
        <f>I55</f>
        <v>10000</v>
      </c>
      <c r="L55" s="838"/>
      <c r="M55" s="838">
        <f>K55</f>
        <v>10000</v>
      </c>
      <c r="N55" s="838"/>
      <c r="O55" s="838">
        <f>M55</f>
        <v>10000</v>
      </c>
      <c r="P55" s="838"/>
      <c r="Q55" s="838">
        <f>O55</f>
        <v>10000</v>
      </c>
      <c r="R55" s="838"/>
      <c r="S55" s="838">
        <f>Q55</f>
        <v>10000</v>
      </c>
      <c r="T55" s="838"/>
      <c r="U55" s="838">
        <f>S55</f>
        <v>10000</v>
      </c>
      <c r="V55" s="838"/>
      <c r="W55" s="838">
        <f>U55</f>
        <v>10000</v>
      </c>
      <c r="X55" s="838"/>
      <c r="Y55" s="838">
        <f>W55</f>
        <v>10000</v>
      </c>
      <c r="Z55" s="838"/>
      <c r="AA55" s="838">
        <f>Y55</f>
        <v>10000</v>
      </c>
      <c r="AB55" s="838"/>
      <c r="AC55" s="838">
        <f>AA55</f>
        <v>10000</v>
      </c>
      <c r="AD55" s="838"/>
      <c r="AE55" s="838">
        <f>AC55</f>
        <v>10000</v>
      </c>
      <c r="AF55" s="838"/>
      <c r="AG55" s="838">
        <f>AE55</f>
        <v>10000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25000</v>
      </c>
      <c r="F58" s="384"/>
      <c r="G58" s="384">
        <f>SUM(G53:G57)</f>
        <v>25225</v>
      </c>
      <c r="H58" s="384"/>
      <c r="I58" s="384">
        <f>SUM(I53:I57)</f>
        <v>25456.75</v>
      </c>
      <c r="J58" s="384"/>
      <c r="K58" s="384">
        <f>SUM(K53:K57)</f>
        <v>25695.452499999999</v>
      </c>
      <c r="L58" s="384"/>
      <c r="M58" s="384">
        <f>SUM(M53:M57)</f>
        <v>25941.316074999999</v>
      </c>
      <c r="N58" s="384"/>
      <c r="O58" s="384">
        <f>SUM(O53:O57)</f>
        <v>26194.555557250002</v>
      </c>
      <c r="P58" s="384"/>
      <c r="Q58" s="384">
        <f>SUM(Q53:Q57)</f>
        <v>26455.392223967501</v>
      </c>
      <c r="R58" s="384"/>
      <c r="S58" s="384">
        <f>SUM(S53:S57)</f>
        <v>26724.053990686523</v>
      </c>
      <c r="T58" s="384"/>
      <c r="U58" s="384">
        <f>SUM(U53:U57)</f>
        <v>27000.775610407123</v>
      </c>
      <c r="V58" s="384"/>
      <c r="W58" s="384">
        <f>SUM(W53:W57)</f>
        <v>27285.798878719335</v>
      </c>
      <c r="X58" s="384"/>
      <c r="Y58" s="384">
        <f>SUM(Y53:Y57)</f>
        <v>27579.372845080914</v>
      </c>
      <c r="Z58" s="384"/>
      <c r="AA58" s="384">
        <f>SUM(AA53:AA57)</f>
        <v>27881.754030433345</v>
      </c>
      <c r="AB58" s="384"/>
      <c r="AC58" s="384">
        <f>SUM(AC53:AC57)</f>
        <v>28193.206651346343</v>
      </c>
      <c r="AD58" s="384"/>
      <c r="AE58" s="384">
        <f>SUM(AE53:AE57)</f>
        <v>28514.002850886733</v>
      </c>
      <c r="AF58" s="384"/>
      <c r="AG58" s="384">
        <f>SUM(AG53:AG57)</f>
        <v>29069.422936413335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35863.389192803879</v>
      </c>
      <c r="F60" s="378"/>
      <c r="G60" s="378">
        <f>G45-G58</f>
        <v>43585.433292872971</v>
      </c>
      <c r="H60" s="378"/>
      <c r="I60" s="378">
        <f>I45-I58</f>
        <v>51355.839386444481</v>
      </c>
      <c r="J60" s="378"/>
      <c r="K60" s="378">
        <f>K45-K58</f>
        <v>59170.756529540944</v>
      </c>
      <c r="L60" s="378"/>
      <c r="M60" s="378">
        <f>M45-M58</f>
        <v>67026.060543551968</v>
      </c>
      <c r="N60" s="378"/>
      <c r="O60" s="378">
        <f>O45-O58</f>
        <v>74917.340995194842</v>
      </c>
      <c r="P60" s="378"/>
      <c r="Q60" s="378">
        <f>Q45-Q58</f>
        <v>82839.887634492567</v>
      </c>
      <c r="R60" s="378"/>
      <c r="S60" s="378">
        <f>S45-S58</f>
        <v>90788.676269647927</v>
      </c>
      <c r="T60" s="378"/>
      <c r="U60" s="378">
        <f>U45-U58</f>
        <v>98758.354056898737</v>
      </c>
      <c r="V60" s="378"/>
      <c r="W60" s="378">
        <f>W45-W58</f>
        <v>106743.22418261541</v>
      </c>
      <c r="X60" s="378"/>
      <c r="Y60" s="378">
        <f>Y45-Y58</f>
        <v>114737.22991405393</v>
      </c>
      <c r="Z60" s="378"/>
      <c r="AA60" s="378">
        <f>AA45-AA58</f>
        <v>122733.93799429017</v>
      </c>
      <c r="AB60" s="378"/>
      <c r="AC60" s="378">
        <f>AC45-AC58</f>
        <v>130726.52135594696</v>
      </c>
      <c r="AD60" s="378"/>
      <c r="AE60" s="378">
        <f>AE45-AE58</f>
        <v>138707.74112737825</v>
      </c>
      <c r="AF60" s="378"/>
      <c r="AG60" s="378">
        <f>AG45-AG58</f>
        <v>146444.92790398258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f>E60</f>
        <v>35863.389192803879</v>
      </c>
      <c r="F62" s="378"/>
      <c r="G62" s="841">
        <f>G60</f>
        <v>43585.433292872971</v>
      </c>
      <c r="H62" s="378"/>
      <c r="I62" s="841">
        <f>I60</f>
        <v>51355.839386444481</v>
      </c>
      <c r="J62" s="378"/>
      <c r="K62" s="841">
        <f>K60</f>
        <v>59170.756529540944</v>
      </c>
      <c r="L62" s="378"/>
      <c r="M62" s="841">
        <f>M60</f>
        <v>67026.060543551968</v>
      </c>
      <c r="N62" s="378"/>
      <c r="O62" s="841">
        <f>O60</f>
        <v>74917.340995194842</v>
      </c>
      <c r="P62" s="378"/>
      <c r="Q62" s="841">
        <f>Q60</f>
        <v>82839.887634492567</v>
      </c>
      <c r="R62" s="378"/>
      <c r="S62" s="841">
        <f>S60</f>
        <v>90788.676269647927</v>
      </c>
      <c r="T62" s="378"/>
      <c r="U62" s="841">
        <f>U60</f>
        <v>98758.354056898737</v>
      </c>
      <c r="V62" s="378"/>
      <c r="W62" s="841">
        <f>Application!AO619-SUM(E62:U62)</f>
        <v>65948.179947823752</v>
      </c>
      <c r="X62" s="378"/>
      <c r="Y62" s="841">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40795.044234791654</v>
      </c>
      <c r="X72" s="384"/>
      <c r="Y72" s="378">
        <f>Y60-Y62-Y70</f>
        <v>114737.22991405393</v>
      </c>
      <c r="Z72" s="384"/>
      <c r="AA72" s="378">
        <f>AA60-AA62-AA70</f>
        <v>122733.93799429017</v>
      </c>
      <c r="AB72" s="384"/>
      <c r="AC72" s="378">
        <f>AC60-AC62-AC70</f>
        <v>130726.52135594696</v>
      </c>
      <c r="AD72" s="384"/>
      <c r="AE72" s="378">
        <f>AE60-AE62-AE70</f>
        <v>138707.74112737825</v>
      </c>
      <c r="AF72" s="384"/>
      <c r="AG72" s="378">
        <f>AG60-AG62-AG70</f>
        <v>146444.92790398258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0" t="s">
        <v>1146</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A34" sqref="A3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1" t="s">
        <v>1218</v>
      </c>
      <c r="B1" s="1961"/>
      <c r="C1" s="1961"/>
      <c r="D1" s="1961"/>
      <c r="E1" s="1961"/>
      <c r="F1" s="1961"/>
      <c r="G1" s="1961"/>
      <c r="H1" s="1961"/>
      <c r="I1" s="1961"/>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2 Bedrooms</v>
      </c>
      <c r="B4" s="964">
        <f>Application!$G692</f>
        <v>4</v>
      </c>
      <c r="C4" s="617">
        <f>Application!$O692</f>
        <v>691</v>
      </c>
      <c r="D4" s="618"/>
      <c r="E4" s="962"/>
      <c r="F4" s="617">
        <f>$E4*$B4</f>
        <v>0</v>
      </c>
      <c r="G4" s="618"/>
      <c r="H4" s="617">
        <f>IF($E4=0,0,MAX($E4-$C4,0))</f>
        <v>0</v>
      </c>
      <c r="I4" s="617">
        <f>IF($H4=0,0,($H4*$B4))</f>
        <v>0</v>
      </c>
    </row>
    <row r="5" spans="1:9">
      <c r="A5" s="617" t="str">
        <f>Application!$B693</f>
        <v>2 Bedrooms</v>
      </c>
      <c r="B5" s="963">
        <f>Application!$G693</f>
        <v>6</v>
      </c>
      <c r="C5" s="617">
        <f>Application!$O693</f>
        <v>959</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16</v>
      </c>
      <c r="C6" s="617">
        <f>Application!$O694</f>
        <v>1227</v>
      </c>
      <c r="D6" s="618"/>
      <c r="E6" s="962"/>
      <c r="F6" s="617">
        <f t="shared" si="0"/>
        <v>0</v>
      </c>
      <c r="G6" s="618"/>
      <c r="H6" s="617">
        <f t="shared" si="1"/>
        <v>0</v>
      </c>
      <c r="I6" s="617">
        <f t="shared" si="2"/>
        <v>0</v>
      </c>
    </row>
    <row r="7" spans="1:9">
      <c r="A7" s="617" t="str">
        <f>Application!$B695</f>
        <v>2 Bedrooms</v>
      </c>
      <c r="B7" s="963">
        <f>Application!$G695</f>
        <v>14</v>
      </c>
      <c r="C7" s="617">
        <f>Application!$O695</f>
        <v>1495</v>
      </c>
      <c r="D7" s="618"/>
      <c r="E7" s="962"/>
      <c r="F7" s="617">
        <f t="shared" si="0"/>
        <v>0</v>
      </c>
      <c r="G7" s="618"/>
      <c r="H7" s="617">
        <f t="shared" si="1"/>
        <v>0</v>
      </c>
      <c r="I7" s="617">
        <f t="shared" si="2"/>
        <v>0</v>
      </c>
    </row>
    <row r="8" spans="1:9">
      <c r="A8" s="617" t="str">
        <f>Application!$B696</f>
        <v>3 Bedrooms</v>
      </c>
      <c r="B8" s="963">
        <f>Application!$G696</f>
        <v>2</v>
      </c>
      <c r="C8" s="617">
        <f>Application!$O696</f>
        <v>790</v>
      </c>
      <c r="D8" s="618"/>
      <c r="E8" s="962"/>
      <c r="F8" s="617">
        <f t="shared" si="0"/>
        <v>0</v>
      </c>
      <c r="G8" s="618"/>
      <c r="H8" s="617">
        <f t="shared" si="1"/>
        <v>0</v>
      </c>
      <c r="I8" s="617">
        <f t="shared" si="2"/>
        <v>0</v>
      </c>
    </row>
    <row r="9" spans="1:9">
      <c r="A9" s="617" t="str">
        <f>Application!$B697</f>
        <v>3 Bedrooms</v>
      </c>
      <c r="B9" s="963">
        <f>Application!$G697</f>
        <v>3</v>
      </c>
      <c r="C9" s="617">
        <f>Application!$O697</f>
        <v>1100</v>
      </c>
      <c r="D9" s="618"/>
      <c r="E9" s="962"/>
      <c r="F9" s="617">
        <f t="shared" si="0"/>
        <v>0</v>
      </c>
      <c r="G9" s="618"/>
      <c r="H9" s="617">
        <f t="shared" si="1"/>
        <v>0</v>
      </c>
      <c r="I9" s="617">
        <f t="shared" si="2"/>
        <v>0</v>
      </c>
    </row>
    <row r="10" spans="1:9">
      <c r="A10" s="617" t="str">
        <f>Application!$B698</f>
        <v>3 Bedrooms</v>
      </c>
      <c r="B10" s="963">
        <f>Application!$G698</f>
        <v>8</v>
      </c>
      <c r="C10" s="617">
        <f>Application!$O698</f>
        <v>1409</v>
      </c>
      <c r="D10" s="618"/>
      <c r="E10" s="962"/>
      <c r="F10" s="617">
        <f t="shared" si="0"/>
        <v>0</v>
      </c>
      <c r="G10" s="618"/>
      <c r="H10" s="617">
        <f t="shared" si="1"/>
        <v>0</v>
      </c>
      <c r="I10" s="617">
        <f t="shared" si="2"/>
        <v>0</v>
      </c>
    </row>
    <row r="11" spans="1:9">
      <c r="A11" s="617" t="str">
        <f>Application!$B699</f>
        <v>3 Bedrooms</v>
      </c>
      <c r="B11" s="963">
        <f>Application!$G699</f>
        <v>7</v>
      </c>
      <c r="C11" s="617">
        <f>Application!$O699</f>
        <v>1719</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927180</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7"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9" t="s">
        <v>1147</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2.9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3" t="s">
        <v>1680</v>
      </c>
      <c r="U7" s="1613"/>
      <c r="V7" s="1613"/>
      <c r="W7" s="1613"/>
      <c r="X7" s="1613"/>
      <c r="Y7" s="1613" t="s">
        <v>1825</v>
      </c>
      <c r="Z7" s="1613"/>
      <c r="AA7" s="1613"/>
      <c r="AB7" s="1613"/>
      <c r="AC7" s="1613"/>
      <c r="AD7" s="1613" t="s">
        <v>1423</v>
      </c>
      <c r="AE7" s="1613"/>
      <c r="AF7" s="1613"/>
      <c r="AG7" s="1613"/>
      <c r="AH7" s="1613"/>
      <c r="AI7" s="1613" t="s">
        <v>1826</v>
      </c>
      <c r="AJ7" s="1613"/>
      <c r="AK7" s="1613"/>
      <c r="AL7" s="1613"/>
      <c r="AM7" s="1613"/>
    </row>
    <row r="8" spans="1:40" ht="12.95"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2.95"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12.9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5" customHeight="1">
      <c r="B11" s="1139" t="s">
        <v>539</v>
      </c>
      <c r="C11" s="1140"/>
      <c r="D11" s="1140"/>
      <c r="E11" s="1140"/>
      <c r="F11" s="1140"/>
      <c r="G11" s="1140"/>
      <c r="H11" s="1140"/>
      <c r="I11" s="1140"/>
      <c r="J11" s="1140"/>
      <c r="K11" s="1140"/>
      <c r="L11" s="1140"/>
      <c r="M11" s="1140"/>
      <c r="N11" s="1140"/>
      <c r="O11" s="1140"/>
      <c r="P11" s="1140"/>
      <c r="Q11" s="1140"/>
      <c r="R11" s="1140"/>
      <c r="S11" s="1141"/>
      <c r="T11" s="1623">
        <f>IF('Sources and Basis Breakdown'!F105=0,'Sources and Basis Breakdown'!E105,'Sources and Basis Breakdown'!F105)</f>
        <v>31570687.64919921</v>
      </c>
      <c r="U11" s="1614"/>
      <c r="V11" s="1614"/>
      <c r="W11" s="1614"/>
      <c r="X11" s="1614"/>
      <c r="Y11" s="1630">
        <f>IF('Sources and Basis Breakdown'!G105+'Sources and Basis Breakdown'!F105='Sources and Basis Breakdown'!E105,'Sources and Basis Breakdown'!G105,0)</f>
        <v>31570687.64919921</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17" t="s">
        <v>476</v>
      </c>
      <c r="C12" s="1033"/>
      <c r="D12" s="1033"/>
      <c r="E12" s="1033"/>
      <c r="F12" s="1033"/>
      <c r="G12" s="1033"/>
      <c r="H12" s="1033"/>
      <c r="I12" s="1033"/>
      <c r="J12" s="1033"/>
      <c r="K12" s="1033"/>
      <c r="L12" s="1033"/>
      <c r="M12" s="1033"/>
      <c r="N12" s="1033"/>
      <c r="O12" s="1033"/>
      <c r="P12" s="1033"/>
      <c r="Q12" s="1033"/>
      <c r="R12" s="1033"/>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5" customHeight="1">
      <c r="B13" s="8"/>
      <c r="C13" s="1619" t="s">
        <v>1789</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20" t="s">
        <v>805</v>
      </c>
      <c r="D14" s="1620"/>
      <c r="E14" s="1620"/>
      <c r="F14" s="1620"/>
      <c r="G14" s="1620"/>
      <c r="H14" s="1620"/>
      <c r="I14" s="1620"/>
      <c r="J14" s="1620"/>
      <c r="K14" s="1620"/>
      <c r="L14" s="1620"/>
      <c r="M14" s="1620"/>
      <c r="N14" s="1620"/>
      <c r="O14" s="1620"/>
      <c r="P14" s="1620"/>
      <c r="Q14" s="1620"/>
      <c r="R14" s="1620"/>
      <c r="S14" s="1621"/>
      <c r="T14" s="1121">
        <f>'Basis &amp; Credits'!T14</f>
        <v>0</v>
      </c>
      <c r="U14" s="1142"/>
      <c r="V14" s="1142"/>
      <c r="W14" s="1142"/>
      <c r="X14" s="1142"/>
      <c r="Y14" s="1121">
        <f>'Basis &amp; Credits'!Y14</f>
        <v>0</v>
      </c>
      <c r="Z14" s="1142"/>
      <c r="AA14" s="1142"/>
      <c r="AB14" s="1142"/>
      <c r="AC14" s="1142"/>
      <c r="AD14" s="1142">
        <f>'Basis &amp; Credits'!AD14</f>
        <v>0</v>
      </c>
      <c r="AE14" s="1142"/>
      <c r="AF14" s="1142"/>
      <c r="AG14" s="1142"/>
      <c r="AH14" s="1142"/>
      <c r="AI14" s="1142">
        <f>'Basis &amp; Credits'!AI14</f>
        <v>0</v>
      </c>
      <c r="AJ14" s="1142"/>
      <c r="AK14" s="1142"/>
      <c r="AL14" s="1142"/>
      <c r="AM14" s="1142"/>
    </row>
    <row r="15" spans="1:40" ht="12.95" customHeight="1">
      <c r="B15" s="8"/>
      <c r="C15" s="1620" t="s">
        <v>806</v>
      </c>
      <c r="D15" s="1620"/>
      <c r="E15" s="1620"/>
      <c r="F15" s="1620"/>
      <c r="G15" s="1620"/>
      <c r="H15" s="1620"/>
      <c r="I15" s="1620"/>
      <c r="J15" s="1620"/>
      <c r="K15" s="1620"/>
      <c r="L15" s="1620"/>
      <c r="M15" s="1620"/>
      <c r="N15" s="1620"/>
      <c r="O15" s="1620"/>
      <c r="P15" s="1620"/>
      <c r="Q15" s="1620"/>
      <c r="R15" s="1620"/>
      <c r="S15" s="1621"/>
      <c r="T15" s="1121">
        <f>'Basis &amp; Credits'!T15</f>
        <v>0</v>
      </c>
      <c r="U15" s="1142"/>
      <c r="V15" s="1142"/>
      <c r="W15" s="1142"/>
      <c r="X15" s="1142"/>
      <c r="Y15" s="1121">
        <f>'Basis &amp; Credits'!Y15</f>
        <v>0</v>
      </c>
      <c r="Z15" s="1142"/>
      <c r="AA15" s="1142"/>
      <c r="AB15" s="1142"/>
      <c r="AC15" s="1142"/>
      <c r="AD15" s="1142">
        <f>'Basis &amp; Credits'!AD15</f>
        <v>0</v>
      </c>
      <c r="AE15" s="1142"/>
      <c r="AF15" s="1142"/>
      <c r="AG15" s="1142"/>
      <c r="AH15" s="1142"/>
      <c r="AI15" s="1142">
        <f>'Basis &amp; Credits'!AI15</f>
        <v>0</v>
      </c>
      <c r="AJ15" s="1142"/>
      <c r="AK15" s="1142"/>
      <c r="AL15" s="1142"/>
      <c r="AM15" s="1142"/>
    </row>
    <row r="16" spans="1:40" ht="12.95" customHeight="1">
      <c r="B16" s="8"/>
      <c r="C16" s="1619" t="s">
        <v>1057</v>
      </c>
      <c r="D16" s="1619"/>
      <c r="E16" s="1619"/>
      <c r="F16" s="1619"/>
      <c r="G16" s="1619"/>
      <c r="H16" s="1619"/>
      <c r="I16" s="1619"/>
      <c r="J16" s="1619"/>
      <c r="K16" s="1619"/>
      <c r="L16" s="1619"/>
      <c r="M16" s="1619"/>
      <c r="N16" s="1619"/>
      <c r="O16" s="1619"/>
      <c r="P16" s="1619"/>
      <c r="Q16" s="1619"/>
      <c r="R16" s="1619"/>
      <c r="S16" s="1622"/>
      <c r="T16" s="1121">
        <f>'Basis &amp; Credits'!T16</f>
        <v>0</v>
      </c>
      <c r="U16" s="1142"/>
      <c r="V16" s="1142"/>
      <c r="W16" s="1142"/>
      <c r="X16" s="1142"/>
      <c r="Y16" s="1121">
        <f>'Basis &amp; Credits'!Y16</f>
        <v>0</v>
      </c>
      <c r="Z16" s="1142"/>
      <c r="AA16" s="1142"/>
      <c r="AB16" s="1142"/>
      <c r="AC16" s="1142"/>
      <c r="AD16" s="1142">
        <f>'Basis &amp; Credits'!AD16</f>
        <v>0</v>
      </c>
      <c r="AE16" s="1142"/>
      <c r="AF16" s="1142"/>
      <c r="AG16" s="1142"/>
      <c r="AH16" s="1142"/>
      <c r="AI16" s="1142">
        <f>'Basis &amp; Credits'!AI16</f>
        <v>0</v>
      </c>
      <c r="AJ16" s="1142"/>
      <c r="AK16" s="1142"/>
      <c r="AL16" s="1142"/>
      <c r="AM16" s="1142"/>
    </row>
    <row r="17" spans="1:39" ht="12.95" customHeight="1">
      <c r="B17" s="8"/>
      <c r="C17" s="1620" t="s">
        <v>807</v>
      </c>
      <c r="D17" s="1620"/>
      <c r="E17" s="1620"/>
      <c r="F17" s="1620"/>
      <c r="G17" s="1620"/>
      <c r="H17" s="1620"/>
      <c r="I17" s="1620"/>
      <c r="J17" s="1620"/>
      <c r="K17" s="1620"/>
      <c r="L17" s="1620"/>
      <c r="M17" s="1620"/>
      <c r="N17" s="1620"/>
      <c r="O17" s="1620"/>
      <c r="P17" s="1620"/>
      <c r="Q17" s="1620"/>
      <c r="R17" s="1620"/>
      <c r="S17" s="1621"/>
      <c r="T17" s="1121">
        <f>'Basis &amp; Credits'!T17</f>
        <v>0</v>
      </c>
      <c r="U17" s="1142"/>
      <c r="V17" s="1142"/>
      <c r="W17" s="1142"/>
      <c r="X17" s="1142"/>
      <c r="Y17" s="1121">
        <f>'Basis &amp; Credits'!Y17</f>
        <v>0</v>
      </c>
      <c r="Z17" s="1142"/>
      <c r="AA17" s="1142"/>
      <c r="AB17" s="1142"/>
      <c r="AC17" s="1142"/>
      <c r="AD17" s="1142">
        <f>'Basis &amp; Credits'!AD17</f>
        <v>0</v>
      </c>
      <c r="AE17" s="1142"/>
      <c r="AF17" s="1142"/>
      <c r="AG17" s="1142"/>
      <c r="AH17" s="1142"/>
      <c r="AI17" s="1142">
        <f>'Basis &amp; Credits'!AI17</f>
        <v>0</v>
      </c>
      <c r="AJ17" s="1142"/>
      <c r="AK17" s="1142"/>
      <c r="AL17" s="1142"/>
      <c r="AM17" s="1142"/>
    </row>
    <row r="18" spans="1:39" ht="12.95" customHeight="1">
      <c r="B18" s="608"/>
      <c r="C18" s="1619" t="s">
        <v>1427</v>
      </c>
      <c r="D18" s="1620"/>
      <c r="E18" s="1620"/>
      <c r="F18" s="1620"/>
      <c r="G18" s="1620"/>
      <c r="H18" s="1620"/>
      <c r="I18" s="1620"/>
      <c r="J18" s="1620"/>
      <c r="K18" s="1620"/>
      <c r="L18" s="1620"/>
      <c r="M18" s="1620"/>
      <c r="N18" s="1620"/>
      <c r="O18" s="1620"/>
      <c r="P18" s="1620"/>
      <c r="Q18" s="1620"/>
      <c r="R18" s="1620"/>
      <c r="S18" s="1621"/>
      <c r="T18" s="1119">
        <f>'Basis &amp; Credits'!T18</f>
        <v>0</v>
      </c>
      <c r="U18" s="1120"/>
      <c r="V18" s="1120"/>
      <c r="W18" s="1120"/>
      <c r="X18" s="1121"/>
      <c r="Y18" s="1121">
        <f>'Basis &amp; Credits'!Y18</f>
        <v>0</v>
      </c>
      <c r="Z18" s="1142"/>
      <c r="AA18" s="1142"/>
      <c r="AB18" s="1142"/>
      <c r="AC18" s="1142"/>
      <c r="AD18" s="1142">
        <f>'Basis &amp; Credits'!AD18</f>
        <v>0</v>
      </c>
      <c r="AE18" s="1142"/>
      <c r="AF18" s="1142"/>
      <c r="AG18" s="1142"/>
      <c r="AH18" s="1142"/>
      <c r="AI18" s="1142">
        <f>'Basis &amp; Credits'!AI18</f>
        <v>0</v>
      </c>
      <c r="AJ18" s="1142"/>
      <c r="AK18" s="1142"/>
      <c r="AL18" s="1142"/>
      <c r="AM18" s="1142"/>
    </row>
    <row r="19" spans="1:39" ht="12.95" customHeight="1">
      <c r="B19" s="498"/>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121">
        <f>'Basis &amp; Credits'!T19</f>
        <v>0</v>
      </c>
      <c r="U19" s="1142"/>
      <c r="V19" s="1142"/>
      <c r="W19" s="1142"/>
      <c r="X19" s="1142"/>
      <c r="Y19" s="1121">
        <f>'Basis &amp; Credits'!Y19</f>
        <v>0</v>
      </c>
      <c r="Z19" s="1142"/>
      <c r="AA19" s="1142"/>
      <c r="AB19" s="1142"/>
      <c r="AC19" s="1142"/>
      <c r="AD19" s="1142">
        <f>'Basis &amp; Credits'!AD19</f>
        <v>0</v>
      </c>
      <c r="AE19" s="1142"/>
      <c r="AF19" s="1142"/>
      <c r="AG19" s="1142"/>
      <c r="AH19" s="1142"/>
      <c r="AI19" s="1142">
        <f>'Basis &amp; Credits'!AI19</f>
        <v>0</v>
      </c>
      <c r="AJ19" s="1142"/>
      <c r="AK19" s="1142"/>
      <c r="AL19" s="1142"/>
      <c r="AM19" s="1142"/>
    </row>
    <row r="20" spans="1:39" ht="12.95" customHeight="1">
      <c r="B20" s="1139" t="s">
        <v>808</v>
      </c>
      <c r="C20" s="1140"/>
      <c r="D20" s="1140"/>
      <c r="E20" s="1140"/>
      <c r="F20" s="1140"/>
      <c r="G20" s="1140"/>
      <c r="H20" s="1140"/>
      <c r="I20" s="1140"/>
      <c r="J20" s="1140"/>
      <c r="K20" s="1140"/>
      <c r="L20" s="1140"/>
      <c r="M20" s="1140"/>
      <c r="N20" s="1140"/>
      <c r="O20" s="1140"/>
      <c r="P20" s="1140"/>
      <c r="Q20" s="1140"/>
      <c r="R20" s="1140"/>
      <c r="S20" s="1141"/>
      <c r="T20" s="1606">
        <f>SUM(T13:X19)</f>
        <v>0</v>
      </c>
      <c r="U20" s="1128"/>
      <c r="V20" s="1128"/>
      <c r="W20" s="1128"/>
      <c r="X20" s="1128"/>
      <c r="Y20" s="1606">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39" t="s">
        <v>1788</v>
      </c>
      <c r="C21" s="1140"/>
      <c r="D21" s="1140"/>
      <c r="E21" s="1140"/>
      <c r="F21" s="1140"/>
      <c r="G21" s="1140"/>
      <c r="H21" s="1140"/>
      <c r="I21" s="1140"/>
      <c r="J21" s="1140"/>
      <c r="K21" s="1140"/>
      <c r="L21" s="1140"/>
      <c r="M21" s="1140"/>
      <c r="N21" s="1140"/>
      <c r="O21" s="1140"/>
      <c r="P21" s="1140"/>
      <c r="Q21" s="1140"/>
      <c r="R21" s="1140"/>
      <c r="S21" s="1141"/>
      <c r="T21" s="1121">
        <f>'Basis &amp; Credits'!E21</f>
        <v>0</v>
      </c>
      <c r="U21" s="1142"/>
      <c r="V21" s="1142"/>
      <c r="W21" s="1142"/>
      <c r="X21" s="1142"/>
      <c r="Y21" s="1121">
        <f>'Basis &amp; Credits'!J21</f>
        <v>0</v>
      </c>
      <c r="Z21" s="1142"/>
      <c r="AA21" s="1142"/>
      <c r="AB21" s="1142"/>
      <c r="AC21" s="1142"/>
      <c r="AD21" s="1142">
        <f>'Basis &amp; Credits'!O21</f>
        <v>0</v>
      </c>
      <c r="AE21" s="1142"/>
      <c r="AF21" s="1142"/>
      <c r="AG21" s="1142"/>
      <c r="AH21" s="1142"/>
      <c r="AI21" s="1142">
        <f>'Basis &amp; Credits'!T21</f>
        <v>0</v>
      </c>
      <c r="AJ21" s="1142"/>
      <c r="AK21" s="1142"/>
      <c r="AL21" s="1142"/>
      <c r="AM21" s="1142"/>
    </row>
    <row r="22" spans="1:39" ht="12.95" customHeight="1">
      <c r="B22" s="1139" t="s">
        <v>809</v>
      </c>
      <c r="C22" s="1140"/>
      <c r="D22" s="1140"/>
      <c r="E22" s="1140"/>
      <c r="F22" s="1140"/>
      <c r="G22" s="1140"/>
      <c r="H22" s="1140"/>
      <c r="I22" s="1140"/>
      <c r="J22" s="1140"/>
      <c r="K22" s="1140"/>
      <c r="L22" s="1140"/>
      <c r="M22" s="1140"/>
      <c r="N22" s="1140"/>
      <c r="O22" s="1140"/>
      <c r="P22" s="1140"/>
      <c r="Q22" s="1140"/>
      <c r="R22" s="1140"/>
      <c r="S22" s="1141"/>
      <c r="T22" s="1607">
        <f>(T20+T21)*-1</f>
        <v>0</v>
      </c>
      <c r="U22" s="1608"/>
      <c r="V22" s="1608"/>
      <c r="W22" s="1608"/>
      <c r="X22" s="1608"/>
      <c r="Y22" s="1607">
        <f>(Y20+Y21)*-1</f>
        <v>0</v>
      </c>
      <c r="Z22" s="1608"/>
      <c r="AA22" s="1608"/>
      <c r="AB22" s="1608"/>
      <c r="AC22" s="1608"/>
      <c r="AD22" s="1607">
        <f>(AD20+AD21)*-1</f>
        <v>0</v>
      </c>
      <c r="AE22" s="1608"/>
      <c r="AF22" s="1608"/>
      <c r="AG22" s="1608"/>
      <c r="AH22" s="1608"/>
      <c r="AI22" s="1607">
        <f>(AI20+AI21)*-1</f>
        <v>0</v>
      </c>
      <c r="AJ22" s="1608"/>
      <c r="AK22" s="1608"/>
      <c r="AL22" s="1608"/>
      <c r="AM22" s="1608"/>
    </row>
    <row r="23" spans="1:39" ht="12.95" customHeight="1">
      <c r="B23" s="1139" t="s">
        <v>810</v>
      </c>
      <c r="C23" s="1140"/>
      <c r="D23" s="1140"/>
      <c r="E23" s="1140"/>
      <c r="F23" s="1140"/>
      <c r="G23" s="1140"/>
      <c r="H23" s="1140"/>
      <c r="I23" s="1140"/>
      <c r="J23" s="1140"/>
      <c r="K23" s="1140"/>
      <c r="L23" s="1140"/>
      <c r="M23" s="1140"/>
      <c r="N23" s="1140"/>
      <c r="O23" s="1140"/>
      <c r="P23" s="1140"/>
      <c r="Q23" s="1140"/>
      <c r="R23" s="1140"/>
      <c r="S23" s="1141"/>
      <c r="T23" s="1606">
        <f>T11+T22</f>
        <v>31570687.64919921</v>
      </c>
      <c r="U23" s="1128"/>
      <c r="V23" s="1128"/>
      <c r="W23" s="1128"/>
      <c r="X23" s="1128"/>
      <c r="Y23" s="1606">
        <f>Y11+Y22</f>
        <v>31570687.64919921</v>
      </c>
      <c r="Z23" s="1128"/>
      <c r="AA23" s="1128"/>
      <c r="AB23" s="1128"/>
      <c r="AC23" s="1128"/>
      <c r="AD23" s="1606">
        <f>AD11+AD22</f>
        <v>0</v>
      </c>
      <c r="AE23" s="1128"/>
      <c r="AF23" s="1128"/>
      <c r="AG23" s="1128"/>
      <c r="AH23" s="1128"/>
      <c r="AI23" s="1606">
        <f>AI11+AI22</f>
        <v>0</v>
      </c>
      <c r="AJ23" s="1128"/>
      <c r="AK23" s="1128"/>
      <c r="AL23" s="1128"/>
      <c r="AM23" s="1128"/>
    </row>
    <row r="24" spans="1:39" ht="12.95" customHeight="1">
      <c r="B24" s="1139" t="s">
        <v>1270</v>
      </c>
      <c r="C24" s="1140"/>
      <c r="D24" s="1140"/>
      <c r="E24" s="1140"/>
      <c r="F24" s="1140"/>
      <c r="G24" s="1140"/>
      <c r="H24" s="1140"/>
      <c r="I24" s="1140"/>
      <c r="J24" s="1140"/>
      <c r="K24" s="1140"/>
      <c r="L24" s="1140"/>
      <c r="M24" s="1140"/>
      <c r="N24" s="1140"/>
      <c r="O24" s="1140"/>
      <c r="P24" s="1140"/>
      <c r="Q24" s="1140"/>
      <c r="R24" s="1140"/>
      <c r="S24" s="1141"/>
      <c r="T24" s="1604">
        <f>Application!AD979</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2.95" customHeight="1">
      <c r="B25" s="1596" t="s">
        <v>1824</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2"/>
      <c r="Y25" s="1610">
        <v>1</v>
      </c>
      <c r="Z25" s="1611"/>
      <c r="AA25" s="1611"/>
      <c r="AB25" s="1611"/>
      <c r="AC25" s="1612"/>
      <c r="AD25" s="1610">
        <v>1</v>
      </c>
      <c r="AE25" s="1611"/>
      <c r="AF25" s="1611"/>
      <c r="AG25" s="1611"/>
      <c r="AH25" s="1612"/>
      <c r="AI25" s="1610">
        <v>1</v>
      </c>
      <c r="AJ25" s="1611"/>
      <c r="AK25" s="1611"/>
      <c r="AL25" s="1611"/>
      <c r="AM25" s="1612"/>
    </row>
    <row r="26" spans="1:39" ht="12.95" customHeight="1">
      <c r="B26" s="1139" t="s">
        <v>811</v>
      </c>
      <c r="C26" s="1140"/>
      <c r="D26" s="1140"/>
      <c r="E26" s="1140"/>
      <c r="F26" s="1140"/>
      <c r="G26" s="1140"/>
      <c r="H26" s="1140"/>
      <c r="I26" s="1140"/>
      <c r="J26" s="1140"/>
      <c r="K26" s="1140"/>
      <c r="L26" s="1140"/>
      <c r="M26" s="1140"/>
      <c r="N26" s="1140"/>
      <c r="O26" s="1140"/>
      <c r="P26" s="1140"/>
      <c r="Q26" s="1140"/>
      <c r="R26" s="1140"/>
      <c r="S26" s="1141"/>
      <c r="T26" s="1196">
        <f>T23*T25</f>
        <v>31570687.64919921</v>
      </c>
      <c r="U26" s="1609"/>
      <c r="V26" s="1609"/>
      <c r="W26" s="1609"/>
      <c r="X26" s="1609"/>
      <c r="Y26" s="1196">
        <f>Y23*Y25</f>
        <v>31570687.64919921</v>
      </c>
      <c r="Z26" s="1609"/>
      <c r="AA26" s="1609"/>
      <c r="AB26" s="1609"/>
      <c r="AC26" s="1609"/>
      <c r="AD26" s="1196">
        <f>AD23*AD25</f>
        <v>0</v>
      </c>
      <c r="AE26" s="1609"/>
      <c r="AF26" s="1609"/>
      <c r="AG26" s="1609"/>
      <c r="AH26" s="1609"/>
      <c r="AI26" s="1196">
        <f>AI23*AI25</f>
        <v>0</v>
      </c>
      <c r="AJ26" s="1609"/>
      <c r="AK26" s="1609"/>
      <c r="AL26" s="1609"/>
      <c r="AM26" s="1609"/>
    </row>
    <row r="27" spans="1:39" ht="12.95" customHeight="1">
      <c r="A27" s="4"/>
      <c r="B27" s="1599" t="s">
        <v>920</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2.95" customHeight="1">
      <c r="A28" s="3"/>
      <c r="B28" s="1139" t="s">
        <v>884</v>
      </c>
      <c r="C28" s="1140"/>
      <c r="D28" s="1140"/>
      <c r="E28" s="1140"/>
      <c r="F28" s="1140"/>
      <c r="G28" s="1140"/>
      <c r="H28" s="1140"/>
      <c r="I28" s="1140"/>
      <c r="J28" s="1140"/>
      <c r="K28" s="1140"/>
      <c r="L28" s="1140"/>
      <c r="M28" s="1140"/>
      <c r="N28" s="1140"/>
      <c r="O28" s="1140"/>
      <c r="P28" s="1140"/>
      <c r="Q28" s="1140"/>
      <c r="R28" s="1140"/>
      <c r="S28" s="1141"/>
      <c r="T28" s="1196">
        <f>IF(ISERROR((T26*T27)),0,(T26*T27))</f>
        <v>31570687.64919921</v>
      </c>
      <c r="U28" s="1609"/>
      <c r="V28" s="1609"/>
      <c r="W28" s="1609"/>
      <c r="X28" s="1609"/>
      <c r="Y28" s="1196">
        <f>IF(ISERROR((Y26*Y27)),0,(Y26*Y27))</f>
        <v>31570687.64919921</v>
      </c>
      <c r="Z28" s="1609"/>
      <c r="AA28" s="1609"/>
      <c r="AB28" s="1609"/>
      <c r="AC28" s="1609"/>
      <c r="AD28" s="1196">
        <f>IF(ISERROR((AD26*AD27)),0,(AD26*AD27))</f>
        <v>0</v>
      </c>
      <c r="AE28" s="1609"/>
      <c r="AF28" s="1609"/>
      <c r="AG28" s="1609"/>
      <c r="AH28" s="1609"/>
      <c r="AI28" s="1196">
        <f>IF(ISERROR((AI26*AI27)),0,(AI26*AI27))</f>
        <v>0</v>
      </c>
      <c r="AJ28" s="1609"/>
      <c r="AK28" s="1609"/>
      <c r="AL28" s="1609"/>
      <c r="AM28" s="1609"/>
    </row>
    <row r="29" spans="1:39" ht="12.95" customHeight="1">
      <c r="B29" s="1139" t="s">
        <v>659</v>
      </c>
      <c r="C29" s="1140"/>
      <c r="D29" s="1140"/>
      <c r="E29" s="1140"/>
      <c r="F29" s="1140"/>
      <c r="G29" s="1140"/>
      <c r="H29" s="1140"/>
      <c r="I29" s="1140"/>
      <c r="J29" s="1140"/>
      <c r="K29" s="1140"/>
      <c r="L29" s="1140"/>
      <c r="M29" s="1140"/>
      <c r="N29" s="1140"/>
      <c r="O29" s="1140"/>
      <c r="P29" s="1140"/>
      <c r="Q29" s="1140"/>
      <c r="R29" s="1140"/>
      <c r="S29" s="1141"/>
      <c r="T29" s="1604">
        <f>T28+Y28+AD28+AI28</f>
        <v>63141375.29839842</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3" t="s">
        <v>1679</v>
      </c>
      <c r="Z35" s="1613"/>
      <c r="AA35" s="1613"/>
      <c r="AB35" s="1613"/>
      <c r="AC35" s="1613"/>
      <c r="AD35" s="1185" t="s">
        <v>45</v>
      </c>
      <c r="AE35" s="1185"/>
      <c r="AF35" s="1185"/>
      <c r="AG35" s="1185"/>
      <c r="AH35" s="1185"/>
    </row>
    <row r="36" spans="1:40" ht="12.95" customHeight="1">
      <c r="B36" s="204"/>
      <c r="X36" s="71"/>
      <c r="Y36" s="1613"/>
      <c r="Z36" s="1613"/>
      <c r="AA36" s="1613"/>
      <c r="AB36" s="1613"/>
      <c r="AC36" s="1613"/>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185"/>
      <c r="AE37" s="1185"/>
      <c r="AF37" s="1185"/>
      <c r="AG37" s="1185"/>
      <c r="AH37" s="1185"/>
    </row>
    <row r="38" spans="1:40" ht="12.95" customHeight="1">
      <c r="A38" s="3"/>
      <c r="B38" s="1139" t="s">
        <v>884</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28">
        <f>IF(T24&gt;=(T23+Y23+AD23+AI23),T28+Y28,0)</f>
        <v>0</v>
      </c>
      <c r="Z38" s="1128"/>
      <c r="AA38" s="1128"/>
      <c r="AB38" s="1128"/>
      <c r="AC38" s="1128"/>
      <c r="AD38" s="1128">
        <f>IF(T24&gt;=(T23+Y23+AD23+AI23),AD28+AI28,0)</f>
        <v>0</v>
      </c>
      <c r="AE38" s="1128"/>
      <c r="AF38" s="1128"/>
      <c r="AG38" s="1128"/>
      <c r="AH38" s="1128"/>
    </row>
    <row r="39" spans="1:40" ht="12.95" customHeight="1">
      <c r="B39" s="1139" t="s">
        <v>802</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962">
        <v>0.09</v>
      </c>
      <c r="Z39" s="1962"/>
      <c r="AA39" s="1962"/>
      <c r="AB39" s="1962"/>
      <c r="AC39" s="1962"/>
      <c r="AD39" s="1962">
        <f>'Basis &amp; Credits'!AD39:AH39</f>
        <v>0.04</v>
      </c>
      <c r="AE39" s="1962"/>
      <c r="AF39" s="1962"/>
      <c r="AG39" s="1962"/>
      <c r="AH39" s="1962"/>
    </row>
    <row r="40" spans="1:40" ht="12.95" customHeight="1">
      <c r="A40" s="3"/>
      <c r="B40" s="1139" t="s">
        <v>25</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28">
        <f>ROUND(Y38*Y39,0)</f>
        <v>0</v>
      </c>
      <c r="Z40" s="1128"/>
      <c r="AA40" s="1128"/>
      <c r="AB40" s="1128"/>
      <c r="AC40" s="1128"/>
      <c r="AD40" s="1606">
        <f>ROUND(AD38*AD39,0)</f>
        <v>0</v>
      </c>
      <c r="AE40" s="1128"/>
      <c r="AF40" s="1128"/>
      <c r="AG40" s="1128"/>
      <c r="AH40" s="1128"/>
    </row>
    <row r="41" spans="1:40" ht="12.95" customHeight="1">
      <c r="B41" s="1139" t="s">
        <v>653</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604">
        <f>IF((Y40+AD40)&gt;2500000,2500000,Y40+AD40)</f>
        <v>0</v>
      </c>
      <c r="Z41" s="1605"/>
      <c r="AA41" s="1605"/>
      <c r="AB41" s="1605"/>
      <c r="AC41" s="1605"/>
      <c r="AD41" s="1605"/>
      <c r="AE41" s="1605"/>
      <c r="AF41" s="1605"/>
      <c r="AG41" s="1605"/>
      <c r="AH41" s="1606"/>
    </row>
    <row r="42" spans="1:40" ht="12.95" customHeight="1">
      <c r="A42" s="3"/>
      <c r="B42" s="1638" t="s">
        <v>1210</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6">
        <f>'Sources and Uses Budget'!B104-'Sources and Uses Budget'!$B$15</f>
        <v>38811963.709028274</v>
      </c>
      <c r="AC46" s="1157"/>
      <c r="AD46" s="1157"/>
      <c r="AE46" s="1157"/>
      <c r="AF46" s="1158"/>
    </row>
    <row r="47" spans="1:40" ht="12.95" customHeight="1">
      <c r="D47" s="3" t="s">
        <v>878</v>
      </c>
      <c r="AB47" s="1156">
        <f>Application!AG630-MIN('Sources and Uses Budget'!B15,Application!AG385)</f>
        <v>0</v>
      </c>
      <c r="AC47" s="1157"/>
      <c r="AD47" s="1157"/>
      <c r="AE47" s="1157"/>
      <c r="AF47" s="1158"/>
    </row>
    <row r="48" spans="1:40" ht="12.95" customHeight="1">
      <c r="D48" s="3" t="s">
        <v>403</v>
      </c>
      <c r="AB48" s="1156">
        <f>AB46-AB47</f>
        <v>38811963.709028274</v>
      </c>
      <c r="AC48" s="1157"/>
      <c r="AD48" s="1157"/>
      <c r="AE48" s="1157"/>
      <c r="AF48" s="1158"/>
    </row>
    <row r="49" spans="1:40" ht="12.95" customHeight="1">
      <c r="D49" s="3" t="s">
        <v>913</v>
      </c>
      <c r="AA49" s="34"/>
      <c r="AB49" s="1633"/>
      <c r="AC49" s="1634"/>
      <c r="AD49" s="1634"/>
      <c r="AE49" s="1634"/>
      <c r="AF49" s="1635"/>
    </row>
    <row r="50" spans="1:40" s="324" customFormat="1" ht="12.95" customHeight="1">
      <c r="A50"/>
      <c r="B50"/>
      <c r="C50"/>
      <c r="D50"/>
      <c r="E50" s="1642" t="s">
        <v>1416</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8"/>
      <c r="AB50" s="358"/>
      <c r="AC50" s="358"/>
      <c r="AD50" s="358"/>
      <c r="AE50" s="358"/>
      <c r="AF50" s="358"/>
      <c r="AG50"/>
      <c r="AH50"/>
      <c r="AI50"/>
      <c r="AJ50"/>
      <c r="AK50"/>
      <c r="AL50"/>
      <c r="AM50"/>
      <c r="AN50"/>
    </row>
    <row r="51" spans="1:40" s="324"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0</v>
      </c>
      <c r="AC53" s="1157"/>
      <c r="AD53" s="1157"/>
      <c r="AE53" s="1157"/>
      <c r="AF53" s="1158"/>
    </row>
    <row r="54" spans="1:40" ht="12.95" customHeight="1">
      <c r="D54" s="3" t="s">
        <v>592</v>
      </c>
      <c r="AB54" s="1156">
        <f>(AB53/10)</f>
        <v>0</v>
      </c>
      <c r="AC54" s="1157"/>
      <c r="AD54" s="1157"/>
      <c r="AE54" s="1157"/>
      <c r="AF54" s="1158"/>
    </row>
    <row r="55" spans="1:40" ht="12.95" customHeight="1">
      <c r="D55" s="3" t="s">
        <v>362</v>
      </c>
      <c r="AB55" s="1639">
        <f>(IF((Y41&lt;AB54),Y41,AB54))</f>
        <v>0</v>
      </c>
      <c r="AC55" s="1640"/>
      <c r="AD55" s="1640"/>
      <c r="AE55" s="1640"/>
      <c r="AF55" s="1641"/>
    </row>
    <row r="56" spans="1:40" ht="12.95" customHeight="1">
      <c r="D56" s="3" t="s">
        <v>115</v>
      </c>
      <c r="AB56" s="1156">
        <f>ROUND((10*AB55*AB49),0)</f>
        <v>0</v>
      </c>
      <c r="AC56" s="1157"/>
      <c r="AD56" s="1157"/>
      <c r="AE56" s="1157"/>
      <c r="AF56" s="1158"/>
    </row>
    <row r="57" spans="1:40" ht="12.95" customHeight="1">
      <c r="D57" s="3"/>
      <c r="AB57" s="276"/>
      <c r="AC57" s="276"/>
      <c r="AD57" s="276"/>
      <c r="AE57" s="276"/>
      <c r="AF57" s="276"/>
    </row>
    <row r="58" spans="1:40" ht="12.95" customHeight="1">
      <c r="D58" s="3" t="s">
        <v>114</v>
      </c>
      <c r="AB58" s="1174">
        <f>AB48-AB56</f>
        <v>38811963.709028274</v>
      </c>
      <c r="AC58" s="1174"/>
      <c r="AD58" s="1174"/>
      <c r="AE58" s="1174"/>
      <c r="AF58" s="117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1827</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11"/>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row>
    <row r="62" spans="1:40" ht="12.95" customHeight="1">
      <c r="A62" s="3" t="s">
        <v>130</v>
      </c>
      <c r="C62" s="3" t="s">
        <v>540</v>
      </c>
      <c r="Y62" s="1647" t="s">
        <v>316</v>
      </c>
      <c r="Z62" s="1647"/>
      <c r="AA62" s="1647"/>
      <c r="AB62" s="1647"/>
      <c r="AC62" s="1647"/>
      <c r="AD62" s="1647" t="s">
        <v>45</v>
      </c>
      <c r="AE62" s="1647"/>
      <c r="AF62" s="1647"/>
      <c r="AG62" s="1647"/>
      <c r="AH62" s="1647"/>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31570687.64919921</v>
      </c>
      <c r="Z63" s="1636"/>
      <c r="AA63" s="1636"/>
      <c r="AB63" s="1636"/>
      <c r="AC63" s="1636"/>
      <c r="AD63" s="1128">
        <f>AI28</f>
        <v>0</v>
      </c>
      <c r="AE63" s="1636"/>
      <c r="AF63" s="1636"/>
      <c r="AG63" s="1636"/>
      <c r="AH63" s="1636"/>
    </row>
    <row r="64" spans="1:40" ht="12.95" customHeight="1">
      <c r="C64" s="3"/>
      <c r="E64" s="1646" t="s">
        <v>1342</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2.2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2">
        <v>0.3</v>
      </c>
      <c r="Z66" s="1632"/>
      <c r="AA66" s="1632"/>
      <c r="AB66" s="1632"/>
      <c r="AC66" s="1632"/>
      <c r="AD66" s="1632">
        <v>0.13</v>
      </c>
      <c r="AE66" s="1632"/>
      <c r="AF66" s="1632"/>
      <c r="AG66" s="1632"/>
      <c r="AH66" s="1632"/>
    </row>
    <row r="67" spans="1:34" ht="12.95" customHeight="1">
      <c r="C67" s="3"/>
      <c r="D67" s="3" t="s">
        <v>985</v>
      </c>
      <c r="Y67" s="1128">
        <f>ROUND(Y63*Y66,0)</f>
        <v>9471206</v>
      </c>
      <c r="Z67" s="1636"/>
      <c r="AA67" s="1636"/>
      <c r="AB67" s="1636"/>
      <c r="AC67" s="1636"/>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33"/>
      <c r="AC70" s="1634"/>
      <c r="AD70" s="1634"/>
      <c r="AE70" s="1634"/>
      <c r="AF70" s="1635"/>
    </row>
    <row r="71" spans="1:34" ht="12.95" customHeight="1">
      <c r="A71" s="3"/>
      <c r="C71" s="3"/>
      <c r="D71" s="3"/>
      <c r="E71" s="1637" t="s">
        <v>1822</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2.9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2.9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9">
        <f>ROUND(IF(ISERROR((AB58/AB70)),0,(AB58/AB70)),0)</f>
        <v>0</v>
      </c>
      <c r="AC75" s="1519"/>
      <c r="AD75" s="1519"/>
      <c r="AE75" s="1519"/>
      <c r="AF75" s="1519"/>
    </row>
    <row r="76" spans="1:34" ht="12.95" customHeight="1">
      <c r="C76" s="3"/>
      <c r="D76" s="3" t="s">
        <v>113</v>
      </c>
      <c r="AB76" s="1536">
        <f>IF((Y67+AD67&lt;AB75),Y67+AD67,AB75)</f>
        <v>0</v>
      </c>
      <c r="AC76" s="1537"/>
      <c r="AD76" s="1537"/>
      <c r="AE76" s="1537"/>
      <c r="AF76" s="1538"/>
    </row>
    <row r="77" spans="1:34" ht="12.95" customHeight="1">
      <c r="C77" s="3"/>
      <c r="D77" s="3" t="s">
        <v>986</v>
      </c>
      <c r="AB77" s="1631">
        <f>AB76*AB70</f>
        <v>0</v>
      </c>
      <c r="AC77" s="1631"/>
      <c r="AD77" s="1631"/>
      <c r="AE77" s="1631"/>
      <c r="AF77" s="1631"/>
    </row>
    <row r="78" spans="1:34" ht="12.95" customHeight="1">
      <c r="C78" s="3"/>
      <c r="D78" s="3"/>
      <c r="AB78" s="613"/>
      <c r="AC78" s="613"/>
      <c r="AD78" s="613"/>
      <c r="AE78" s="613"/>
      <c r="AF78" s="613"/>
    </row>
    <row r="79" spans="1:34" ht="12.95" customHeight="1">
      <c r="D79" s="3" t="s">
        <v>114</v>
      </c>
      <c r="AB79" s="1174">
        <f>AB48-(AB56+AB77)</f>
        <v>38811963.709028274</v>
      </c>
      <c r="AC79" s="1174"/>
      <c r="AD79" s="1174"/>
      <c r="AE79" s="1174"/>
      <c r="AF79" s="1174"/>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61"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9" t="s">
        <v>1417</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2.9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3" t="s">
        <v>1680</v>
      </c>
      <c r="U7" s="1613"/>
      <c r="V7" s="1613"/>
      <c r="W7" s="1613"/>
      <c r="X7" s="1613"/>
      <c r="Y7" s="1613" t="s">
        <v>1825</v>
      </c>
      <c r="Z7" s="1613"/>
      <c r="AA7" s="1613"/>
      <c r="AB7" s="1613"/>
      <c r="AC7" s="1613"/>
      <c r="AD7" s="1613" t="s">
        <v>1423</v>
      </c>
      <c r="AE7" s="1613"/>
      <c r="AF7" s="1613"/>
      <c r="AG7" s="1613"/>
      <c r="AH7" s="1613"/>
      <c r="AI7" s="1613" t="s">
        <v>1826</v>
      </c>
      <c r="AJ7" s="1613"/>
      <c r="AK7" s="1613"/>
      <c r="AL7" s="1613"/>
      <c r="AM7" s="1613"/>
    </row>
    <row r="8" spans="1:40" ht="12.95"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2.95"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40.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5" customHeight="1">
      <c r="B11" s="1139" t="s">
        <v>539</v>
      </c>
      <c r="C11" s="1140"/>
      <c r="D11" s="1140"/>
      <c r="E11" s="1140"/>
      <c r="F11" s="1140"/>
      <c r="G11" s="1140"/>
      <c r="H11" s="1140"/>
      <c r="I11" s="1140"/>
      <c r="J11" s="1140"/>
      <c r="K11" s="1140"/>
      <c r="L11" s="1140"/>
      <c r="M11" s="1140"/>
      <c r="N11" s="1140"/>
      <c r="O11" s="1140"/>
      <c r="P11" s="1140"/>
      <c r="Q11" s="1140"/>
      <c r="R11" s="1140"/>
      <c r="S11" s="1141"/>
      <c r="T11" s="1623">
        <f>IF('Sources and Basis Breakdown'!F105=0,'Sources and Basis Breakdown'!E105,'Sources and Basis Breakdown'!F105)</f>
        <v>31570687.64919921</v>
      </c>
      <c r="U11" s="1614"/>
      <c r="V11" s="1614"/>
      <c r="W11" s="1614"/>
      <c r="X11" s="1614"/>
      <c r="Y11" s="1630">
        <f>IF('Sources and Basis Breakdown'!G105+'Sources and Basis Breakdown'!F105='Sources and Basis Breakdown'!E105,'Sources and Basis Breakdown'!G105,0)</f>
        <v>31570687.64919921</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17" t="s">
        <v>476</v>
      </c>
      <c r="C12" s="1033"/>
      <c r="D12" s="1033"/>
      <c r="E12" s="1033"/>
      <c r="F12" s="1033"/>
      <c r="G12" s="1033"/>
      <c r="H12" s="1033"/>
      <c r="I12" s="1033"/>
      <c r="J12" s="1033"/>
      <c r="K12" s="1033"/>
      <c r="L12" s="1033"/>
      <c r="M12" s="1033"/>
      <c r="N12" s="1033"/>
      <c r="O12" s="1033"/>
      <c r="P12" s="1033"/>
      <c r="Q12" s="1033"/>
      <c r="R12" s="1033"/>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5" customHeight="1">
      <c r="B13" s="8"/>
      <c r="C13" s="1619" t="s">
        <v>1789</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20" t="s">
        <v>805</v>
      </c>
      <c r="D14" s="1620"/>
      <c r="E14" s="1620"/>
      <c r="F14" s="1620"/>
      <c r="G14" s="1620"/>
      <c r="H14" s="1620"/>
      <c r="I14" s="1620"/>
      <c r="J14" s="1620"/>
      <c r="K14" s="1620"/>
      <c r="L14" s="1620"/>
      <c r="M14" s="1620"/>
      <c r="N14" s="1620"/>
      <c r="O14" s="1620"/>
      <c r="P14" s="1620"/>
      <c r="Q14" s="1620"/>
      <c r="R14" s="1620"/>
      <c r="S14" s="1621"/>
      <c r="T14" s="1121">
        <f>'Basis &amp; Credits'!T14</f>
        <v>0</v>
      </c>
      <c r="U14" s="1142"/>
      <c r="V14" s="1142"/>
      <c r="W14" s="1142"/>
      <c r="X14" s="1142"/>
      <c r="Y14" s="1121">
        <f>'Basis &amp; Credits'!Y14</f>
        <v>0</v>
      </c>
      <c r="Z14" s="1142"/>
      <c r="AA14" s="1142"/>
      <c r="AB14" s="1142"/>
      <c r="AC14" s="1142"/>
      <c r="AD14" s="1142">
        <f>'Basis &amp; Credits'!AD14</f>
        <v>0</v>
      </c>
      <c r="AE14" s="1142"/>
      <c r="AF14" s="1142"/>
      <c r="AG14" s="1142"/>
      <c r="AH14" s="1142"/>
      <c r="AI14" s="1142">
        <f>'Basis &amp; Credits'!AI14</f>
        <v>0</v>
      </c>
      <c r="AJ14" s="1142"/>
      <c r="AK14" s="1142"/>
      <c r="AL14" s="1142"/>
      <c r="AM14" s="1142"/>
    </row>
    <row r="15" spans="1:40" ht="12.95" customHeight="1">
      <c r="B15" s="8"/>
      <c r="C15" s="1620" t="s">
        <v>806</v>
      </c>
      <c r="D15" s="1620"/>
      <c r="E15" s="1620"/>
      <c r="F15" s="1620"/>
      <c r="G15" s="1620"/>
      <c r="H15" s="1620"/>
      <c r="I15" s="1620"/>
      <c r="J15" s="1620"/>
      <c r="K15" s="1620"/>
      <c r="L15" s="1620"/>
      <c r="M15" s="1620"/>
      <c r="N15" s="1620"/>
      <c r="O15" s="1620"/>
      <c r="P15" s="1620"/>
      <c r="Q15" s="1620"/>
      <c r="R15" s="1620"/>
      <c r="S15" s="1621"/>
      <c r="T15" s="1121">
        <f>'Basis &amp; Credits'!T15</f>
        <v>0</v>
      </c>
      <c r="U15" s="1142"/>
      <c r="V15" s="1142"/>
      <c r="W15" s="1142"/>
      <c r="X15" s="1142"/>
      <c r="Y15" s="1121">
        <f>'Basis &amp; Credits'!Y15</f>
        <v>0</v>
      </c>
      <c r="Z15" s="1142"/>
      <c r="AA15" s="1142"/>
      <c r="AB15" s="1142"/>
      <c r="AC15" s="1142"/>
      <c r="AD15" s="1142">
        <f>'Basis &amp; Credits'!AD15</f>
        <v>0</v>
      </c>
      <c r="AE15" s="1142"/>
      <c r="AF15" s="1142"/>
      <c r="AG15" s="1142"/>
      <c r="AH15" s="1142"/>
      <c r="AI15" s="1142">
        <f>'Basis &amp; Credits'!AI15</f>
        <v>0</v>
      </c>
      <c r="AJ15" s="1142"/>
      <c r="AK15" s="1142"/>
      <c r="AL15" s="1142"/>
      <c r="AM15" s="1142"/>
    </row>
    <row r="16" spans="1:40" ht="12.95" customHeight="1">
      <c r="B16" s="8"/>
      <c r="C16" s="1619" t="s">
        <v>1057</v>
      </c>
      <c r="D16" s="1619"/>
      <c r="E16" s="1619"/>
      <c r="F16" s="1619"/>
      <c r="G16" s="1619"/>
      <c r="H16" s="1619"/>
      <c r="I16" s="1619"/>
      <c r="J16" s="1619"/>
      <c r="K16" s="1619"/>
      <c r="L16" s="1619"/>
      <c r="M16" s="1619"/>
      <c r="N16" s="1619"/>
      <c r="O16" s="1619"/>
      <c r="P16" s="1619"/>
      <c r="Q16" s="1619"/>
      <c r="R16" s="1619"/>
      <c r="S16" s="1622"/>
      <c r="T16" s="1121">
        <f>'Basis &amp; Credits'!T16</f>
        <v>0</v>
      </c>
      <c r="U16" s="1142"/>
      <c r="V16" s="1142"/>
      <c r="W16" s="1142"/>
      <c r="X16" s="1142"/>
      <c r="Y16" s="1121">
        <f>'Basis &amp; Credits'!Y16</f>
        <v>0</v>
      </c>
      <c r="Z16" s="1142"/>
      <c r="AA16" s="1142"/>
      <c r="AB16" s="1142"/>
      <c r="AC16" s="1142"/>
      <c r="AD16" s="1142">
        <f>'Basis &amp; Credits'!AD16</f>
        <v>0</v>
      </c>
      <c r="AE16" s="1142"/>
      <c r="AF16" s="1142"/>
      <c r="AG16" s="1142"/>
      <c r="AH16" s="1142"/>
      <c r="AI16" s="1142">
        <f>'Basis &amp; Credits'!AI16</f>
        <v>0</v>
      </c>
      <c r="AJ16" s="1142"/>
      <c r="AK16" s="1142"/>
      <c r="AL16" s="1142"/>
      <c r="AM16" s="1142"/>
    </row>
    <row r="17" spans="1:39" ht="12.95" customHeight="1">
      <c r="B17" s="8"/>
      <c r="C17" s="1620" t="s">
        <v>807</v>
      </c>
      <c r="D17" s="1620"/>
      <c r="E17" s="1620"/>
      <c r="F17" s="1620"/>
      <c r="G17" s="1620"/>
      <c r="H17" s="1620"/>
      <c r="I17" s="1620"/>
      <c r="J17" s="1620"/>
      <c r="K17" s="1620"/>
      <c r="L17" s="1620"/>
      <c r="M17" s="1620"/>
      <c r="N17" s="1620"/>
      <c r="O17" s="1620"/>
      <c r="P17" s="1620"/>
      <c r="Q17" s="1620"/>
      <c r="R17" s="1620"/>
      <c r="S17" s="1621"/>
      <c r="T17" s="1121">
        <f>'Basis &amp; Credits'!T17</f>
        <v>0</v>
      </c>
      <c r="U17" s="1142"/>
      <c r="V17" s="1142"/>
      <c r="W17" s="1142"/>
      <c r="X17" s="1142"/>
      <c r="Y17" s="1121">
        <f>'Basis &amp; Credits'!Y17</f>
        <v>0</v>
      </c>
      <c r="Z17" s="1142"/>
      <c r="AA17" s="1142"/>
      <c r="AB17" s="1142"/>
      <c r="AC17" s="1142"/>
      <c r="AD17" s="1142">
        <f>'Basis &amp; Credits'!AD17</f>
        <v>0</v>
      </c>
      <c r="AE17" s="1142"/>
      <c r="AF17" s="1142"/>
      <c r="AG17" s="1142"/>
      <c r="AH17" s="1142"/>
      <c r="AI17" s="1142">
        <f>'Basis &amp; Credits'!AI17</f>
        <v>0</v>
      </c>
      <c r="AJ17" s="1142"/>
      <c r="AK17" s="1142"/>
      <c r="AL17" s="1142"/>
      <c r="AM17" s="1142"/>
    </row>
    <row r="18" spans="1:39" ht="12.95" customHeight="1">
      <c r="B18" s="608"/>
      <c r="C18" s="1619" t="s">
        <v>1427</v>
      </c>
      <c r="D18" s="1620"/>
      <c r="E18" s="1620"/>
      <c r="F18" s="1620"/>
      <c r="G18" s="1620"/>
      <c r="H18" s="1620"/>
      <c r="I18" s="1620"/>
      <c r="J18" s="1620"/>
      <c r="K18" s="1620"/>
      <c r="L18" s="1620"/>
      <c r="M18" s="1620"/>
      <c r="N18" s="1620"/>
      <c r="O18" s="1620"/>
      <c r="P18" s="1620"/>
      <c r="Q18" s="1620"/>
      <c r="R18" s="1620"/>
      <c r="S18" s="1621"/>
      <c r="T18" s="1119">
        <f>'Basis &amp; Credits'!T18</f>
        <v>0</v>
      </c>
      <c r="U18" s="1120"/>
      <c r="V18" s="1120"/>
      <c r="W18" s="1120"/>
      <c r="X18" s="1121"/>
      <c r="Y18" s="1121">
        <f>'Basis &amp; Credits'!Y18</f>
        <v>0</v>
      </c>
      <c r="Z18" s="1142"/>
      <c r="AA18" s="1142"/>
      <c r="AB18" s="1142"/>
      <c r="AC18" s="1142"/>
      <c r="AD18" s="1142">
        <f>'Basis &amp; Credits'!AD18</f>
        <v>0</v>
      </c>
      <c r="AE18" s="1142"/>
      <c r="AF18" s="1142"/>
      <c r="AG18" s="1142"/>
      <c r="AH18" s="1142"/>
      <c r="AI18" s="1142">
        <f>'Basis &amp; Credits'!AI18</f>
        <v>0</v>
      </c>
      <c r="AJ18" s="1142"/>
      <c r="AK18" s="1142"/>
      <c r="AL18" s="1142"/>
      <c r="AM18" s="1142"/>
    </row>
    <row r="19" spans="1:39" ht="12.95" customHeight="1">
      <c r="B19" s="498"/>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121">
        <f>'Basis &amp; Credits'!T19</f>
        <v>0</v>
      </c>
      <c r="U19" s="1142"/>
      <c r="V19" s="1142"/>
      <c r="W19" s="1142"/>
      <c r="X19" s="1142"/>
      <c r="Y19" s="1121">
        <f>'Basis &amp; Credits'!Y19</f>
        <v>0</v>
      </c>
      <c r="Z19" s="1142"/>
      <c r="AA19" s="1142"/>
      <c r="AB19" s="1142"/>
      <c r="AC19" s="1142"/>
      <c r="AD19" s="1142">
        <f>'Basis &amp; Credits'!AD19</f>
        <v>0</v>
      </c>
      <c r="AE19" s="1142"/>
      <c r="AF19" s="1142"/>
      <c r="AG19" s="1142"/>
      <c r="AH19" s="1142"/>
      <c r="AI19" s="1142">
        <f>'Basis &amp; Credits'!AI19</f>
        <v>0</v>
      </c>
      <c r="AJ19" s="1142"/>
      <c r="AK19" s="1142"/>
      <c r="AL19" s="1142"/>
      <c r="AM19" s="1142"/>
    </row>
    <row r="20" spans="1:39" ht="12.95" customHeight="1">
      <c r="B20" s="1139" t="s">
        <v>808</v>
      </c>
      <c r="C20" s="1140"/>
      <c r="D20" s="1140"/>
      <c r="E20" s="1140"/>
      <c r="F20" s="1140"/>
      <c r="G20" s="1140"/>
      <c r="H20" s="1140"/>
      <c r="I20" s="1140"/>
      <c r="J20" s="1140"/>
      <c r="K20" s="1140"/>
      <c r="L20" s="1140"/>
      <c r="M20" s="1140"/>
      <c r="N20" s="1140"/>
      <c r="O20" s="1140"/>
      <c r="P20" s="1140"/>
      <c r="Q20" s="1140"/>
      <c r="R20" s="1140"/>
      <c r="S20" s="1141"/>
      <c r="T20" s="1606">
        <f>SUM(T13:X19)</f>
        <v>0</v>
      </c>
      <c r="U20" s="1128"/>
      <c r="V20" s="1128"/>
      <c r="W20" s="1128"/>
      <c r="X20" s="1128"/>
      <c r="Y20" s="1606">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39" t="s">
        <v>1788</v>
      </c>
      <c r="C21" s="1140"/>
      <c r="D21" s="1140"/>
      <c r="E21" s="1140"/>
      <c r="F21" s="1140"/>
      <c r="G21" s="1140"/>
      <c r="H21" s="1140"/>
      <c r="I21" s="1140"/>
      <c r="J21" s="1140"/>
      <c r="K21" s="1140"/>
      <c r="L21" s="1140"/>
      <c r="M21" s="1140"/>
      <c r="N21" s="1140"/>
      <c r="O21" s="1140"/>
      <c r="P21" s="1140"/>
      <c r="Q21" s="1140"/>
      <c r="R21" s="1140"/>
      <c r="S21" s="1141"/>
      <c r="T21" s="1121">
        <f>'Basis &amp; Credits'!T21</f>
        <v>0</v>
      </c>
      <c r="U21" s="1142"/>
      <c r="V21" s="1142"/>
      <c r="W21" s="1142"/>
      <c r="X21" s="1142"/>
      <c r="Y21" s="1121">
        <f>'Basis &amp; Credits'!Y21</f>
        <v>0</v>
      </c>
      <c r="Z21" s="1142"/>
      <c r="AA21" s="1142"/>
      <c r="AB21" s="1142"/>
      <c r="AC21" s="1142"/>
      <c r="AD21" s="1142">
        <f>'Basis &amp; Credits'!AD21</f>
        <v>0</v>
      </c>
      <c r="AE21" s="1142"/>
      <c r="AF21" s="1142"/>
      <c r="AG21" s="1142"/>
      <c r="AH21" s="1142"/>
      <c r="AI21" s="1142">
        <f>'Basis &amp; Credits'!AI21</f>
        <v>0</v>
      </c>
      <c r="AJ21" s="1142"/>
      <c r="AK21" s="1142"/>
      <c r="AL21" s="1142"/>
      <c r="AM21" s="1142"/>
    </row>
    <row r="22" spans="1:39" ht="12.95" customHeight="1">
      <c r="B22" s="1139" t="s">
        <v>809</v>
      </c>
      <c r="C22" s="1140"/>
      <c r="D22" s="1140"/>
      <c r="E22" s="1140"/>
      <c r="F22" s="1140"/>
      <c r="G22" s="1140"/>
      <c r="H22" s="1140"/>
      <c r="I22" s="1140"/>
      <c r="J22" s="1140"/>
      <c r="K22" s="1140"/>
      <c r="L22" s="1140"/>
      <c r="M22" s="1140"/>
      <c r="N22" s="1140"/>
      <c r="O22" s="1140"/>
      <c r="P22" s="1140"/>
      <c r="Q22" s="1140"/>
      <c r="R22" s="1140"/>
      <c r="S22" s="1141"/>
      <c r="T22" s="1607">
        <f>(T20+T21)*-1</f>
        <v>0</v>
      </c>
      <c r="U22" s="1608"/>
      <c r="V22" s="1608"/>
      <c r="W22" s="1608"/>
      <c r="X22" s="1608"/>
      <c r="Y22" s="1607">
        <f>(Y20+Y21)*-1</f>
        <v>0</v>
      </c>
      <c r="Z22" s="1608"/>
      <c r="AA22" s="1608"/>
      <c r="AB22" s="1608"/>
      <c r="AC22" s="1608"/>
      <c r="AD22" s="1607">
        <f>(AD20+AD21)*-1</f>
        <v>0</v>
      </c>
      <c r="AE22" s="1608"/>
      <c r="AF22" s="1608"/>
      <c r="AG22" s="1608"/>
      <c r="AH22" s="1608"/>
      <c r="AI22" s="1607">
        <f>(AI20+AI21)*-1</f>
        <v>0</v>
      </c>
      <c r="AJ22" s="1608"/>
      <c r="AK22" s="1608"/>
      <c r="AL22" s="1608"/>
      <c r="AM22" s="1608"/>
    </row>
    <row r="23" spans="1:39" ht="12.95" customHeight="1">
      <c r="B23" s="1139" t="s">
        <v>810</v>
      </c>
      <c r="C23" s="1140"/>
      <c r="D23" s="1140"/>
      <c r="E23" s="1140"/>
      <c r="F23" s="1140"/>
      <c r="G23" s="1140"/>
      <c r="H23" s="1140"/>
      <c r="I23" s="1140"/>
      <c r="J23" s="1140"/>
      <c r="K23" s="1140"/>
      <c r="L23" s="1140"/>
      <c r="M23" s="1140"/>
      <c r="N23" s="1140"/>
      <c r="O23" s="1140"/>
      <c r="P23" s="1140"/>
      <c r="Q23" s="1140"/>
      <c r="R23" s="1140"/>
      <c r="S23" s="1141"/>
      <c r="T23" s="1606">
        <f>T11+T22</f>
        <v>31570687.64919921</v>
      </c>
      <c r="U23" s="1128"/>
      <c r="V23" s="1128"/>
      <c r="W23" s="1128"/>
      <c r="X23" s="1128"/>
      <c r="Y23" s="1606">
        <f>Y11+Y22</f>
        <v>31570687.64919921</v>
      </c>
      <c r="Z23" s="1128"/>
      <c r="AA23" s="1128"/>
      <c r="AB23" s="1128"/>
      <c r="AC23" s="1128"/>
      <c r="AD23" s="1606">
        <f>AD11+AD22</f>
        <v>0</v>
      </c>
      <c r="AE23" s="1128"/>
      <c r="AF23" s="1128"/>
      <c r="AG23" s="1128"/>
      <c r="AH23" s="1128"/>
      <c r="AI23" s="1606">
        <f>AI11+AI22</f>
        <v>0</v>
      </c>
      <c r="AJ23" s="1128"/>
      <c r="AK23" s="1128"/>
      <c r="AL23" s="1128"/>
      <c r="AM23" s="1128"/>
    </row>
    <row r="24" spans="1:39" ht="12.95" customHeight="1">
      <c r="B24" s="1139" t="s">
        <v>1270</v>
      </c>
      <c r="C24" s="1140"/>
      <c r="D24" s="1140"/>
      <c r="E24" s="1140"/>
      <c r="F24" s="1140"/>
      <c r="G24" s="1140"/>
      <c r="H24" s="1140"/>
      <c r="I24" s="1140"/>
      <c r="J24" s="1140"/>
      <c r="K24" s="1140"/>
      <c r="L24" s="1140"/>
      <c r="M24" s="1140"/>
      <c r="N24" s="1140"/>
      <c r="O24" s="1140"/>
      <c r="P24" s="1140"/>
      <c r="Q24" s="1140"/>
      <c r="R24" s="1140"/>
      <c r="S24" s="1141"/>
      <c r="T24" s="1604">
        <f>Application!AD979</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2.95" customHeight="1">
      <c r="B25" s="1596" t="s">
        <v>1824</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2.95" customHeight="1">
      <c r="B26" s="1139" t="s">
        <v>811</v>
      </c>
      <c r="C26" s="1140"/>
      <c r="D26" s="1140"/>
      <c r="E26" s="1140"/>
      <c r="F26" s="1140"/>
      <c r="G26" s="1140"/>
      <c r="H26" s="1140"/>
      <c r="I26" s="1140"/>
      <c r="J26" s="1140"/>
      <c r="K26" s="1140"/>
      <c r="L26" s="1140"/>
      <c r="M26" s="1140"/>
      <c r="N26" s="1140"/>
      <c r="O26" s="1140"/>
      <c r="P26" s="1140"/>
      <c r="Q26" s="1140"/>
      <c r="R26" s="1140"/>
      <c r="S26" s="1141"/>
      <c r="T26" s="1196">
        <f>T23*T25</f>
        <v>31570687.64919921</v>
      </c>
      <c r="U26" s="1609"/>
      <c r="V26" s="1609"/>
      <c r="W26" s="1609"/>
      <c r="X26" s="1609"/>
      <c r="Y26" s="1196">
        <f>Y23*Y25</f>
        <v>31570687.64919921</v>
      </c>
      <c r="Z26" s="1609"/>
      <c r="AA26" s="1609"/>
      <c r="AB26" s="1609"/>
      <c r="AC26" s="1609"/>
      <c r="AD26" s="1196">
        <f>AD23*AD25</f>
        <v>0</v>
      </c>
      <c r="AE26" s="1609"/>
      <c r="AF26" s="1609"/>
      <c r="AG26" s="1609"/>
      <c r="AH26" s="1609"/>
      <c r="AI26" s="1196">
        <f>AI23*AI25</f>
        <v>0</v>
      </c>
      <c r="AJ26" s="1609"/>
      <c r="AK26" s="1609"/>
      <c r="AL26" s="1609"/>
      <c r="AM26" s="1609"/>
    </row>
    <row r="27" spans="1:39" ht="12.95" customHeight="1">
      <c r="A27" s="4"/>
      <c r="B27" s="1599" t="s">
        <v>920</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2.95" customHeight="1">
      <c r="A28" s="3"/>
      <c r="B28" s="1139" t="s">
        <v>884</v>
      </c>
      <c r="C28" s="1140"/>
      <c r="D28" s="1140"/>
      <c r="E28" s="1140"/>
      <c r="F28" s="1140"/>
      <c r="G28" s="1140"/>
      <c r="H28" s="1140"/>
      <c r="I28" s="1140"/>
      <c r="J28" s="1140"/>
      <c r="K28" s="1140"/>
      <c r="L28" s="1140"/>
      <c r="M28" s="1140"/>
      <c r="N28" s="1140"/>
      <c r="O28" s="1140"/>
      <c r="P28" s="1140"/>
      <c r="Q28" s="1140"/>
      <c r="R28" s="1140"/>
      <c r="S28" s="1141"/>
      <c r="T28" s="1196">
        <f>IF(ISERROR((T26*T27)),0,(T26*T27))</f>
        <v>31570687.64919921</v>
      </c>
      <c r="U28" s="1609"/>
      <c r="V28" s="1609"/>
      <c r="W28" s="1609"/>
      <c r="X28" s="1609"/>
      <c r="Y28" s="1196">
        <f>IF(ISERROR((Y26*Y27)),0,(Y26*Y27))</f>
        <v>31570687.64919921</v>
      </c>
      <c r="Z28" s="1609"/>
      <c r="AA28" s="1609"/>
      <c r="AB28" s="1609"/>
      <c r="AC28" s="1609"/>
      <c r="AD28" s="1196">
        <f>IF(ISERROR((AD26*AD27)),0,(AD26*AD27))</f>
        <v>0</v>
      </c>
      <c r="AE28" s="1609"/>
      <c r="AF28" s="1609"/>
      <c r="AG28" s="1609"/>
      <c r="AH28" s="1609"/>
      <c r="AI28" s="1196">
        <f>IF(ISERROR((AI26*AI27)),0,(AI26*AI27))</f>
        <v>0</v>
      </c>
      <c r="AJ28" s="1609"/>
      <c r="AK28" s="1609"/>
      <c r="AL28" s="1609"/>
      <c r="AM28" s="1609"/>
    </row>
    <row r="29" spans="1:39" ht="12.95" customHeight="1">
      <c r="B29" s="1139" t="s">
        <v>659</v>
      </c>
      <c r="C29" s="1140"/>
      <c r="D29" s="1140"/>
      <c r="E29" s="1140"/>
      <c r="F29" s="1140"/>
      <c r="G29" s="1140"/>
      <c r="H29" s="1140"/>
      <c r="I29" s="1140"/>
      <c r="J29" s="1140"/>
      <c r="K29" s="1140"/>
      <c r="L29" s="1140"/>
      <c r="M29" s="1140"/>
      <c r="N29" s="1140"/>
      <c r="O29" s="1140"/>
      <c r="P29" s="1140"/>
      <c r="Q29" s="1140"/>
      <c r="R29" s="1140"/>
      <c r="S29" s="1141"/>
      <c r="T29" s="1604">
        <f>T28+Y28+AD28+AI28</f>
        <v>63141375.29839842</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3" t="s">
        <v>1679</v>
      </c>
      <c r="Z35" s="1613"/>
      <c r="AA35" s="1613"/>
      <c r="AB35" s="1613"/>
      <c r="AC35" s="1613"/>
      <c r="AD35" s="1185" t="s">
        <v>45</v>
      </c>
      <c r="AE35" s="1185"/>
      <c r="AF35" s="1185"/>
      <c r="AG35" s="1185"/>
      <c r="AH35" s="1185"/>
    </row>
    <row r="36" spans="1:40" ht="12.95" customHeight="1">
      <c r="B36" s="204"/>
      <c r="X36" s="71"/>
      <c r="Y36" s="1613"/>
      <c r="Z36" s="1613"/>
      <c r="AA36" s="1613"/>
      <c r="AB36" s="1613"/>
      <c r="AC36" s="1613"/>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185"/>
      <c r="AE37" s="1185"/>
      <c r="AF37" s="1185"/>
      <c r="AG37" s="1185"/>
      <c r="AH37" s="1185"/>
    </row>
    <row r="38" spans="1:40" ht="12.95" customHeight="1">
      <c r="A38" s="3"/>
      <c r="B38" s="1139" t="s">
        <v>884</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28">
        <f>IF(T24&gt;=(T23+Y23+AD23+AI23),T28+Y28,0)</f>
        <v>0</v>
      </c>
      <c r="Z38" s="1128"/>
      <c r="AA38" s="1128"/>
      <c r="AB38" s="1128"/>
      <c r="AC38" s="1128"/>
      <c r="AD38" s="1128">
        <f>IF(T24&gt;=(T23+Y23+AD23+AI23),AD28+AI28,0)</f>
        <v>0</v>
      </c>
      <c r="AE38" s="1128"/>
      <c r="AF38" s="1128"/>
      <c r="AG38" s="1128"/>
      <c r="AH38" s="1128"/>
    </row>
    <row r="39" spans="1:40" ht="12.95" customHeight="1">
      <c r="B39" s="1139" t="s">
        <v>802</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962">
        <v>0.09</v>
      </c>
      <c r="Z39" s="1962"/>
      <c r="AA39" s="1962"/>
      <c r="AB39" s="1962"/>
      <c r="AC39" s="1962"/>
      <c r="AD39" s="1962">
        <f>'Basis &amp; Credits'!AD39:AH39</f>
        <v>0.04</v>
      </c>
      <c r="AE39" s="1962"/>
      <c r="AF39" s="1962"/>
      <c r="AG39" s="1962"/>
      <c r="AH39" s="1962"/>
    </row>
    <row r="40" spans="1:40" ht="12.95" customHeight="1">
      <c r="A40" s="3"/>
      <c r="B40" s="1139" t="s">
        <v>25</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28">
        <f>ROUND(Y38*Y39,0)</f>
        <v>0</v>
      </c>
      <c r="Z40" s="1128"/>
      <c r="AA40" s="1128"/>
      <c r="AB40" s="1128"/>
      <c r="AC40" s="1128"/>
      <c r="AD40" s="1606">
        <f>ROUND(AD38*AD39,0)</f>
        <v>0</v>
      </c>
      <c r="AE40" s="1128"/>
      <c r="AF40" s="1128"/>
      <c r="AG40" s="1128"/>
      <c r="AH40" s="1128"/>
    </row>
    <row r="41" spans="1:40" ht="12.95" customHeight="1">
      <c r="B41" s="1139" t="s">
        <v>653</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604">
        <f>IF((Y40+AD40)&gt;2500000,2500000,Y40+AD40)</f>
        <v>0</v>
      </c>
      <c r="Z41" s="1605"/>
      <c r="AA41" s="1605"/>
      <c r="AB41" s="1605"/>
      <c r="AC41" s="1605"/>
      <c r="AD41" s="1605"/>
      <c r="AE41" s="1605"/>
      <c r="AF41" s="1605"/>
      <c r="AG41" s="1605"/>
      <c r="AH41" s="1606"/>
    </row>
    <row r="42" spans="1:40" ht="12.95" customHeight="1">
      <c r="A42" s="3"/>
      <c r="B42" s="1638" t="s">
        <v>1210</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6">
        <f>'Sources and Uses Budget'!B104-'Sources and Uses Budget'!$B$15</f>
        <v>38811963.709028274</v>
      </c>
      <c r="AC46" s="1157"/>
      <c r="AD46" s="1157"/>
      <c r="AE46" s="1157"/>
      <c r="AF46" s="1158"/>
    </row>
    <row r="47" spans="1:40" ht="12.95" customHeight="1">
      <c r="D47" s="3" t="s">
        <v>878</v>
      </c>
      <c r="AB47" s="1156">
        <f>Application!AG630-MIN('Sources and Uses Budget'!B15,Application!AG385)</f>
        <v>0</v>
      </c>
      <c r="AC47" s="1157"/>
      <c r="AD47" s="1157"/>
      <c r="AE47" s="1157"/>
      <c r="AF47" s="1158"/>
    </row>
    <row r="48" spans="1:40" ht="12.95" customHeight="1">
      <c r="D48" s="3" t="s">
        <v>403</v>
      </c>
      <c r="AB48" s="1156">
        <f>AB46-AB47</f>
        <v>38811963.709028274</v>
      </c>
      <c r="AC48" s="1157"/>
      <c r="AD48" s="1157"/>
      <c r="AE48" s="1157"/>
      <c r="AF48" s="1158"/>
    </row>
    <row r="49" spans="1:40" ht="12.95" customHeight="1">
      <c r="D49" s="3" t="s">
        <v>913</v>
      </c>
      <c r="AA49" s="34"/>
      <c r="AB49" s="1633"/>
      <c r="AC49" s="1634"/>
      <c r="AD49" s="1634"/>
      <c r="AE49" s="1634"/>
      <c r="AF49" s="1635"/>
    </row>
    <row r="50" spans="1:40" s="324" customFormat="1" ht="12.95" customHeight="1">
      <c r="A50"/>
      <c r="B50"/>
      <c r="C50"/>
      <c r="D50"/>
      <c r="E50" s="1642" t="s">
        <v>1416</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8"/>
      <c r="AB50" s="358"/>
      <c r="AC50" s="358"/>
      <c r="AD50" s="358"/>
      <c r="AE50" s="358"/>
      <c r="AF50" s="358"/>
      <c r="AG50"/>
      <c r="AH50"/>
      <c r="AI50"/>
      <c r="AJ50"/>
      <c r="AK50"/>
      <c r="AL50"/>
      <c r="AM50"/>
      <c r="AN50"/>
    </row>
    <row r="51" spans="1:40" s="324"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0</v>
      </c>
      <c r="AC53" s="1157"/>
      <c r="AD53" s="1157"/>
      <c r="AE53" s="1157"/>
      <c r="AF53" s="1158"/>
    </row>
    <row r="54" spans="1:40" ht="12.95" customHeight="1">
      <c r="D54" s="3" t="s">
        <v>592</v>
      </c>
      <c r="AB54" s="1156">
        <f>(AB53/10)</f>
        <v>0</v>
      </c>
      <c r="AC54" s="1157"/>
      <c r="AD54" s="1157"/>
      <c r="AE54" s="1157"/>
      <c r="AF54" s="1158"/>
    </row>
    <row r="55" spans="1:40" ht="12.95" customHeight="1">
      <c r="D55" s="3" t="s">
        <v>362</v>
      </c>
      <c r="AB55" s="1639">
        <f>(IF((Y41&lt;AB54),Y41,AB54))</f>
        <v>0</v>
      </c>
      <c r="AC55" s="1640"/>
      <c r="AD55" s="1640"/>
      <c r="AE55" s="1640"/>
      <c r="AF55" s="1641"/>
    </row>
    <row r="56" spans="1:40" ht="12.95" customHeight="1">
      <c r="D56" s="3" t="s">
        <v>115</v>
      </c>
      <c r="AB56" s="1156">
        <f>ROUND((10*AB55*AB49),0)</f>
        <v>0</v>
      </c>
      <c r="AC56" s="1157"/>
      <c r="AD56" s="1157"/>
      <c r="AE56" s="1157"/>
      <c r="AF56" s="1158"/>
    </row>
    <row r="57" spans="1:40" ht="12.95" customHeight="1">
      <c r="D57" s="3"/>
      <c r="AB57" s="276"/>
      <c r="AC57" s="276"/>
      <c r="AD57" s="276"/>
      <c r="AE57" s="276"/>
      <c r="AF57" s="276"/>
    </row>
    <row r="58" spans="1:40" ht="12.95" customHeight="1">
      <c r="D58" s="3" t="s">
        <v>114</v>
      </c>
      <c r="AB58" s="1174">
        <f>AB48-AB56</f>
        <v>38811963.709028274</v>
      </c>
      <c r="AC58" s="1174"/>
      <c r="AD58" s="1174"/>
      <c r="AE58" s="1174"/>
      <c r="AF58" s="117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1827</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11"/>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row>
    <row r="62" spans="1:40" ht="12.95" customHeight="1">
      <c r="A62" s="3" t="s">
        <v>130</v>
      </c>
      <c r="C62" s="3" t="s">
        <v>540</v>
      </c>
      <c r="Y62" s="1647" t="s">
        <v>316</v>
      </c>
      <c r="Z62" s="1647"/>
      <c r="AA62" s="1647"/>
      <c r="AB62" s="1647"/>
      <c r="AC62" s="1647"/>
      <c r="AD62" s="1647" t="s">
        <v>45</v>
      </c>
      <c r="AE62" s="1647"/>
      <c r="AF62" s="1647"/>
      <c r="AG62" s="1647"/>
      <c r="AH62" s="1647"/>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31570687.64919921</v>
      </c>
      <c r="Z63" s="1636"/>
      <c r="AA63" s="1636"/>
      <c r="AB63" s="1636"/>
      <c r="AC63" s="1636"/>
      <c r="AD63" s="1128">
        <f>AI28</f>
        <v>0</v>
      </c>
      <c r="AE63" s="1636"/>
      <c r="AF63" s="1636"/>
      <c r="AG63" s="1636"/>
      <c r="AH63" s="1636"/>
    </row>
    <row r="64" spans="1:40" ht="12.95" customHeight="1">
      <c r="C64" s="3"/>
      <c r="E64" s="1646" t="s">
        <v>1342</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0.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2">
        <v>0.3</v>
      </c>
      <c r="Z66" s="1632"/>
      <c r="AA66" s="1632"/>
      <c r="AB66" s="1632"/>
      <c r="AC66" s="1632"/>
      <c r="AD66" s="1632">
        <v>0.13</v>
      </c>
      <c r="AE66" s="1632"/>
      <c r="AF66" s="1632"/>
      <c r="AG66" s="1632"/>
      <c r="AH66" s="1632"/>
    </row>
    <row r="67" spans="1:34" ht="12.95" customHeight="1">
      <c r="C67" s="3"/>
      <c r="D67" s="3" t="s">
        <v>985</v>
      </c>
      <c r="Y67" s="1128">
        <f>ROUND(Y63*Y66,0)</f>
        <v>9471206</v>
      </c>
      <c r="Z67" s="1636"/>
      <c r="AA67" s="1636"/>
      <c r="AB67" s="1636"/>
      <c r="AC67" s="1636"/>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33"/>
      <c r="AC70" s="1634"/>
      <c r="AD70" s="1634"/>
      <c r="AE70" s="1634"/>
      <c r="AF70" s="1635"/>
    </row>
    <row r="71" spans="1:34" ht="12.95" customHeight="1">
      <c r="A71" s="3"/>
      <c r="C71" s="3"/>
      <c r="D71" s="3"/>
      <c r="E71" s="1637" t="s">
        <v>1822</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2.9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2.9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9">
        <f>ROUND(IF(ISERROR((AB58/AB70)),0,(AB58/AB70)),0)</f>
        <v>0</v>
      </c>
      <c r="AC75" s="1519"/>
      <c r="AD75" s="1519"/>
      <c r="AE75" s="1519"/>
      <c r="AF75" s="1519"/>
    </row>
    <row r="76" spans="1:34" ht="12.95" customHeight="1">
      <c r="C76" s="3"/>
      <c r="D76" s="3" t="s">
        <v>113</v>
      </c>
      <c r="AB76" s="1536">
        <f>IF((Y67+AD67&lt;AB75),Y67+AD67,AB75)</f>
        <v>0</v>
      </c>
      <c r="AC76" s="1537"/>
      <c r="AD76" s="1537"/>
      <c r="AE76" s="1537"/>
      <c r="AF76" s="1538"/>
    </row>
    <row r="77" spans="1:34" ht="12.95" customHeight="1">
      <c r="C77" s="3"/>
      <c r="D77" s="3" t="s">
        <v>986</v>
      </c>
      <c r="AB77" s="1631">
        <f>AB76*AB70</f>
        <v>0</v>
      </c>
      <c r="AC77" s="1631"/>
      <c r="AD77" s="1631"/>
      <c r="AE77" s="1631"/>
      <c r="AF77" s="1631"/>
    </row>
    <row r="78" spans="1:34" ht="12.95" customHeight="1">
      <c r="C78" s="3"/>
      <c r="D78" s="3"/>
      <c r="AB78" s="613"/>
      <c r="AC78" s="613"/>
      <c r="AD78" s="613"/>
      <c r="AE78" s="613"/>
      <c r="AF78" s="613"/>
    </row>
    <row r="79" spans="1:34" ht="12.95" customHeight="1">
      <c r="D79" s="3" t="s">
        <v>114</v>
      </c>
      <c r="AB79" s="1174">
        <f>AB48-(AB56+AB77)</f>
        <v>38811963.709028274</v>
      </c>
      <c r="AC79" s="1174"/>
      <c r="AD79" s="1174"/>
      <c r="AE79" s="1174"/>
      <c r="AF79" s="1174"/>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82" workbookViewId="0">
      <selection activeCell="F23" sqref="F23"/>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5726000</v>
      </c>
      <c r="C5" s="330">
        <f>'Sources and Uses Budget'!C4</f>
        <v>5726000</v>
      </c>
      <c r="D5" s="330">
        <f>'Sources and Uses Budget'!C4</f>
        <v>5726000</v>
      </c>
      <c r="E5" s="332">
        <f>C5-B5</f>
        <v>0</v>
      </c>
      <c r="F5" s="331"/>
      <c r="G5" s="331"/>
    </row>
    <row r="6" spans="1:7" s="583" customFormat="1" ht="12.75">
      <c r="A6" s="904" t="s">
        <v>1001</v>
      </c>
      <c r="B6" s="330">
        <f>'Sources and Uses Budget'!C5</f>
        <v>25000</v>
      </c>
      <c r="C6" s="330">
        <f>'Sources and Uses Budget'!C5</f>
        <v>25000</v>
      </c>
      <c r="D6" s="330">
        <f>'Sources and Uses Budget'!C5</f>
        <v>25000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5751000</v>
      </c>
      <c r="C9" s="332">
        <f>SUM(C5:C8)</f>
        <v>5751000</v>
      </c>
      <c r="D9" s="332">
        <f>SUM(D5:D8)</f>
        <v>5751000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200000</v>
      </c>
      <c r="C11" s="330">
        <f>'Sources and Uses Budget'!C10</f>
        <v>200000</v>
      </c>
      <c r="D11" s="330">
        <f>'Sources and Uses Budget'!C10</f>
        <v>200000</v>
      </c>
      <c r="E11" s="332">
        <f t="shared" si="0"/>
        <v>0</v>
      </c>
      <c r="F11" s="331"/>
      <c r="G11" s="331"/>
    </row>
    <row r="12" spans="1:7" s="583" customFormat="1" ht="12.75">
      <c r="A12" s="905" t="s">
        <v>617</v>
      </c>
      <c r="B12" s="332">
        <f>SUM(B10:B11)</f>
        <v>200000</v>
      </c>
      <c r="C12" s="332">
        <f>SUM(C10:C11)</f>
        <v>200000</v>
      </c>
      <c r="D12" s="332">
        <f>SUM(D10:D11)</f>
        <v>200000</v>
      </c>
      <c r="E12" s="332">
        <f t="shared" si="0"/>
        <v>0</v>
      </c>
      <c r="F12" s="331"/>
      <c r="G12" s="331"/>
    </row>
    <row r="13" spans="1:7" s="583" customFormat="1" ht="12.75">
      <c r="A13" s="905" t="s">
        <v>747</v>
      </c>
      <c r="B13" s="332">
        <f>SUM(B9+B12)</f>
        <v>5951000</v>
      </c>
      <c r="C13" s="332">
        <f>SUM(C9+C12)</f>
        <v>5951000</v>
      </c>
      <c r="D13" s="332">
        <f>SUM(D9+D12)</f>
        <v>5951000</v>
      </c>
      <c r="E13" s="332">
        <f t="shared" si="0"/>
        <v>0</v>
      </c>
      <c r="F13" s="331"/>
      <c r="G13" s="331"/>
    </row>
    <row r="14" spans="1:7" s="583" customFormat="1" ht="12.75">
      <c r="A14" s="906" t="s">
        <v>1157</v>
      </c>
      <c r="B14" s="330">
        <f>'Sources and Uses Budget'!C13</f>
        <v>355444.44444444397</v>
      </c>
      <c r="C14" s="330">
        <f>'Sources and Uses Budget'!C13</f>
        <v>355444.44444444397</v>
      </c>
      <c r="D14" s="330">
        <f>'Sources and Uses Budget'!C13</f>
        <v>355444.44444444397</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0</v>
      </c>
      <c r="C30" s="330">
        <f>'Sources and Uses Budget'!C29</f>
        <v>0</v>
      </c>
      <c r="D30" s="330">
        <f>'Sources and Uses Budget'!C29</f>
        <v>0</v>
      </c>
      <c r="E30" s="332">
        <f t="shared" si="0"/>
        <v>0</v>
      </c>
      <c r="F30" s="331"/>
      <c r="G30" s="331"/>
    </row>
    <row r="31" spans="1:7" s="583" customFormat="1" ht="12.75">
      <c r="A31" s="239" t="s">
        <v>955</v>
      </c>
      <c r="B31" s="330">
        <f>'Sources and Uses Budget'!C30</f>
        <v>18560710.955632702</v>
      </c>
      <c r="C31" s="330">
        <f>'Sources and Uses Budget'!C30</f>
        <v>18560710.955632702</v>
      </c>
      <c r="D31" s="330">
        <f>'Sources and Uses Budget'!C30</f>
        <v>18560710.955632702</v>
      </c>
      <c r="E31" s="332">
        <f t="shared" si="0"/>
        <v>0</v>
      </c>
      <c r="F31" s="331"/>
      <c r="G31" s="331"/>
    </row>
    <row r="32" spans="1:7" s="583" customFormat="1" ht="12.75">
      <c r="A32" s="239" t="s">
        <v>956</v>
      </c>
      <c r="B32" s="330">
        <f>'Sources and Uses Budget'!C31</f>
        <v>1408429.49308162</v>
      </c>
      <c r="C32" s="330">
        <f>'Sources and Uses Budget'!C31</f>
        <v>1408429.49308162</v>
      </c>
      <c r="D32" s="330">
        <f>'Sources and Uses Budget'!C31</f>
        <v>1408429.49308162</v>
      </c>
      <c r="E32" s="332">
        <f t="shared" si="0"/>
        <v>0</v>
      </c>
      <c r="F32" s="331"/>
      <c r="G32" s="331"/>
    </row>
    <row r="33" spans="1:7" s="583" customFormat="1" ht="12.75">
      <c r="A33" s="239" t="s">
        <v>957</v>
      </c>
      <c r="B33" s="330">
        <f>'Sources and Uses Budget'!C32</f>
        <v>480648.36858344998</v>
      </c>
      <c r="C33" s="330">
        <f>'Sources and Uses Budget'!C32</f>
        <v>480648.36858344998</v>
      </c>
      <c r="D33" s="330">
        <f>'Sources and Uses Budget'!C32</f>
        <v>480648.36858344998</v>
      </c>
      <c r="E33" s="332">
        <f t="shared" si="0"/>
        <v>0</v>
      </c>
      <c r="F33" s="331"/>
      <c r="G33" s="331"/>
    </row>
    <row r="34" spans="1:7" s="583" customFormat="1" ht="12.75">
      <c r="A34" s="239" t="s">
        <v>958</v>
      </c>
      <c r="B34" s="330">
        <f>'Sources and Uses Budget'!C33</f>
        <v>480648.36858344998</v>
      </c>
      <c r="C34" s="330">
        <f>'Sources and Uses Budget'!C33</f>
        <v>480648.36858344998</v>
      </c>
      <c r="D34" s="330">
        <f>'Sources and Uses Budget'!C33</f>
        <v>480648.36858344998</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130924.69734581</v>
      </c>
      <c r="C36" s="330">
        <f>'Sources and Uses Budget'!C35</f>
        <v>130924.69734581</v>
      </c>
      <c r="D36" s="330">
        <f>'Sources and Uses Budget'!C35</f>
        <v>130924.69734581</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264789.194154397</v>
      </c>
      <c r="C38" s="330">
        <f>'Sources and Uses Budget'!C37</f>
        <v>264789.194154397</v>
      </c>
      <c r="D38" s="330">
        <f>'Sources and Uses Budget'!C37</f>
        <v>264789.194154397</v>
      </c>
      <c r="E38" s="332">
        <f>C38-B38</f>
        <v>0</v>
      </c>
      <c r="F38" s="331"/>
      <c r="G38" s="331"/>
    </row>
    <row r="39" spans="1:7" s="583" customFormat="1" ht="12.75">
      <c r="A39" s="907" t="s">
        <v>963</v>
      </c>
      <c r="B39" s="914">
        <f>'Sources and Uses Budget'!C38</f>
        <v>21326151.077381425</v>
      </c>
      <c r="C39" s="914">
        <f>'Sources and Uses Budget'!C38</f>
        <v>21326151.077381425</v>
      </c>
      <c r="D39" s="914">
        <f>'Sources and Uses Budget'!C38</f>
        <v>21326151.077381425</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600000</v>
      </c>
      <c r="C41" s="330">
        <f>'Sources and Uses Budget'!C40</f>
        <v>600000</v>
      </c>
      <c r="D41" s="330">
        <f>'Sources and Uses Budget'!C40</f>
        <v>600000</v>
      </c>
      <c r="E41" s="332">
        <f>C41-B41</f>
        <v>0</v>
      </c>
      <c r="F41" s="331"/>
      <c r="G41" s="331"/>
    </row>
    <row r="42" spans="1:7" s="583" customFormat="1" ht="12.75">
      <c r="A42" s="908" t="s">
        <v>966</v>
      </c>
      <c r="B42" s="330">
        <f>'Sources and Uses Budget'!C41</f>
        <v>100000</v>
      </c>
      <c r="C42" s="330">
        <f>'Sources and Uses Budget'!C41</f>
        <v>100000</v>
      </c>
      <c r="D42" s="330">
        <f>'Sources and Uses Budget'!C41</f>
        <v>100000</v>
      </c>
      <c r="E42" s="332">
        <f>C42-B42</f>
        <v>0</v>
      </c>
      <c r="F42" s="331"/>
      <c r="G42" s="331"/>
    </row>
    <row r="43" spans="1:7" s="583" customFormat="1" ht="12" customHeight="1">
      <c r="A43" s="907" t="s">
        <v>967</v>
      </c>
      <c r="B43" s="914">
        <f>'Sources and Uses Budget'!C42</f>
        <v>700000</v>
      </c>
      <c r="C43" s="914">
        <f>'Sources and Uses Budget'!C42</f>
        <v>700000</v>
      </c>
      <c r="D43" s="914">
        <f>'Sources and Uses Budget'!C42</f>
        <v>700000</v>
      </c>
      <c r="E43" s="332">
        <f>C43-B43</f>
        <v>0</v>
      </c>
      <c r="F43" s="331"/>
      <c r="G43" s="331"/>
    </row>
    <row r="44" spans="1:7" s="583" customFormat="1" ht="12.75">
      <c r="A44" s="907" t="s">
        <v>968</v>
      </c>
      <c r="B44" s="330">
        <f>'Sources and Uses Budget'!C43</f>
        <v>837905.3</v>
      </c>
      <c r="C44" s="330">
        <f>'Sources and Uses Budget'!C43</f>
        <v>837905.3</v>
      </c>
      <c r="D44" s="330">
        <f>'Sources and Uses Budget'!C43</f>
        <v>837905.3</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2086400</v>
      </c>
      <c r="C46" s="330">
        <f>'Sources and Uses Budget'!C45</f>
        <v>2086400</v>
      </c>
      <c r="D46" s="330">
        <f>'Sources and Uses Budget'!C45</f>
        <v>2086400</v>
      </c>
      <c r="E46" s="332">
        <f t="shared" si="0"/>
        <v>0</v>
      </c>
      <c r="F46" s="331"/>
      <c r="G46" s="331"/>
    </row>
    <row r="47" spans="1:7" s="583" customFormat="1" ht="12.75">
      <c r="A47" s="239" t="s">
        <v>971</v>
      </c>
      <c r="B47" s="330">
        <f>'Sources and Uses Budget'!C46</f>
        <v>240000</v>
      </c>
      <c r="C47" s="330">
        <f>'Sources and Uses Budget'!C46</f>
        <v>240000</v>
      </c>
      <c r="D47" s="330">
        <f>'Sources and Uses Budget'!C46</f>
        <v>240000</v>
      </c>
      <c r="E47" s="332">
        <f t="shared" si="0"/>
        <v>0</v>
      </c>
      <c r="F47" s="331"/>
      <c r="G47" s="331"/>
    </row>
    <row r="48" spans="1:7" s="583" customFormat="1" ht="12.75">
      <c r="A48" s="239" t="s">
        <v>972</v>
      </c>
      <c r="B48" s="330">
        <f>'Sources and Uses Budget'!C47</f>
        <v>85000</v>
      </c>
      <c r="C48" s="330">
        <f>'Sources and Uses Budget'!C47</f>
        <v>85000</v>
      </c>
      <c r="D48" s="330">
        <f>'Sources and Uses Budget'!C47</f>
        <v>85000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91000</v>
      </c>
      <c r="C50" s="330">
        <f>'Sources and Uses Budget'!C49</f>
        <v>91000</v>
      </c>
      <c r="D50" s="330">
        <f>'Sources and Uses Budget'!C49</f>
        <v>91000</v>
      </c>
      <c r="E50" s="332">
        <f t="shared" si="0"/>
        <v>0</v>
      </c>
      <c r="F50" s="331"/>
      <c r="G50" s="331"/>
    </row>
    <row r="51" spans="1:7" s="583" customFormat="1" ht="12.75">
      <c r="A51" s="239" t="s">
        <v>974</v>
      </c>
      <c r="B51" s="330">
        <f>'Sources and Uses Budget'!C50</f>
        <v>25000</v>
      </c>
      <c r="C51" s="330">
        <f>'Sources and Uses Budget'!C50</f>
        <v>25000</v>
      </c>
      <c r="D51" s="330">
        <f>'Sources and Uses Budget'!C50</f>
        <v>25000</v>
      </c>
      <c r="E51" s="332">
        <f t="shared" si="0"/>
        <v>0</v>
      </c>
      <c r="F51" s="331"/>
      <c r="G51" s="331"/>
    </row>
    <row r="52" spans="1:7" s="584" customFormat="1" ht="12.75">
      <c r="A52" s="239" t="s">
        <v>975</v>
      </c>
      <c r="B52" s="330">
        <f>'Sources and Uses Budget'!C51</f>
        <v>650000</v>
      </c>
      <c r="C52" s="330">
        <f>'Sources and Uses Budget'!C51</f>
        <v>650000</v>
      </c>
      <c r="D52" s="330">
        <f>'Sources and Uses Budget'!C51</f>
        <v>650000</v>
      </c>
      <c r="E52" s="332">
        <f t="shared" si="0"/>
        <v>0</v>
      </c>
      <c r="F52" s="331"/>
      <c r="G52" s="331"/>
    </row>
    <row r="53" spans="1:7" s="583" customFormat="1" ht="12.75">
      <c r="A53" s="246" t="s">
        <v>564</v>
      </c>
      <c r="B53" s="330">
        <f>'Sources and Uses Budget'!C52</f>
        <v>0</v>
      </c>
      <c r="C53" s="330">
        <f>'Sources and Uses Budget'!C52</f>
        <v>0</v>
      </c>
      <c r="D53" s="330">
        <f>'Sources and Uses Budget'!C52</f>
        <v>0</v>
      </c>
      <c r="E53" s="332">
        <f t="shared" si="0"/>
        <v>0</v>
      </c>
      <c r="F53" s="331"/>
      <c r="G53" s="331"/>
    </row>
    <row r="54" spans="1:7" s="583" customFormat="1" ht="12.75">
      <c r="A54" s="243" t="s">
        <v>977</v>
      </c>
      <c r="B54" s="914">
        <f>'Sources and Uses Budget'!C53</f>
        <v>3177400</v>
      </c>
      <c r="C54" s="914">
        <f>'Sources and Uses Budget'!C53</f>
        <v>3177400</v>
      </c>
      <c r="D54" s="914">
        <f>'Sources and Uses Budget'!C53</f>
        <v>3177400</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35000</v>
      </c>
      <c r="C57" s="330">
        <f>'Sources and Uses Budget'!C56</f>
        <v>35000</v>
      </c>
      <c r="D57" s="330">
        <f>'Sources and Uses Budget'!C56</f>
        <v>35000</v>
      </c>
      <c r="E57" s="332">
        <f t="shared" si="0"/>
        <v>0</v>
      </c>
      <c r="F57" s="331"/>
      <c r="G57" s="331"/>
    </row>
    <row r="58" spans="1:7" s="583" customFormat="1" ht="12.75">
      <c r="A58" s="908" t="s">
        <v>976</v>
      </c>
      <c r="B58" s="330">
        <f>'Sources and Uses Budget'!C57</f>
        <v>33500</v>
      </c>
      <c r="C58" s="330">
        <f>'Sources and Uses Budget'!C57</f>
        <v>33500</v>
      </c>
      <c r="D58" s="330">
        <f>'Sources and Uses Budget'!C57</f>
        <v>33500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497333.33333333302</v>
      </c>
      <c r="C61" s="330">
        <f>'Sources and Uses Budget'!C60</f>
        <v>497333.33333333302</v>
      </c>
      <c r="D61" s="330">
        <f>'Sources and Uses Budget'!C60</f>
        <v>497333.33333333302</v>
      </c>
      <c r="E61" s="332">
        <f t="shared" si="0"/>
        <v>0</v>
      </c>
      <c r="F61" s="331"/>
      <c r="G61" s="331"/>
    </row>
    <row r="62" spans="1:7" s="583" customFormat="1" ht="12.75">
      <c r="A62" s="907" t="s">
        <v>529</v>
      </c>
      <c r="B62" s="914">
        <f>'Sources and Uses Budget'!C61</f>
        <v>565833.33333333302</v>
      </c>
      <c r="C62" s="914">
        <f>'Sources and Uses Budget'!C61</f>
        <v>565833.33333333302</v>
      </c>
      <c r="D62" s="914">
        <f>'Sources and Uses Budget'!C61</f>
        <v>565833.33333333302</v>
      </c>
      <c r="E62" s="332">
        <f t="shared" si="0"/>
        <v>0</v>
      </c>
      <c r="F62" s="331"/>
      <c r="G62" s="331"/>
    </row>
    <row r="63" spans="1:7" s="583" customFormat="1" ht="12.75">
      <c r="A63" s="910" t="s">
        <v>530</v>
      </c>
      <c r="B63" s="914">
        <f>'Sources and Uses Budget'!C62</f>
        <v>32913734.155159201</v>
      </c>
      <c r="C63" s="914">
        <f>'Sources and Uses Budget'!C62</f>
        <v>32913734.155159201</v>
      </c>
      <c r="D63" s="914">
        <f>'Sources and Uses Budget'!C62</f>
        <v>32913734.155159201</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90000</v>
      </c>
      <c r="C65" s="330">
        <f>'Sources and Uses Budget'!C64</f>
        <v>90000</v>
      </c>
      <c r="D65" s="330">
        <f>'Sources and Uses Budget'!C64</f>
        <v>90000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125000</v>
      </c>
      <c r="C69" s="330">
        <f>'Sources and Uses Budget'!C68</f>
        <v>125000</v>
      </c>
      <c r="D69" s="330">
        <f>'Sources and Uses Budget'!C68</f>
        <v>125000</v>
      </c>
      <c r="E69" s="332">
        <f t="shared" si="0"/>
        <v>0</v>
      </c>
      <c r="F69" s="331"/>
      <c r="G69" s="331"/>
    </row>
    <row r="70" spans="1:7" s="583" customFormat="1" ht="12.75">
      <c r="A70" s="243" t="s">
        <v>2057</v>
      </c>
      <c r="B70" s="914">
        <f>'Sources and Uses Budget'!C69</f>
        <v>215000</v>
      </c>
      <c r="C70" s="914">
        <f>'Sources and Uses Budget'!C69</f>
        <v>215000</v>
      </c>
      <c r="D70" s="914">
        <f>'Sources and Uses Budget'!C69</f>
        <v>215000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208112</v>
      </c>
      <c r="C75" s="330">
        <f>'Sources and Uses Budget'!C74</f>
        <v>208112</v>
      </c>
      <c r="D75" s="330">
        <f>'Sources and Uses Budget'!C74</f>
        <v>208112</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208112</v>
      </c>
      <c r="C77" s="914">
        <f>'Sources and Uses Budget'!C76</f>
        <v>208112</v>
      </c>
      <c r="D77" s="914">
        <f>'Sources and Uses Budget'!C76</f>
        <v>208112</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1076307.55386907</v>
      </c>
      <c r="C79" s="330">
        <f>'Sources and Uses Budget'!C78</f>
        <v>1076307.55386907</v>
      </c>
      <c r="D79" s="330">
        <f>'Sources and Uses Budget'!C78</f>
        <v>1076307.55386907</v>
      </c>
      <c r="E79" s="332">
        <f t="shared" ref="E79:E105" si="2">C79-B79</f>
        <v>0</v>
      </c>
      <c r="F79" s="331"/>
      <c r="G79" s="331"/>
    </row>
    <row r="80" spans="1:7" s="583" customFormat="1" ht="12.75">
      <c r="A80" s="908" t="s">
        <v>569</v>
      </c>
      <c r="B80" s="330">
        <f>'Sources and Uses Budget'!C79</f>
        <v>250000</v>
      </c>
      <c r="C80" s="330">
        <f>'Sources and Uses Budget'!C79</f>
        <v>250000</v>
      </c>
      <c r="D80" s="330">
        <f>'Sources and Uses Budget'!C79</f>
        <v>250000</v>
      </c>
      <c r="E80" s="332">
        <f t="shared" si="2"/>
        <v>0</v>
      </c>
      <c r="F80" s="331"/>
      <c r="G80" s="331"/>
    </row>
    <row r="81" spans="1:7" s="583" customFormat="1" ht="12.75">
      <c r="A81" s="907" t="s">
        <v>1819</v>
      </c>
      <c r="B81" s="914">
        <f>'Sources and Uses Budget'!C80</f>
        <v>1326307.55386907</v>
      </c>
      <c r="C81" s="914">
        <f>'Sources and Uses Budget'!C80</f>
        <v>1326307.55386907</v>
      </c>
      <c r="D81" s="914">
        <f>'Sources and Uses Budget'!C80</f>
        <v>1326307.55386907</v>
      </c>
      <c r="E81" s="332">
        <f t="shared" si="2"/>
        <v>0</v>
      </c>
      <c r="F81" s="331"/>
      <c r="G81" s="331"/>
    </row>
    <row r="82" spans="1:7" s="583" customFormat="1" ht="12.75">
      <c r="A82" s="903" t="s">
        <v>546</v>
      </c>
      <c r="B82" s="328"/>
      <c r="C82" s="328"/>
      <c r="D82" s="328"/>
      <c r="E82" s="328"/>
      <c r="F82" s="328"/>
      <c r="G82" s="328"/>
    </row>
    <row r="83" spans="1:7" s="583" customFormat="1" ht="12.75">
      <c r="A83" s="239" t="s">
        <v>2240</v>
      </c>
      <c r="B83" s="330">
        <f>'Sources and Uses Budget'!C82</f>
        <v>127010</v>
      </c>
      <c r="C83" s="330">
        <f>'Sources and Uses Budget'!C82</f>
        <v>127010</v>
      </c>
      <c r="D83" s="330">
        <f>'Sources and Uses Budget'!C82</f>
        <v>127010</v>
      </c>
      <c r="E83" s="332">
        <f t="shared" si="2"/>
        <v>0</v>
      </c>
      <c r="F83" s="331"/>
      <c r="G83" s="331"/>
    </row>
    <row r="84" spans="1:7" s="583" customFormat="1" ht="12.75">
      <c r="A84" s="239" t="s">
        <v>547</v>
      </c>
      <c r="B84" s="330">
        <f>'Sources and Uses Budget'!C83</f>
        <v>19600</v>
      </c>
      <c r="C84" s="330">
        <f>'Sources and Uses Budget'!C83</f>
        <v>19600</v>
      </c>
      <c r="D84" s="330">
        <f>'Sources and Uses Budget'!C83</f>
        <v>19600</v>
      </c>
      <c r="E84" s="332">
        <f t="shared" si="2"/>
        <v>0</v>
      </c>
      <c r="F84" s="331"/>
      <c r="G84" s="331"/>
    </row>
    <row r="85" spans="1:7" s="583" customFormat="1" ht="12.75">
      <c r="A85" s="239" t="s">
        <v>548</v>
      </c>
      <c r="B85" s="330">
        <f>'Sources and Uses Budget'!C84</f>
        <v>0</v>
      </c>
      <c r="C85" s="330">
        <f>'Sources and Uses Budget'!C84</f>
        <v>0</v>
      </c>
      <c r="D85" s="330">
        <f>'Sources and Uses Budget'!C84</f>
        <v>0</v>
      </c>
      <c r="E85" s="332">
        <f t="shared" si="2"/>
        <v>0</v>
      </c>
      <c r="F85" s="331"/>
      <c r="G85" s="331"/>
    </row>
    <row r="86" spans="1:7" s="583" customFormat="1" ht="12.75">
      <c r="A86" s="239" t="s">
        <v>549</v>
      </c>
      <c r="B86" s="330">
        <f>'Sources and Uses Budget'!C85</f>
        <v>1098000</v>
      </c>
      <c r="C86" s="330">
        <f>'Sources and Uses Budget'!C85</f>
        <v>1098000</v>
      </c>
      <c r="D86" s="330">
        <f>'Sources and Uses Budget'!C85</f>
        <v>1098000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95000</v>
      </c>
      <c r="C88" s="330">
        <f>'Sources and Uses Budget'!C87</f>
        <v>95000</v>
      </c>
      <c r="D88" s="330">
        <f>'Sources and Uses Budget'!C87</f>
        <v>95000</v>
      </c>
      <c r="E88" s="332">
        <f t="shared" si="2"/>
        <v>0</v>
      </c>
      <c r="F88" s="331"/>
      <c r="G88" s="331"/>
    </row>
    <row r="89" spans="1:7" s="583" customFormat="1" ht="12.75">
      <c r="A89" s="239" t="s">
        <v>552</v>
      </c>
      <c r="B89" s="330">
        <f>'Sources and Uses Budget'!C88</f>
        <v>175000</v>
      </c>
      <c r="C89" s="330">
        <f>'Sources and Uses Budget'!C88</f>
        <v>175000</v>
      </c>
      <c r="D89" s="330">
        <f>'Sources and Uses Budget'!C88</f>
        <v>175000</v>
      </c>
      <c r="E89" s="332">
        <f t="shared" si="2"/>
        <v>0</v>
      </c>
      <c r="F89" s="331"/>
      <c r="G89" s="331"/>
    </row>
    <row r="90" spans="1:7" s="583" customFormat="1" ht="12.75">
      <c r="A90" s="239" t="s">
        <v>553</v>
      </c>
      <c r="B90" s="330">
        <f>'Sources and Uses Budget'!C89</f>
        <v>7000</v>
      </c>
      <c r="C90" s="330">
        <f>'Sources and Uses Budget'!C89</f>
        <v>7000</v>
      </c>
      <c r="D90" s="330">
        <f>'Sources and Uses Budget'!C89</f>
        <v>7000</v>
      </c>
      <c r="E90" s="332">
        <f t="shared" si="2"/>
        <v>0</v>
      </c>
      <c r="F90" s="331"/>
      <c r="G90" s="331"/>
    </row>
    <row r="91" spans="1:7" s="583" customFormat="1" ht="12.75">
      <c r="A91" s="250" t="s">
        <v>1368</v>
      </c>
      <c r="B91" s="330">
        <f>'Sources and Uses Budget'!C90</f>
        <v>135000</v>
      </c>
      <c r="C91" s="330">
        <f>'Sources and Uses Budget'!C90</f>
        <v>135000</v>
      </c>
      <c r="D91" s="330">
        <f>'Sources and Uses Budget'!C90</f>
        <v>135000</v>
      </c>
      <c r="E91" s="332">
        <f t="shared" si="2"/>
        <v>0</v>
      </c>
      <c r="F91" s="331"/>
      <c r="G91" s="331"/>
    </row>
    <row r="92" spans="1:7" s="583" customFormat="1" ht="12.75">
      <c r="A92" s="250" t="s">
        <v>1817</v>
      </c>
      <c r="B92" s="330">
        <f>'Sources and Uses Budget'!C91</f>
        <v>0</v>
      </c>
      <c r="C92" s="330">
        <f>'Sources and Uses Budget'!C91</f>
        <v>0</v>
      </c>
      <c r="D92" s="330">
        <f>'Sources and Uses Budget'!C91</f>
        <v>0</v>
      </c>
      <c r="E92" s="332">
        <f t="shared" si="2"/>
        <v>0</v>
      </c>
      <c r="F92" s="331"/>
      <c r="G92" s="331"/>
    </row>
    <row r="93" spans="1:7" s="583" customFormat="1" ht="12.75">
      <c r="A93" s="246" t="s">
        <v>564</v>
      </c>
      <c r="B93" s="330">
        <f>'Sources and Uses Budget'!C92</f>
        <v>1200</v>
      </c>
      <c r="C93" s="330">
        <f>'Sources and Uses Budget'!C92</f>
        <v>1200</v>
      </c>
      <c r="D93" s="330">
        <f>'Sources and Uses Budget'!C92</f>
        <v>1200</v>
      </c>
      <c r="E93" s="332">
        <f t="shared" si="2"/>
        <v>0</v>
      </c>
      <c r="F93" s="331"/>
      <c r="G93" s="331"/>
    </row>
    <row r="94" spans="1:7" s="583" customFormat="1" ht="12.75">
      <c r="A94" s="246" t="s">
        <v>564</v>
      </c>
      <c r="B94" s="330">
        <f>'Sources and Uses Budget'!C93</f>
        <v>6000</v>
      </c>
      <c r="C94" s="330">
        <f>'Sources and Uses Budget'!C93</f>
        <v>6000</v>
      </c>
      <c r="D94" s="330">
        <f>'Sources and Uses Budget'!C93</f>
        <v>6000</v>
      </c>
      <c r="E94" s="332">
        <f t="shared" si="2"/>
        <v>0</v>
      </c>
      <c r="F94" s="331"/>
      <c r="G94" s="331"/>
    </row>
    <row r="95" spans="1:7" s="583" customFormat="1" ht="12.75">
      <c r="A95" s="246" t="s">
        <v>564</v>
      </c>
      <c r="B95" s="330">
        <f>'Sources and Uses Budget'!C94</f>
        <v>285000</v>
      </c>
      <c r="C95" s="330">
        <f>'Sources and Uses Budget'!C94</f>
        <v>285000</v>
      </c>
      <c r="D95" s="330">
        <f>'Sources and Uses Budget'!C94</f>
        <v>285000</v>
      </c>
      <c r="E95" s="332">
        <f t="shared" si="2"/>
        <v>0</v>
      </c>
      <c r="F95" s="331"/>
      <c r="G95" s="331"/>
    </row>
    <row r="96" spans="1:7" s="583" customFormat="1" ht="12.75">
      <c r="A96" s="243" t="s">
        <v>554</v>
      </c>
      <c r="B96" s="914">
        <f>'Sources and Uses Budget'!C95</f>
        <v>1948810</v>
      </c>
      <c r="C96" s="914">
        <f>'Sources and Uses Budget'!C95</f>
        <v>1948810</v>
      </c>
      <c r="D96" s="914">
        <f>'Sources and Uses Budget'!C95</f>
        <v>1948810</v>
      </c>
      <c r="E96" s="332">
        <f t="shared" si="2"/>
        <v>0</v>
      </c>
      <c r="F96" s="331"/>
      <c r="G96" s="331"/>
    </row>
    <row r="97" spans="1:7" s="583" customFormat="1" ht="12.75">
      <c r="A97" s="243" t="s">
        <v>555</v>
      </c>
      <c r="B97" s="914">
        <f>'Sources and Uses Budget'!C96</f>
        <v>36611963.709028274</v>
      </c>
      <c r="C97" s="914">
        <f>'Sources and Uses Budget'!C96</f>
        <v>36611963.709028274</v>
      </c>
      <c r="D97" s="914">
        <f>'Sources and Uses Budget'!C96</f>
        <v>36611963.709028274</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38811963.709028274</v>
      </c>
      <c r="C105" s="914">
        <f>'Sources and Uses Budget'!C104</f>
        <v>38811963.709028274</v>
      </c>
      <c r="D105" s="914">
        <f>'Sources and Uses Budget'!C104</f>
        <v>38811963.709028274</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Monica Anand</cp:lastModifiedBy>
  <cp:lastPrinted>2023-03-21T23:58:33Z</cp:lastPrinted>
  <dcterms:created xsi:type="dcterms:W3CDTF">2007-12-27T18:26:28Z</dcterms:created>
  <dcterms:modified xsi:type="dcterms:W3CDTF">2023-04-25T21:23:32Z</dcterms:modified>
</cp:coreProperties>
</file>